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trlProps/ctrlProp3.xml" ContentType="application/vnd.ms-excel.controlproperties+xml"/>
  <Override PartName="/xl/drawings/drawing5.xml" ContentType="application/vnd.openxmlformats-officedocument.drawing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0dc3515522d40/Desktop/"/>
    </mc:Choice>
  </mc:AlternateContent>
  <xr:revisionPtr revIDLastSave="11" documentId="8_{B31BFD43-8E91-4A0F-A27D-BBEB29C4616F}" xr6:coauthVersionLast="47" xr6:coauthVersionMax="47" xr10:uidLastSave="{7D6A2073-F6ED-4698-B233-08677077AA9B}"/>
  <bookViews>
    <workbookView xWindow="-108" yWindow="-108" windowWidth="23256" windowHeight="12456" tabRatio="905" xr2:uid="{93D33AC0-66C7-42C2-BCD8-0827091221C5}"/>
  </bookViews>
  <sheets>
    <sheet name="TOC" sheetId="25" r:id="rId1"/>
    <sheet name="Changelog" sheetId="8" r:id="rId2"/>
    <sheet name="Revenue &amp; Margins" sheetId="20" r:id="rId3"/>
    <sheet name="RevStepUp" sheetId="24" r:id="rId4"/>
    <sheet name="Valuation" sheetId="23" r:id="rId5"/>
    <sheet name="ConsoView" sheetId="21" r:id="rId6"/>
    <sheet name="CoreBusiness" sheetId="15" r:id="rId7"/>
    <sheet name="Config" sheetId="14" r:id="rId8"/>
    <sheet name="CommonSize" sheetId="18" r:id="rId9"/>
    <sheet name="Eliminations" sheetId="22" r:id="rId10"/>
    <sheet name="MintyTools" sheetId="19" r:id="rId11"/>
    <sheet name="AcqPipeline" sheetId="16" r:id="rId12"/>
    <sheet name="Corporate" sheetId="7" r:id="rId13"/>
    <sheet name="Dev" sheetId="9" r:id="rId14"/>
    <sheet name="Pipeline" sheetId="10" r:id="rId15"/>
    <sheet name="Solids" sheetId="12" r:id="rId16"/>
    <sheet name="RockCodeAcq" sheetId="13" r:id="rId17"/>
    <sheet name="SOURCES -&gt;" sheetId="6" r:id="rId18"/>
    <sheet name="Minty Holding" sheetId="5" r:id="rId19"/>
    <sheet name="Minty Dev" sheetId="1" r:id="rId20"/>
    <sheet name="Minty Pipeline" sheetId="2" r:id="rId21"/>
    <sheet name="Minty Solids" sheetId="3" r:id="rId22"/>
    <sheet name="RockCode" sheetId="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25" l="1"/>
  <c r="G9" i="24"/>
  <c r="F14" i="24"/>
  <c r="F11" i="24"/>
  <c r="F9" i="24"/>
  <c r="E8" i="24"/>
  <c r="D10" i="24"/>
  <c r="D9" i="24"/>
  <c r="C14" i="24"/>
  <c r="C11" i="24"/>
  <c r="C9" i="24"/>
  <c r="C8" i="24"/>
  <c r="E24" i="23"/>
  <c r="E11" i="23"/>
  <c r="L19" i="23"/>
  <c r="K19" i="23"/>
  <c r="J19" i="23"/>
  <c r="I19" i="23"/>
  <c r="H19" i="23"/>
  <c r="G19" i="23"/>
  <c r="F19" i="23"/>
  <c r="E19" i="23"/>
  <c r="L17" i="23"/>
  <c r="K17" i="23"/>
  <c r="J17" i="23"/>
  <c r="I17" i="23"/>
  <c r="H17" i="23"/>
  <c r="G17" i="23"/>
  <c r="F17" i="23"/>
  <c r="E17" i="23"/>
  <c r="L16" i="23"/>
  <c r="K16" i="23"/>
  <c r="J16" i="23"/>
  <c r="I16" i="23"/>
  <c r="H16" i="23"/>
  <c r="G16" i="23"/>
  <c r="F16" i="23"/>
  <c r="E16" i="23"/>
  <c r="L15" i="23"/>
  <c r="K15" i="23"/>
  <c r="J15" i="23"/>
  <c r="I15" i="23"/>
  <c r="H15" i="23"/>
  <c r="G15" i="23"/>
  <c r="F15" i="23"/>
  <c r="E15" i="23"/>
  <c r="L14" i="23"/>
  <c r="K14" i="23"/>
  <c r="J14" i="23"/>
  <c r="I14" i="23"/>
  <c r="H14" i="23"/>
  <c r="G14" i="23"/>
  <c r="F14" i="23"/>
  <c r="E14" i="23"/>
  <c r="F7" i="23"/>
  <c r="G7" i="23" s="1"/>
  <c r="G11" i="23" s="1"/>
  <c r="F63" i="22"/>
  <c r="G63" i="22"/>
  <c r="H63" i="22"/>
  <c r="I63" i="22"/>
  <c r="J63" i="22"/>
  <c r="K63" i="22"/>
  <c r="L63" i="22"/>
  <c r="E63" i="22"/>
  <c r="F54" i="22"/>
  <c r="G54" i="22"/>
  <c r="H54" i="22"/>
  <c r="I54" i="22"/>
  <c r="J54" i="22"/>
  <c r="K54" i="22"/>
  <c r="L54" i="22"/>
  <c r="E54" i="22"/>
  <c r="F97" i="22"/>
  <c r="E97" i="22"/>
  <c r="F12" i="22"/>
  <c r="G12" i="22"/>
  <c r="H12" i="22"/>
  <c r="I12" i="22"/>
  <c r="J12" i="22"/>
  <c r="K12" i="22"/>
  <c r="L12" i="22"/>
  <c r="E12" i="22"/>
  <c r="F11" i="22"/>
  <c r="G11" i="22"/>
  <c r="H11" i="22"/>
  <c r="I11" i="22"/>
  <c r="J11" i="22"/>
  <c r="K11" i="22"/>
  <c r="L11" i="22"/>
  <c r="E11" i="22"/>
  <c r="L9" i="22"/>
  <c r="K9" i="22"/>
  <c r="J9" i="22"/>
  <c r="I9" i="22"/>
  <c r="H9" i="22"/>
  <c r="G9" i="22"/>
  <c r="F9" i="22"/>
  <c r="E9" i="22"/>
  <c r="E76" i="22"/>
  <c r="E50" i="22"/>
  <c r="I102" i="22"/>
  <c r="I23" i="22"/>
  <c r="E19" i="22"/>
  <c r="F7" i="22"/>
  <c r="F76" i="22" s="1"/>
  <c r="E66" i="21"/>
  <c r="E40" i="21"/>
  <c r="E9" i="21"/>
  <c r="F7" i="21"/>
  <c r="F66" i="21" s="1"/>
  <c r="G28" i="20"/>
  <c r="F28" i="20"/>
  <c r="E28" i="20"/>
  <c r="L26" i="20"/>
  <c r="K26" i="20"/>
  <c r="J26" i="20"/>
  <c r="I26" i="20"/>
  <c r="H26" i="20"/>
  <c r="G26" i="20"/>
  <c r="F26" i="20"/>
  <c r="E26" i="20"/>
  <c r="L25" i="20"/>
  <c r="K25" i="20"/>
  <c r="J25" i="20"/>
  <c r="I25" i="20"/>
  <c r="H25" i="20"/>
  <c r="G25" i="20"/>
  <c r="F25" i="20"/>
  <c r="E25" i="20"/>
  <c r="L24" i="20"/>
  <c r="K24" i="20"/>
  <c r="J24" i="20"/>
  <c r="I24" i="20"/>
  <c r="H24" i="20"/>
  <c r="G24" i="20"/>
  <c r="F24" i="20"/>
  <c r="E24" i="20"/>
  <c r="L23" i="20"/>
  <c r="K23" i="20"/>
  <c r="J23" i="20"/>
  <c r="I23" i="20"/>
  <c r="H23" i="20"/>
  <c r="G23" i="20"/>
  <c r="F23" i="20"/>
  <c r="E23" i="20"/>
  <c r="E22" i="20"/>
  <c r="F10" i="20"/>
  <c r="G10" i="20"/>
  <c r="H10" i="20"/>
  <c r="I10" i="20"/>
  <c r="J10" i="20"/>
  <c r="K10" i="20"/>
  <c r="L10" i="20"/>
  <c r="F11" i="20"/>
  <c r="G11" i="20"/>
  <c r="H11" i="20"/>
  <c r="I11" i="20"/>
  <c r="J11" i="20"/>
  <c r="K11" i="20"/>
  <c r="L11" i="20"/>
  <c r="F12" i="20"/>
  <c r="G12" i="20"/>
  <c r="H12" i="20"/>
  <c r="I12" i="20"/>
  <c r="J12" i="20"/>
  <c r="K12" i="20"/>
  <c r="L12" i="20"/>
  <c r="F13" i="20"/>
  <c r="G13" i="20"/>
  <c r="H13" i="20"/>
  <c r="I13" i="20"/>
  <c r="J13" i="20"/>
  <c r="K13" i="20"/>
  <c r="L13" i="20"/>
  <c r="F15" i="20"/>
  <c r="G15" i="20"/>
  <c r="H15" i="20"/>
  <c r="I15" i="20"/>
  <c r="J15" i="20"/>
  <c r="K15" i="20"/>
  <c r="L15" i="20"/>
  <c r="E15" i="20"/>
  <c r="E13" i="20"/>
  <c r="E12" i="20"/>
  <c r="E11" i="20"/>
  <c r="E10" i="20"/>
  <c r="E9" i="20"/>
  <c r="F7" i="20"/>
  <c r="F9" i="20" s="1"/>
  <c r="H184" i="19" a="1"/>
  <c r="H184" i="19" s="1"/>
  <c r="G184" i="19" a="1"/>
  <c r="G184" i="19" s="1"/>
  <c r="F184" i="19" a="1"/>
  <c r="F184" i="19" s="1"/>
  <c r="E184" i="19" a="1"/>
  <c r="E184" i="19" s="1"/>
  <c r="L180" i="19" a="1"/>
  <c r="L180" i="19" s="1"/>
  <c r="K180" i="19" a="1"/>
  <c r="K180" i="19" s="1"/>
  <c r="J180" i="19" a="1"/>
  <c r="J180" i="19" s="1"/>
  <c r="I180" i="19" a="1"/>
  <c r="I180" i="19" s="1"/>
  <c r="H180" i="19" a="1"/>
  <c r="H180" i="19" s="1"/>
  <c r="G180" i="19" a="1"/>
  <c r="G180" i="19" s="1"/>
  <c r="F180" i="19" a="1"/>
  <c r="F180" i="19" s="1"/>
  <c r="E180" i="19" a="1"/>
  <c r="E180" i="19" s="1"/>
  <c r="L179" i="19" a="1"/>
  <c r="L179" i="19" s="1"/>
  <c r="K179" i="19" a="1"/>
  <c r="K179" i="19" s="1"/>
  <c r="J179" i="19" a="1"/>
  <c r="J179" i="19" s="1"/>
  <c r="I179" i="19" a="1"/>
  <c r="I179" i="19" s="1"/>
  <c r="H179" i="19" a="1"/>
  <c r="H179" i="19" s="1"/>
  <c r="G179" i="19" a="1"/>
  <c r="G179" i="19" s="1"/>
  <c r="F179" i="19" a="1"/>
  <c r="F179" i="19" s="1"/>
  <c r="E179" i="19" a="1"/>
  <c r="E179" i="19" s="1"/>
  <c r="L175" i="19" a="1"/>
  <c r="L175" i="19" s="1"/>
  <c r="K175" i="19" a="1"/>
  <c r="K175" i="19" s="1"/>
  <c r="J175" i="19" a="1"/>
  <c r="J175" i="19" s="1"/>
  <c r="I175" i="19" a="1"/>
  <c r="I175" i="19" s="1"/>
  <c r="H175" i="19" a="1"/>
  <c r="H175" i="19" s="1"/>
  <c r="G175" i="19" a="1"/>
  <c r="G175" i="19" s="1"/>
  <c r="F175" i="19" a="1"/>
  <c r="F175" i="19" s="1"/>
  <c r="E175" i="19" a="1"/>
  <c r="E175" i="19" s="1"/>
  <c r="L174" i="19" a="1"/>
  <c r="L174" i="19" s="1"/>
  <c r="K174" i="19" a="1"/>
  <c r="K174" i="19" s="1"/>
  <c r="J174" i="19" a="1"/>
  <c r="J174" i="19" s="1"/>
  <c r="I174" i="19" a="1"/>
  <c r="I174" i="19" s="1"/>
  <c r="H174" i="19" a="1"/>
  <c r="H174" i="19" s="1"/>
  <c r="G174" i="19" a="1"/>
  <c r="G174" i="19" s="1"/>
  <c r="F174" i="19" a="1"/>
  <c r="F174" i="19" s="1"/>
  <c r="E174" i="19" a="1"/>
  <c r="E174" i="19" s="1"/>
  <c r="L173" i="19" a="1"/>
  <c r="L173" i="19" s="1"/>
  <c r="K173" i="19" a="1"/>
  <c r="K173" i="19" s="1"/>
  <c r="J173" i="19" a="1"/>
  <c r="J173" i="19" s="1"/>
  <c r="I173" i="19" a="1"/>
  <c r="I173" i="19" s="1"/>
  <c r="H173" i="19" a="1"/>
  <c r="H173" i="19" s="1"/>
  <c r="G173" i="19" a="1"/>
  <c r="G173" i="19" s="1"/>
  <c r="F173" i="19" a="1"/>
  <c r="F173" i="19" s="1"/>
  <c r="E173" i="19" a="1"/>
  <c r="E173" i="19" s="1"/>
  <c r="L172" i="19" a="1"/>
  <c r="L172" i="19" s="1"/>
  <c r="K172" i="19" a="1"/>
  <c r="K172" i="19" s="1"/>
  <c r="J172" i="19" a="1"/>
  <c r="J172" i="19" s="1"/>
  <c r="I172" i="19" a="1"/>
  <c r="I172" i="19" s="1"/>
  <c r="H172" i="19" a="1"/>
  <c r="H172" i="19" s="1"/>
  <c r="G172" i="19" a="1"/>
  <c r="G172" i="19" s="1"/>
  <c r="F172" i="19" a="1"/>
  <c r="F172" i="19" s="1"/>
  <c r="E172" i="19" a="1"/>
  <c r="E172" i="19" s="1"/>
  <c r="G168" i="19" a="1"/>
  <c r="G168" i="19" s="1"/>
  <c r="F168" i="19" a="1"/>
  <c r="F168" i="19" s="1"/>
  <c r="E168" i="19" a="1"/>
  <c r="E168" i="19" s="1"/>
  <c r="L167" i="19" a="1"/>
  <c r="L167" i="19" s="1"/>
  <c r="K167" i="19" a="1"/>
  <c r="K167" i="19" s="1"/>
  <c r="J167" i="19" a="1"/>
  <c r="J167" i="19" s="1"/>
  <c r="I167" i="19" a="1"/>
  <c r="I167" i="19" s="1"/>
  <c r="H167" i="19" a="1"/>
  <c r="H167" i="19" s="1"/>
  <c r="G167" i="19" a="1"/>
  <c r="G167" i="19" s="1"/>
  <c r="F167" i="19" a="1"/>
  <c r="F167" i="19" s="1"/>
  <c r="E167" i="19" a="1"/>
  <c r="E167" i="19" s="1"/>
  <c r="L166" i="19" a="1"/>
  <c r="L166" i="19" s="1"/>
  <c r="K166" i="19" a="1"/>
  <c r="K166" i="19" s="1"/>
  <c r="J166" i="19" a="1"/>
  <c r="J166" i="19" s="1"/>
  <c r="I166" i="19" a="1"/>
  <c r="I166" i="19" s="1"/>
  <c r="H166" i="19" a="1"/>
  <c r="H166" i="19" s="1"/>
  <c r="G166" i="19" a="1"/>
  <c r="G166" i="19" s="1"/>
  <c r="F166" i="19" a="1"/>
  <c r="F166" i="19" s="1"/>
  <c r="E166" i="19" a="1"/>
  <c r="E166" i="19" s="1"/>
  <c r="G165" i="19" a="1"/>
  <c r="G165" i="19" s="1"/>
  <c r="F165" i="19" a="1"/>
  <c r="F165" i="19" s="1"/>
  <c r="E165" i="19" a="1"/>
  <c r="E165" i="19" s="1"/>
  <c r="G156" i="19" a="1"/>
  <c r="G156" i="19" s="1"/>
  <c r="F156" i="19" a="1"/>
  <c r="F156" i="19" s="1"/>
  <c r="E156" i="19" a="1"/>
  <c r="E156" i="19" s="1"/>
  <c r="L155" i="19" a="1"/>
  <c r="L155" i="19" s="1"/>
  <c r="K155" i="19" a="1"/>
  <c r="K155" i="19" s="1"/>
  <c r="J155" i="19" a="1"/>
  <c r="J155" i="19" s="1"/>
  <c r="I155" i="19" a="1"/>
  <c r="I155" i="19" s="1"/>
  <c r="H155" i="19" a="1"/>
  <c r="H155" i="19" s="1"/>
  <c r="G155" i="19" a="1"/>
  <c r="G155" i="19" s="1"/>
  <c r="F155" i="19" a="1"/>
  <c r="F155" i="19" s="1"/>
  <c r="E155" i="19" a="1"/>
  <c r="E155" i="19" s="1"/>
  <c r="L152" i="19" a="1"/>
  <c r="L152" i="19" s="1"/>
  <c r="K152" i="19" a="1"/>
  <c r="K152" i="19" s="1"/>
  <c r="J152" i="19" a="1"/>
  <c r="J152" i="19" s="1"/>
  <c r="I152" i="19" a="1"/>
  <c r="I152" i="19" s="1"/>
  <c r="H152" i="19" a="1"/>
  <c r="H152" i="19" s="1"/>
  <c r="G152" i="19" a="1"/>
  <c r="G152" i="19" s="1"/>
  <c r="F152" i="19" a="1"/>
  <c r="F152" i="19" s="1"/>
  <c r="E152" i="19" a="1"/>
  <c r="E152" i="19" s="1"/>
  <c r="L151" i="19" a="1"/>
  <c r="L151" i="19" s="1"/>
  <c r="K151" i="19" a="1"/>
  <c r="K151" i="19" s="1"/>
  <c r="J151" i="19" a="1"/>
  <c r="J151" i="19" s="1"/>
  <c r="I151" i="19" a="1"/>
  <c r="I151" i="19" s="1"/>
  <c r="H151" i="19" a="1"/>
  <c r="H151" i="19" s="1"/>
  <c r="G151" i="19" a="1"/>
  <c r="G151" i="19" s="1"/>
  <c r="F151" i="19" a="1"/>
  <c r="F151" i="19" s="1"/>
  <c r="E151" i="19" a="1"/>
  <c r="E151" i="19" s="1"/>
  <c r="L150" i="19" a="1"/>
  <c r="L150" i="19" s="1"/>
  <c r="K150" i="19" a="1"/>
  <c r="K150" i="19" s="1"/>
  <c r="J150" i="19" a="1"/>
  <c r="J150" i="19" s="1"/>
  <c r="I150" i="19" a="1"/>
  <c r="I150" i="19" s="1"/>
  <c r="H150" i="19" a="1"/>
  <c r="H150" i="19" s="1"/>
  <c r="G150" i="19" a="1"/>
  <c r="G150" i="19" s="1"/>
  <c r="F150" i="19" a="1"/>
  <c r="F150" i="19" s="1"/>
  <c r="E150" i="19" a="1"/>
  <c r="E150" i="19" s="1"/>
  <c r="G149" i="19" a="1"/>
  <c r="G149" i="19" s="1"/>
  <c r="F149" i="19" a="1"/>
  <c r="F149" i="19" s="1"/>
  <c r="E149" i="19" a="1"/>
  <c r="E149" i="19" s="1"/>
  <c r="L145" i="19" a="1"/>
  <c r="L145" i="19" s="1"/>
  <c r="K145" i="19" a="1"/>
  <c r="K145" i="19" s="1"/>
  <c r="J145" i="19" a="1"/>
  <c r="J145" i="19" s="1"/>
  <c r="I145" i="19" a="1"/>
  <c r="I145" i="19" s="1"/>
  <c r="H145" i="19" a="1"/>
  <c r="H145" i="19" s="1"/>
  <c r="G145" i="19" a="1"/>
  <c r="G145" i="19" s="1"/>
  <c r="F145" i="19" a="1"/>
  <c r="F145" i="19" s="1"/>
  <c r="E145" i="19" a="1"/>
  <c r="E145" i="19" s="1"/>
  <c r="L144" i="19" a="1"/>
  <c r="L144" i="19" s="1"/>
  <c r="K144" i="19" a="1"/>
  <c r="K144" i="19" s="1"/>
  <c r="J144" i="19" a="1"/>
  <c r="J144" i="19" s="1"/>
  <c r="I144" i="19" a="1"/>
  <c r="I144" i="19" s="1"/>
  <c r="H144" i="19" a="1"/>
  <c r="H144" i="19" s="1"/>
  <c r="G144" i="19" a="1"/>
  <c r="G144" i="19" s="1"/>
  <c r="F144" i="19" a="1"/>
  <c r="F144" i="19" s="1"/>
  <c r="E144" i="19" a="1"/>
  <c r="E144" i="19" s="1"/>
  <c r="L143" i="19" a="1"/>
  <c r="L143" i="19" s="1"/>
  <c r="K143" i="19" a="1"/>
  <c r="K143" i="19" s="1"/>
  <c r="J143" i="19" a="1"/>
  <c r="J143" i="19" s="1"/>
  <c r="I143" i="19" a="1"/>
  <c r="I143" i="19" s="1"/>
  <c r="H143" i="19" a="1"/>
  <c r="H143" i="19" s="1"/>
  <c r="G143" i="19" a="1"/>
  <c r="G143" i="19" s="1"/>
  <c r="F143" i="19" a="1"/>
  <c r="F143" i="19" s="1"/>
  <c r="E143" i="19" a="1"/>
  <c r="E143" i="19" s="1"/>
  <c r="G142" i="19" a="1"/>
  <c r="G142" i="19" s="1"/>
  <c r="F142" i="19" a="1"/>
  <c r="F142" i="19" s="1"/>
  <c r="E142" i="19" a="1"/>
  <c r="E142" i="19" s="1"/>
  <c r="L141" i="19" a="1"/>
  <c r="L141" i="19" s="1"/>
  <c r="K141" i="19" a="1"/>
  <c r="K141" i="19" s="1"/>
  <c r="J141" i="19" a="1"/>
  <c r="J141" i="19" s="1"/>
  <c r="I141" i="19" a="1"/>
  <c r="I141" i="19" s="1"/>
  <c r="H141" i="19" a="1"/>
  <c r="H141" i="19" s="1"/>
  <c r="G141" i="19" a="1"/>
  <c r="G141" i="19" s="1"/>
  <c r="F141" i="19" a="1"/>
  <c r="F141" i="19" s="1"/>
  <c r="E141" i="19" a="1"/>
  <c r="E141" i="19" s="1"/>
  <c r="G140" i="19" a="1"/>
  <c r="G140" i="19" s="1"/>
  <c r="F140" i="19" a="1"/>
  <c r="F140" i="19" s="1"/>
  <c r="E140" i="19" a="1"/>
  <c r="E140" i="19" s="1"/>
  <c r="G139" i="19" a="1"/>
  <c r="G139" i="19" s="1"/>
  <c r="F139" i="19" a="1"/>
  <c r="F139" i="19" s="1"/>
  <c r="E139" i="19" a="1"/>
  <c r="E139" i="19" s="1"/>
  <c r="G133" i="19" a="1"/>
  <c r="G133" i="19" s="1"/>
  <c r="F133" i="19" a="1"/>
  <c r="F133" i="19" s="1"/>
  <c r="E133" i="19" a="1"/>
  <c r="E133" i="19" s="1"/>
  <c r="L129" i="19" a="1"/>
  <c r="L129" i="19" s="1"/>
  <c r="K129" i="19" a="1"/>
  <c r="K129" i="19" s="1"/>
  <c r="J129" i="19" a="1"/>
  <c r="J129" i="19" s="1"/>
  <c r="I129" i="19" a="1"/>
  <c r="I129" i="19" s="1"/>
  <c r="H129" i="19" a="1"/>
  <c r="H129" i="19" s="1"/>
  <c r="G129" i="19" a="1"/>
  <c r="G129" i="19" s="1"/>
  <c r="F129" i="19" a="1"/>
  <c r="F129" i="19" s="1"/>
  <c r="E129" i="19" a="1"/>
  <c r="E129" i="19" s="1"/>
  <c r="L128" i="19" a="1"/>
  <c r="L128" i="19" s="1"/>
  <c r="K128" i="19" a="1"/>
  <c r="K128" i="19" s="1"/>
  <c r="J128" i="19" a="1"/>
  <c r="J128" i="19" s="1"/>
  <c r="I128" i="19" a="1"/>
  <c r="I128" i="19" s="1"/>
  <c r="H128" i="19" a="1"/>
  <c r="H128" i="19" s="1"/>
  <c r="G128" i="19" a="1"/>
  <c r="G128" i="19" s="1"/>
  <c r="F128" i="19" a="1"/>
  <c r="F128" i="19" s="1"/>
  <c r="E128" i="19" a="1"/>
  <c r="E128" i="19" s="1"/>
  <c r="L127" i="19" a="1"/>
  <c r="L127" i="19" s="1"/>
  <c r="K127" i="19" a="1"/>
  <c r="K127" i="19" s="1"/>
  <c r="J127" i="19" a="1"/>
  <c r="J127" i="19" s="1"/>
  <c r="I127" i="19" a="1"/>
  <c r="I127" i="19" s="1"/>
  <c r="H127" i="19" a="1"/>
  <c r="H127" i="19" s="1"/>
  <c r="G127" i="19" a="1"/>
  <c r="G127" i="19" s="1"/>
  <c r="F127" i="19" a="1"/>
  <c r="F127" i="19" s="1"/>
  <c r="E127" i="19" a="1"/>
  <c r="E127" i="19" s="1"/>
  <c r="G122" i="19" a="1"/>
  <c r="G122" i="19" s="1"/>
  <c r="F122" i="19" a="1"/>
  <c r="F122" i="19" s="1"/>
  <c r="E122" i="19" a="1"/>
  <c r="E122" i="19" s="1"/>
  <c r="G121" i="19" a="1"/>
  <c r="G121" i="19" s="1"/>
  <c r="F121" i="19" a="1"/>
  <c r="F121" i="19" s="1"/>
  <c r="E121" i="19" a="1"/>
  <c r="E121" i="19" s="1"/>
  <c r="G120" i="19" a="1"/>
  <c r="G120" i="19" s="1"/>
  <c r="F120" i="19"/>
  <c r="F120" i="19" a="1"/>
  <c r="E120" i="19" a="1"/>
  <c r="E120" i="19" s="1"/>
  <c r="G119" i="19" a="1"/>
  <c r="G119" i="19" s="1"/>
  <c r="F119" i="19" a="1"/>
  <c r="F119" i="19" s="1"/>
  <c r="E119" i="19" a="1"/>
  <c r="E119" i="19" s="1"/>
  <c r="G118" i="19" a="1"/>
  <c r="G118" i="19" s="1"/>
  <c r="F118" i="19" a="1"/>
  <c r="F118" i="19" s="1"/>
  <c r="E118" i="19" a="1"/>
  <c r="E118" i="19" s="1"/>
  <c r="G117" i="19" a="1"/>
  <c r="G117" i="19" s="1"/>
  <c r="F117" i="19" a="1"/>
  <c r="F117" i="19" s="1"/>
  <c r="E117" i="19" a="1"/>
  <c r="E117" i="19" s="1"/>
  <c r="G116" i="19" a="1"/>
  <c r="G116" i="19" s="1"/>
  <c r="F116" i="19" a="1"/>
  <c r="F116" i="19" s="1"/>
  <c r="E116" i="19" a="1"/>
  <c r="E116" i="19" s="1"/>
  <c r="G115" i="19" a="1"/>
  <c r="G115" i="19" s="1"/>
  <c r="F115" i="19" a="1"/>
  <c r="F115" i="19" s="1"/>
  <c r="E115" i="19" a="1"/>
  <c r="E115" i="19" s="1"/>
  <c r="G114" i="19" a="1"/>
  <c r="G114" i="19" s="1"/>
  <c r="F114" i="19" a="1"/>
  <c r="F114" i="19" s="1"/>
  <c r="E114" i="19" a="1"/>
  <c r="E114" i="19" s="1"/>
  <c r="G113" i="19" a="1"/>
  <c r="G113" i="19" s="1"/>
  <c r="F113" i="19" a="1"/>
  <c r="F113" i="19" s="1"/>
  <c r="E113" i="19" a="1"/>
  <c r="E113" i="19" s="1"/>
  <c r="G109" i="19" a="1"/>
  <c r="G109" i="19" s="1"/>
  <c r="F109" i="19" a="1"/>
  <c r="F109" i="19" s="1"/>
  <c r="E109" i="19" a="1"/>
  <c r="E109" i="19" s="1"/>
  <c r="F108" i="19" a="1"/>
  <c r="F108" i="19" s="1"/>
  <c r="F16" i="20" s="1"/>
  <c r="G108" i="19" a="1"/>
  <c r="G108" i="19" s="1"/>
  <c r="G16" i="20" s="1"/>
  <c r="E108" i="19" a="1"/>
  <c r="E108" i="19" s="1"/>
  <c r="E16" i="20" s="1"/>
  <c r="AL9" i="19"/>
  <c r="AK9" i="19"/>
  <c r="AJ9" i="19"/>
  <c r="AI9" i="19"/>
  <c r="AH9" i="19"/>
  <c r="AG9" i="19"/>
  <c r="AF9" i="19"/>
  <c r="AE9" i="19"/>
  <c r="Y9" i="19"/>
  <c r="X9" i="19"/>
  <c r="W9" i="19"/>
  <c r="V9" i="19"/>
  <c r="U9" i="19"/>
  <c r="T9" i="19"/>
  <c r="S9" i="19"/>
  <c r="R9" i="19"/>
  <c r="L9" i="19"/>
  <c r="K9" i="19"/>
  <c r="J9" i="19"/>
  <c r="I9" i="19"/>
  <c r="H9" i="19"/>
  <c r="G9" i="19"/>
  <c r="F9" i="19"/>
  <c r="E9" i="19"/>
  <c r="AF18" i="19"/>
  <c r="AG18" i="19"/>
  <c r="AH18" i="19"/>
  <c r="AI18" i="19"/>
  <c r="AJ18" i="19"/>
  <c r="AK18" i="19"/>
  <c r="AL18" i="19"/>
  <c r="AF19" i="19"/>
  <c r="AG19" i="19"/>
  <c r="AH19" i="19"/>
  <c r="AI19" i="19"/>
  <c r="AJ19" i="19"/>
  <c r="AK19" i="19"/>
  <c r="AL19" i="19"/>
  <c r="AE19" i="19"/>
  <c r="R19" i="19"/>
  <c r="AE18" i="19"/>
  <c r="R18" i="19"/>
  <c r="S18" i="19"/>
  <c r="T18" i="19"/>
  <c r="U18" i="19"/>
  <c r="V18" i="19"/>
  <c r="W18" i="19"/>
  <c r="X18" i="19"/>
  <c r="Y18" i="19"/>
  <c r="S19" i="19"/>
  <c r="T19" i="19"/>
  <c r="U19" i="19"/>
  <c r="V19" i="19"/>
  <c r="W19" i="19"/>
  <c r="X19" i="19"/>
  <c r="Y19" i="19"/>
  <c r="AL190" i="19"/>
  <c r="AK190" i="19"/>
  <c r="AJ190" i="19"/>
  <c r="AI190" i="19"/>
  <c r="AH190" i="19"/>
  <c r="AG190" i="19"/>
  <c r="AF190" i="19"/>
  <c r="AE190" i="19"/>
  <c r="AG189" i="19"/>
  <c r="AF189" i="19"/>
  <c r="AE189" i="19"/>
  <c r="AE184" i="19"/>
  <c r="AL181" i="19"/>
  <c r="AK181" i="19"/>
  <c r="AJ181" i="19"/>
  <c r="AI181" i="19"/>
  <c r="AH181" i="19"/>
  <c r="AG181" i="19"/>
  <c r="AF181" i="19"/>
  <c r="AE181" i="19"/>
  <c r="AG176" i="19"/>
  <c r="AF176" i="19"/>
  <c r="AE176" i="19"/>
  <c r="AL175" i="19"/>
  <c r="AK175" i="19"/>
  <c r="AJ175" i="19"/>
  <c r="AI175" i="19"/>
  <c r="AH175" i="19"/>
  <c r="AL172" i="19"/>
  <c r="AK172" i="19"/>
  <c r="AJ172" i="19"/>
  <c r="AI172" i="19"/>
  <c r="AH172" i="19"/>
  <c r="AG169" i="19"/>
  <c r="AF169" i="19"/>
  <c r="AE169" i="19"/>
  <c r="AE163" i="19"/>
  <c r="AG157" i="19"/>
  <c r="AF157" i="19"/>
  <c r="AE157" i="19"/>
  <c r="AG153" i="19"/>
  <c r="AF153" i="19"/>
  <c r="AE153" i="19"/>
  <c r="AG146" i="19"/>
  <c r="AF146" i="19"/>
  <c r="AE146" i="19"/>
  <c r="AE137" i="19"/>
  <c r="AG130" i="19"/>
  <c r="AF130" i="19"/>
  <c r="AE130" i="19"/>
  <c r="AG123" i="19"/>
  <c r="AF123" i="19"/>
  <c r="AE123" i="19"/>
  <c r="AG110" i="19"/>
  <c r="AF110" i="19"/>
  <c r="AE110" i="19"/>
  <c r="AE106" i="19"/>
  <c r="AH100" i="19"/>
  <c r="AH92" i="19"/>
  <c r="AE45" i="19"/>
  <c r="AE40" i="19"/>
  <c r="AE35" i="19"/>
  <c r="AL23" i="19"/>
  <c r="AL27" i="19" s="1"/>
  <c r="AK23" i="19"/>
  <c r="AK27" i="19" s="1"/>
  <c r="AJ23" i="19"/>
  <c r="AJ27" i="19" s="1"/>
  <c r="AI23" i="19"/>
  <c r="AI27" i="19" s="1"/>
  <c r="AH23" i="19"/>
  <c r="AH27" i="19" s="1"/>
  <c r="AE15" i="19"/>
  <c r="AF7" i="19"/>
  <c r="AG7" i="19" s="1"/>
  <c r="Y190" i="19"/>
  <c r="X190" i="19"/>
  <c r="W190" i="19"/>
  <c r="V190" i="19"/>
  <c r="U190" i="19"/>
  <c r="T190" i="19"/>
  <c r="S190" i="19"/>
  <c r="R190" i="19"/>
  <c r="T189" i="19"/>
  <c r="S189" i="19"/>
  <c r="R189" i="19"/>
  <c r="R184" i="19"/>
  <c r="Y181" i="19"/>
  <c r="X181" i="19"/>
  <c r="W181" i="19"/>
  <c r="V181" i="19"/>
  <c r="U181" i="19"/>
  <c r="T181" i="19"/>
  <c r="S181" i="19"/>
  <c r="R181" i="19"/>
  <c r="T176" i="19"/>
  <c r="S176" i="19"/>
  <c r="R176" i="19"/>
  <c r="Y175" i="19"/>
  <c r="X175" i="19"/>
  <c r="W175" i="19"/>
  <c r="V175" i="19"/>
  <c r="U175" i="19"/>
  <c r="Y172" i="19"/>
  <c r="X172" i="19"/>
  <c r="W172" i="19"/>
  <c r="V172" i="19"/>
  <c r="U172" i="19"/>
  <c r="T169" i="19"/>
  <c r="S169" i="19"/>
  <c r="R169" i="19"/>
  <c r="R163" i="19"/>
  <c r="T157" i="19"/>
  <c r="S157" i="19"/>
  <c r="R157" i="19"/>
  <c r="T153" i="19"/>
  <c r="S153" i="19"/>
  <c r="R153" i="19"/>
  <c r="T146" i="19"/>
  <c r="S146" i="19"/>
  <c r="R146" i="19"/>
  <c r="R137" i="19"/>
  <c r="T130" i="19"/>
  <c r="S130" i="19"/>
  <c r="R130" i="19"/>
  <c r="T123" i="19"/>
  <c r="S123" i="19"/>
  <c r="R123" i="19"/>
  <c r="T110" i="19"/>
  <c r="S110" i="19"/>
  <c r="R110" i="19"/>
  <c r="R106" i="19"/>
  <c r="U100" i="19"/>
  <c r="U92" i="19"/>
  <c r="R45" i="19"/>
  <c r="R40" i="19"/>
  <c r="R35" i="19"/>
  <c r="Y23" i="19"/>
  <c r="Y27" i="19" s="1"/>
  <c r="X23" i="19"/>
  <c r="X27" i="19" s="1"/>
  <c r="W23" i="19"/>
  <c r="W27" i="19" s="1"/>
  <c r="V23" i="19"/>
  <c r="V27" i="19" s="1"/>
  <c r="U23" i="19"/>
  <c r="U27" i="19" s="1"/>
  <c r="R15" i="19"/>
  <c r="S7" i="19"/>
  <c r="T7" i="19" s="1"/>
  <c r="E163" i="19"/>
  <c r="E137" i="19"/>
  <c r="E106" i="19"/>
  <c r="E15" i="19"/>
  <c r="F7" i="19"/>
  <c r="F137" i="19" s="1"/>
  <c r="I315" i="16"/>
  <c r="J315" i="16"/>
  <c r="K315" i="16"/>
  <c r="L315" i="16"/>
  <c r="H315" i="16"/>
  <c r="H240" i="16"/>
  <c r="H233" i="16"/>
  <c r="H223" i="16"/>
  <c r="H211" i="16"/>
  <c r="H212" i="16" s="1"/>
  <c r="H267" i="16" s="1"/>
  <c r="H194" i="16"/>
  <c r="H201" i="16" s="1"/>
  <c r="H195" i="16"/>
  <c r="H202" i="16" s="1"/>
  <c r="I195" i="16"/>
  <c r="I202" i="16" s="1"/>
  <c r="H196" i="16"/>
  <c r="H203" i="16" s="1"/>
  <c r="I196" i="16"/>
  <c r="I203" i="16" s="1"/>
  <c r="J196" i="16"/>
  <c r="J203" i="16" s="1"/>
  <c r="H197" i="16"/>
  <c r="H204" i="16" s="1"/>
  <c r="I197" i="16"/>
  <c r="I204" i="16" s="1"/>
  <c r="J197" i="16"/>
  <c r="J204" i="16" s="1"/>
  <c r="K197" i="16"/>
  <c r="K204" i="16" s="1"/>
  <c r="L25" i="18"/>
  <c r="K25" i="18"/>
  <c r="J25" i="18"/>
  <c r="I25" i="18"/>
  <c r="H25" i="18"/>
  <c r="G25" i="18"/>
  <c r="F25" i="18"/>
  <c r="E25" i="18"/>
  <c r="H127" i="16"/>
  <c r="H126" i="16"/>
  <c r="I127" i="16" s="1"/>
  <c r="H125" i="16"/>
  <c r="I126" i="16" s="1"/>
  <c r="J127" i="16" s="1"/>
  <c r="H124" i="16"/>
  <c r="I125" i="16" s="1"/>
  <c r="J126" i="16" s="1"/>
  <c r="K127" i="16" s="1"/>
  <c r="H123" i="16"/>
  <c r="I124" i="16" s="1"/>
  <c r="J125" i="16" s="1"/>
  <c r="K126" i="16" s="1"/>
  <c r="L127" i="16" s="1"/>
  <c r="H111" i="16"/>
  <c r="H116" i="16" s="1"/>
  <c r="I117" i="16" s="1"/>
  <c r="J118" i="16" s="1"/>
  <c r="K119" i="16" s="1"/>
  <c r="L120" i="16" s="1"/>
  <c r="I110" i="16"/>
  <c r="I111" i="16" s="1"/>
  <c r="H117" i="16" s="1"/>
  <c r="I118" i="16" s="1"/>
  <c r="J119" i="16" s="1"/>
  <c r="K120" i="16" s="1"/>
  <c r="H103" i="16"/>
  <c r="H96" i="16"/>
  <c r="I97" i="16" s="1"/>
  <c r="H95" i="16"/>
  <c r="I96" i="16" s="1"/>
  <c r="J97" i="16" s="1"/>
  <c r="H94" i="16"/>
  <c r="I95" i="16" s="1"/>
  <c r="J96" i="16" s="1"/>
  <c r="K97" i="16" s="1"/>
  <c r="H97" i="16"/>
  <c r="H93" i="16"/>
  <c r="I90" i="16"/>
  <c r="J90" i="16"/>
  <c r="K90" i="16"/>
  <c r="L90" i="16"/>
  <c r="H90" i="16"/>
  <c r="E60" i="16"/>
  <c r="L12" i="18"/>
  <c r="K12" i="18"/>
  <c r="J12" i="18"/>
  <c r="I12" i="18"/>
  <c r="H12" i="18"/>
  <c r="G12" i="18"/>
  <c r="F12" i="18"/>
  <c r="E12" i="18"/>
  <c r="F9" i="18"/>
  <c r="G9" i="18"/>
  <c r="H9" i="18"/>
  <c r="I9" i="18"/>
  <c r="J9" i="18"/>
  <c r="K9" i="18"/>
  <c r="L9" i="18"/>
  <c r="E9" i="18"/>
  <c r="E55" i="16"/>
  <c r="E41" i="16"/>
  <c r="G7" i="18"/>
  <c r="F7" i="18"/>
  <c r="D31" i="16"/>
  <c r="I22" i="16"/>
  <c r="J23" i="16" s="1"/>
  <c r="J194" i="16" s="1"/>
  <c r="J201" i="16" s="1"/>
  <c r="J22" i="16"/>
  <c r="J193" i="16" s="1"/>
  <c r="J200" i="16" s="1"/>
  <c r="K22" i="16"/>
  <c r="L23" i="16" s="1"/>
  <c r="L194" i="16" s="1"/>
  <c r="L201" i="16" s="1"/>
  <c r="L22" i="16"/>
  <c r="L193" i="16" s="1"/>
  <c r="L200" i="16" s="1"/>
  <c r="H22" i="16"/>
  <c r="I23" i="16" s="1"/>
  <c r="I194" i="16" s="1"/>
  <c r="I201" i="16" s="1"/>
  <c r="H17" i="16"/>
  <c r="I17" i="16" s="1"/>
  <c r="J17" i="16" s="1"/>
  <c r="K17" i="16" s="1"/>
  <c r="L17" i="16" s="1"/>
  <c r="E15" i="16"/>
  <c r="E9" i="16"/>
  <c r="E324" i="16"/>
  <c r="F329" i="16"/>
  <c r="E329" i="16"/>
  <c r="G321" i="16"/>
  <c r="F321" i="16"/>
  <c r="E321" i="16"/>
  <c r="G316" i="16"/>
  <c r="F316" i="16"/>
  <c r="E316" i="16"/>
  <c r="G330" i="16"/>
  <c r="F330" i="16"/>
  <c r="E330" i="16"/>
  <c r="G329" i="16"/>
  <c r="E303" i="16"/>
  <c r="G297" i="16"/>
  <c r="F297" i="16"/>
  <c r="E297" i="16"/>
  <c r="G293" i="16"/>
  <c r="F293" i="16"/>
  <c r="E293" i="16"/>
  <c r="F286" i="16"/>
  <c r="E286" i="16"/>
  <c r="G286" i="16"/>
  <c r="E277" i="16"/>
  <c r="F270" i="16"/>
  <c r="E270" i="16"/>
  <c r="G270" i="16"/>
  <c r="G263" i="16"/>
  <c r="F263" i="16"/>
  <c r="E263" i="16"/>
  <c r="G250" i="16"/>
  <c r="F250" i="16"/>
  <c r="E250" i="16"/>
  <c r="E246" i="16"/>
  <c r="F7" i="16"/>
  <c r="F303" i="16" s="1"/>
  <c r="L87" i="15"/>
  <c r="K87" i="15"/>
  <c r="J87" i="15"/>
  <c r="I87" i="15"/>
  <c r="H87" i="15"/>
  <c r="G87" i="15"/>
  <c r="F87" i="15"/>
  <c r="E87" i="15"/>
  <c r="L83" i="15"/>
  <c r="K83" i="15"/>
  <c r="J83" i="15"/>
  <c r="I83" i="15"/>
  <c r="H83" i="15"/>
  <c r="G83" i="15"/>
  <c r="F83" i="15"/>
  <c r="E83" i="15"/>
  <c r="L82" i="15"/>
  <c r="K82" i="15"/>
  <c r="J82" i="15"/>
  <c r="I82" i="15"/>
  <c r="H82" i="15"/>
  <c r="G82" i="15"/>
  <c r="F82" i="15"/>
  <c r="E82" i="15"/>
  <c r="L78" i="15"/>
  <c r="K78" i="15"/>
  <c r="J78" i="15"/>
  <c r="I78" i="15"/>
  <c r="H78" i="15"/>
  <c r="G78" i="15"/>
  <c r="F78" i="15"/>
  <c r="E78" i="15"/>
  <c r="L77" i="15"/>
  <c r="K77" i="15"/>
  <c r="J77" i="15"/>
  <c r="I77" i="15"/>
  <c r="H77" i="15"/>
  <c r="G77" i="15"/>
  <c r="F77" i="15"/>
  <c r="E77" i="15"/>
  <c r="L76" i="15"/>
  <c r="K76" i="15"/>
  <c r="J76" i="15"/>
  <c r="I76" i="15"/>
  <c r="H76" i="15"/>
  <c r="G76" i="15"/>
  <c r="F76" i="15"/>
  <c r="E76" i="15"/>
  <c r="L75" i="15"/>
  <c r="K75" i="15"/>
  <c r="J75" i="15"/>
  <c r="I75" i="15"/>
  <c r="H75" i="15"/>
  <c r="G75" i="15"/>
  <c r="F75" i="15"/>
  <c r="E75" i="15"/>
  <c r="E79" i="15" s="1"/>
  <c r="L71" i="15"/>
  <c r="K71" i="15"/>
  <c r="J71" i="15"/>
  <c r="I71" i="15"/>
  <c r="H71" i="15"/>
  <c r="G71" i="15"/>
  <c r="F71" i="15"/>
  <c r="E71" i="15"/>
  <c r="L70" i="15"/>
  <c r="K70" i="15"/>
  <c r="J70" i="15"/>
  <c r="I70" i="15"/>
  <c r="H70" i="15"/>
  <c r="G70" i="15"/>
  <c r="F70" i="15"/>
  <c r="E70" i="15"/>
  <c r="L69" i="15"/>
  <c r="K69" i="15"/>
  <c r="J69" i="15"/>
  <c r="I69" i="15"/>
  <c r="H69" i="15"/>
  <c r="G69" i="15"/>
  <c r="F69" i="15"/>
  <c r="E69" i="15"/>
  <c r="L68" i="15"/>
  <c r="K68" i="15"/>
  <c r="J68" i="15"/>
  <c r="I68" i="15"/>
  <c r="H68" i="15"/>
  <c r="G68" i="15"/>
  <c r="F68" i="15"/>
  <c r="E68" i="15"/>
  <c r="E72" i="15" s="1"/>
  <c r="L59" i="15"/>
  <c r="K59" i="15"/>
  <c r="J59" i="15"/>
  <c r="I59" i="15"/>
  <c r="H59" i="15"/>
  <c r="G59" i="15"/>
  <c r="F59" i="15"/>
  <c r="E59" i="15"/>
  <c r="L58" i="15"/>
  <c r="K58" i="15"/>
  <c r="J58" i="15"/>
  <c r="I58" i="15"/>
  <c r="H58" i="15"/>
  <c r="G58" i="15"/>
  <c r="F58" i="15"/>
  <c r="E58" i="15"/>
  <c r="E60" i="15" s="1"/>
  <c r="L55" i="15"/>
  <c r="K55" i="15"/>
  <c r="J55" i="15"/>
  <c r="I55" i="15"/>
  <c r="H55" i="15"/>
  <c r="G55" i="15"/>
  <c r="F55" i="15"/>
  <c r="E55" i="15"/>
  <c r="L54" i="15"/>
  <c r="K54" i="15"/>
  <c r="J54" i="15"/>
  <c r="I54" i="15"/>
  <c r="H54" i="15"/>
  <c r="G54" i="15"/>
  <c r="F54" i="15"/>
  <c r="E54" i="15"/>
  <c r="L53" i="15"/>
  <c r="K53" i="15"/>
  <c r="J53" i="15"/>
  <c r="I53" i="15"/>
  <c r="H53" i="15"/>
  <c r="G53" i="15"/>
  <c r="F53" i="15"/>
  <c r="E53" i="15"/>
  <c r="L52" i="15"/>
  <c r="K52" i="15"/>
  <c r="J52" i="15"/>
  <c r="I52" i="15"/>
  <c r="H52" i="15"/>
  <c r="G52" i="15"/>
  <c r="F52" i="15"/>
  <c r="E52" i="15"/>
  <c r="E56" i="15" s="1"/>
  <c r="L48" i="15"/>
  <c r="K48" i="15"/>
  <c r="J48" i="15"/>
  <c r="I48" i="15"/>
  <c r="H48" i="15"/>
  <c r="G48" i="15"/>
  <c r="F48" i="15"/>
  <c r="E48" i="15"/>
  <c r="L47" i="15"/>
  <c r="K47" i="15"/>
  <c r="J47" i="15"/>
  <c r="I47" i="15"/>
  <c r="H47" i="15"/>
  <c r="G47" i="15"/>
  <c r="F47" i="15"/>
  <c r="E47" i="15"/>
  <c r="L46" i="15"/>
  <c r="K46" i="15"/>
  <c r="J46" i="15"/>
  <c r="I46" i="15"/>
  <c r="H46" i="15"/>
  <c r="G46" i="15"/>
  <c r="F46" i="15"/>
  <c r="E46" i="15"/>
  <c r="L45" i="15"/>
  <c r="K45" i="15"/>
  <c r="J45" i="15"/>
  <c r="I45" i="15"/>
  <c r="H45" i="15"/>
  <c r="G45" i="15"/>
  <c r="F45" i="15"/>
  <c r="E45" i="15"/>
  <c r="L44" i="15"/>
  <c r="K44" i="15"/>
  <c r="J44" i="15"/>
  <c r="I44" i="15"/>
  <c r="H44" i="15"/>
  <c r="G44" i="15"/>
  <c r="F44" i="15"/>
  <c r="E44" i="15"/>
  <c r="L43" i="15"/>
  <c r="K43" i="15"/>
  <c r="J43" i="15"/>
  <c r="I43" i="15"/>
  <c r="H43" i="15"/>
  <c r="G43" i="15"/>
  <c r="F43" i="15"/>
  <c r="E43" i="15"/>
  <c r="L42" i="15"/>
  <c r="K42" i="15"/>
  <c r="J42" i="15"/>
  <c r="I42" i="15"/>
  <c r="H42" i="15"/>
  <c r="G42" i="15"/>
  <c r="F42" i="15"/>
  <c r="E42" i="15"/>
  <c r="L36" i="15"/>
  <c r="K36" i="15"/>
  <c r="J36" i="15"/>
  <c r="I36" i="15"/>
  <c r="H36" i="15"/>
  <c r="G36" i="15"/>
  <c r="F36" i="15"/>
  <c r="E36" i="15"/>
  <c r="L32" i="15"/>
  <c r="K32" i="15"/>
  <c r="J32" i="15"/>
  <c r="I32" i="15"/>
  <c r="H32" i="15"/>
  <c r="G32" i="15"/>
  <c r="F32" i="15"/>
  <c r="E32" i="15"/>
  <c r="L31" i="15"/>
  <c r="K31" i="15"/>
  <c r="J31" i="15"/>
  <c r="I31" i="15"/>
  <c r="H31" i="15"/>
  <c r="G31" i="15"/>
  <c r="F31" i="15"/>
  <c r="E31" i="15"/>
  <c r="L30" i="15"/>
  <c r="K30" i="15"/>
  <c r="J30" i="15"/>
  <c r="I30" i="15"/>
  <c r="H30" i="15"/>
  <c r="G30" i="15"/>
  <c r="F30" i="15"/>
  <c r="E30" i="15"/>
  <c r="L25" i="15"/>
  <c r="K25" i="15"/>
  <c r="J25" i="15"/>
  <c r="I25" i="15"/>
  <c r="H25" i="15"/>
  <c r="G25" i="15"/>
  <c r="F25" i="15"/>
  <c r="E25" i="15"/>
  <c r="L24" i="15"/>
  <c r="K24" i="15"/>
  <c r="J24" i="15"/>
  <c r="I24" i="15"/>
  <c r="H24" i="15"/>
  <c r="G24" i="15"/>
  <c r="F24" i="15"/>
  <c r="E24" i="15"/>
  <c r="L23" i="15"/>
  <c r="K23" i="15"/>
  <c r="J23" i="15"/>
  <c r="I23" i="15"/>
  <c r="H23" i="15"/>
  <c r="G23" i="15"/>
  <c r="F23" i="15"/>
  <c r="E23" i="15"/>
  <c r="L22" i="15"/>
  <c r="K22" i="15"/>
  <c r="J22" i="15"/>
  <c r="I22" i="15"/>
  <c r="H22" i="15"/>
  <c r="G22" i="15"/>
  <c r="F22" i="15"/>
  <c r="E22" i="15"/>
  <c r="L21" i="15"/>
  <c r="K21" i="15"/>
  <c r="J21" i="15"/>
  <c r="I21" i="15"/>
  <c r="H21" i="15"/>
  <c r="G21" i="15"/>
  <c r="F21" i="15"/>
  <c r="E21" i="15"/>
  <c r="L20" i="15"/>
  <c r="K20" i="15"/>
  <c r="J20" i="15"/>
  <c r="I20" i="15"/>
  <c r="H20" i="15"/>
  <c r="G20" i="15"/>
  <c r="F20" i="15"/>
  <c r="E20" i="15"/>
  <c r="L19" i="15"/>
  <c r="K19" i="15"/>
  <c r="J19" i="15"/>
  <c r="I19" i="15"/>
  <c r="H19" i="15"/>
  <c r="G19" i="15"/>
  <c r="F19" i="15"/>
  <c r="E19" i="15"/>
  <c r="L18" i="15"/>
  <c r="K18" i="15"/>
  <c r="J18" i="15"/>
  <c r="I18" i="15"/>
  <c r="H18" i="15"/>
  <c r="G18" i="15"/>
  <c r="F18" i="15"/>
  <c r="E18" i="15"/>
  <c r="L17" i="15"/>
  <c r="K17" i="15"/>
  <c r="J17" i="15"/>
  <c r="I17" i="15"/>
  <c r="H17" i="15"/>
  <c r="H30" i="18" s="1"/>
  <c r="G17" i="15"/>
  <c r="G30" i="18" s="1"/>
  <c r="F17" i="15"/>
  <c r="F30" i="18" s="1"/>
  <c r="E17" i="15"/>
  <c r="L16" i="15"/>
  <c r="K16" i="15"/>
  <c r="J16" i="15"/>
  <c r="I16" i="15"/>
  <c r="H16" i="15"/>
  <c r="G16" i="15"/>
  <c r="F16" i="15"/>
  <c r="E16" i="15"/>
  <c r="E26" i="15" s="1"/>
  <c r="E33" i="18" s="1"/>
  <c r="L12" i="15"/>
  <c r="K12" i="15"/>
  <c r="J12" i="15"/>
  <c r="I12" i="15"/>
  <c r="H12" i="15"/>
  <c r="G12" i="15"/>
  <c r="G13" i="15" s="1"/>
  <c r="F12" i="15"/>
  <c r="F13" i="15" s="1"/>
  <c r="E12" i="15"/>
  <c r="F11" i="15"/>
  <c r="AF17" i="19" s="1"/>
  <c r="G11" i="15"/>
  <c r="AG17" i="19" s="1"/>
  <c r="H11" i="15"/>
  <c r="AH17" i="19" s="1"/>
  <c r="I11" i="15"/>
  <c r="V17" i="19" s="1"/>
  <c r="J11" i="15"/>
  <c r="W17" i="19" s="1"/>
  <c r="K11" i="15"/>
  <c r="X17" i="19" s="1"/>
  <c r="L11" i="15"/>
  <c r="Y17" i="19" s="1"/>
  <c r="E11" i="15"/>
  <c r="E27" i="18" s="1"/>
  <c r="E92" i="15"/>
  <c r="E84" i="15"/>
  <c r="E66" i="15"/>
  <c r="E40" i="15"/>
  <c r="L13" i="15"/>
  <c r="I13" i="15"/>
  <c r="E9" i="15"/>
  <c r="F7" i="15"/>
  <c r="F9" i="15" s="1"/>
  <c r="F9" i="14"/>
  <c r="G9" i="14"/>
  <c r="H9" i="14"/>
  <c r="I9" i="14"/>
  <c r="J9" i="14"/>
  <c r="K9" i="14"/>
  <c r="L9" i="14"/>
  <c r="E9" i="14"/>
  <c r="F7" i="14"/>
  <c r="G7" i="14" s="1"/>
  <c r="H7" i="14" s="1"/>
  <c r="I7" i="14" s="1"/>
  <c r="J7" i="14" s="1"/>
  <c r="K7" i="14" s="1"/>
  <c r="L7" i="14" s="1"/>
  <c r="AH104" i="13"/>
  <c r="AH96" i="13"/>
  <c r="AH88" i="13"/>
  <c r="AL101" i="13"/>
  <c r="AK101" i="13"/>
  <c r="AJ101" i="13"/>
  <c r="AI101" i="13"/>
  <c r="AH101" i="13"/>
  <c r="AL93" i="13"/>
  <c r="AK93" i="13"/>
  <c r="AJ93" i="13"/>
  <c r="AI93" i="13"/>
  <c r="AH93" i="13"/>
  <c r="AI85" i="13"/>
  <c r="AJ85" i="13"/>
  <c r="AK85" i="13"/>
  <c r="AL85" i="13"/>
  <c r="AH85" i="13"/>
  <c r="AK71" i="13"/>
  <c r="AK72" i="13"/>
  <c r="AK73" i="13"/>
  <c r="AK74" i="13"/>
  <c r="AK75" i="13"/>
  <c r="AK76" i="13"/>
  <c r="AK77" i="13"/>
  <c r="AK78" i="13"/>
  <c r="AK79" i="13"/>
  <c r="AK70" i="13"/>
  <c r="AJ71" i="13"/>
  <c r="AJ72" i="13"/>
  <c r="AJ67" i="13" s="1"/>
  <c r="AJ73" i="13"/>
  <c r="AK67" i="13" s="1"/>
  <c r="AJ74" i="13"/>
  <c r="AL67" i="13" s="1"/>
  <c r="AJ75" i="13"/>
  <c r="AJ76" i="13"/>
  <c r="AJ77" i="13"/>
  <c r="AJ78" i="13"/>
  <c r="AJ79" i="13"/>
  <c r="AJ70" i="13"/>
  <c r="AI71" i="13"/>
  <c r="AI72" i="13"/>
  <c r="AI73" i="13"/>
  <c r="AI74" i="13"/>
  <c r="AI75" i="13"/>
  <c r="AI76" i="13"/>
  <c r="AI77" i="13"/>
  <c r="AI78" i="13"/>
  <c r="AI79" i="13"/>
  <c r="AI70" i="13"/>
  <c r="V64" i="13"/>
  <c r="W64" i="13"/>
  <c r="X64" i="13"/>
  <c r="Y64" i="13"/>
  <c r="U64" i="13"/>
  <c r="X71" i="13"/>
  <c r="X72" i="13"/>
  <c r="X73" i="13"/>
  <c r="X74" i="13"/>
  <c r="X75" i="13"/>
  <c r="X76" i="13"/>
  <c r="X77" i="13"/>
  <c r="X78" i="13"/>
  <c r="X79" i="13"/>
  <c r="X70" i="13"/>
  <c r="W71" i="13"/>
  <c r="W72" i="13"/>
  <c r="W73" i="13"/>
  <c r="W74" i="13"/>
  <c r="W75" i="13"/>
  <c r="W76" i="13"/>
  <c r="W77" i="13"/>
  <c r="W78" i="13"/>
  <c r="W79" i="13"/>
  <c r="W70" i="13"/>
  <c r="V71" i="13"/>
  <c r="V72" i="13"/>
  <c r="V73" i="13"/>
  <c r="V74" i="13"/>
  <c r="V75" i="13"/>
  <c r="V76" i="13"/>
  <c r="V77" i="13"/>
  <c r="V78" i="13"/>
  <c r="V79" i="13"/>
  <c r="V70" i="13"/>
  <c r="AI67" i="13"/>
  <c r="AH67" i="13"/>
  <c r="AI64" i="13"/>
  <c r="AJ64" i="13"/>
  <c r="AK64" i="13"/>
  <c r="AL64" i="13"/>
  <c r="AH64" i="13"/>
  <c r="AH155" i="13"/>
  <c r="AG40" i="13"/>
  <c r="AF40" i="13"/>
  <c r="AE40" i="13"/>
  <c r="AG38" i="13"/>
  <c r="AF38" i="13"/>
  <c r="AE38" i="13"/>
  <c r="AG36" i="13"/>
  <c r="AF36" i="13"/>
  <c r="AE36" i="13"/>
  <c r="AG33" i="13"/>
  <c r="AF33" i="13"/>
  <c r="AE33" i="13"/>
  <c r="AG32" i="13"/>
  <c r="AF32" i="13"/>
  <c r="AE32" i="13"/>
  <c r="AG31" i="13"/>
  <c r="AF31" i="13"/>
  <c r="AE31" i="13"/>
  <c r="AG30" i="13"/>
  <c r="AF30" i="13"/>
  <c r="AE30" i="13"/>
  <c r="AG29" i="13"/>
  <c r="AF29" i="13"/>
  <c r="AE29" i="13"/>
  <c r="AG28" i="13"/>
  <c r="AF28" i="13"/>
  <c r="AE28" i="13"/>
  <c r="AG27" i="13"/>
  <c r="AF27" i="13"/>
  <c r="AE27" i="13"/>
  <c r="AG26" i="13"/>
  <c r="AF26" i="13"/>
  <c r="AE26" i="13"/>
  <c r="AG25" i="13"/>
  <c r="AF25" i="13"/>
  <c r="AE25" i="13"/>
  <c r="AG24" i="13"/>
  <c r="AF24" i="13"/>
  <c r="AE24" i="13"/>
  <c r="AG21" i="13"/>
  <c r="AF21" i="13"/>
  <c r="AE21" i="13"/>
  <c r="AF20" i="13"/>
  <c r="AG20" i="13"/>
  <c r="AE20" i="13"/>
  <c r="E231" i="13" a="1"/>
  <c r="E231" i="13" s="1"/>
  <c r="E87" i="21" s="1"/>
  <c r="L227" i="13" a="1"/>
  <c r="L227" i="13" s="1"/>
  <c r="L83" i="21" s="1"/>
  <c r="K227" i="13" a="1"/>
  <c r="K227" i="13" s="1"/>
  <c r="K83" i="21" s="1"/>
  <c r="J227" i="13" a="1"/>
  <c r="J227" i="13" s="1"/>
  <c r="I227" i="13" a="1"/>
  <c r="I227" i="13" s="1"/>
  <c r="I83" i="21" s="1"/>
  <c r="H227" i="13" a="1"/>
  <c r="H227" i="13" s="1"/>
  <c r="H83" i="21" s="1"/>
  <c r="G227" i="13" a="1"/>
  <c r="G227" i="13" s="1"/>
  <c r="F227" i="13" a="1"/>
  <c r="F227" i="13" s="1"/>
  <c r="E227" i="13" a="1"/>
  <c r="E227" i="13" s="1"/>
  <c r="G226" i="13" a="1"/>
  <c r="G226" i="13" s="1"/>
  <c r="G82" i="21" s="1"/>
  <c r="F226" i="13" a="1"/>
  <c r="F226" i="13" s="1"/>
  <c r="F82" i="21" s="1"/>
  <c r="E226" i="13" a="1"/>
  <c r="E226" i="13" s="1"/>
  <c r="E82" i="21" s="1"/>
  <c r="L222" i="13" a="1"/>
  <c r="L222" i="13" s="1"/>
  <c r="L78" i="21" s="1"/>
  <c r="K222" i="13" a="1"/>
  <c r="K222" i="13" s="1"/>
  <c r="J222" i="13" a="1"/>
  <c r="J222" i="13" s="1"/>
  <c r="I222" i="13" a="1"/>
  <c r="I222" i="13" s="1"/>
  <c r="I78" i="21" s="1"/>
  <c r="H222" i="13" a="1"/>
  <c r="H222" i="13" s="1"/>
  <c r="H78" i="21" s="1"/>
  <c r="G222" i="13" a="1"/>
  <c r="G222" i="13" s="1"/>
  <c r="F222" i="13" a="1"/>
  <c r="F222" i="13" s="1"/>
  <c r="E222" i="13" a="1"/>
  <c r="E222" i="13" s="1"/>
  <c r="L221" i="13" a="1"/>
  <c r="L221" i="13" s="1"/>
  <c r="L77" i="21" s="1"/>
  <c r="K221" i="13" a="1"/>
  <c r="K221" i="13" s="1"/>
  <c r="K77" i="21" s="1"/>
  <c r="J221" i="13" a="1"/>
  <c r="J221" i="13" s="1"/>
  <c r="J77" i="21" s="1"/>
  <c r="I221" i="13" a="1"/>
  <c r="I221" i="13" s="1"/>
  <c r="I77" i="21" s="1"/>
  <c r="H221" i="13" a="1"/>
  <c r="H221" i="13" s="1"/>
  <c r="H77" i="21" s="1"/>
  <c r="G221" i="13" a="1"/>
  <c r="G221" i="13" s="1"/>
  <c r="G77" i="21" s="1"/>
  <c r="F221" i="13" a="1"/>
  <c r="F221" i="13" s="1"/>
  <c r="F77" i="21" s="1"/>
  <c r="E221" i="13" a="1"/>
  <c r="E221" i="13" s="1"/>
  <c r="E77" i="21" s="1"/>
  <c r="L220" i="13" a="1"/>
  <c r="L220" i="13" s="1"/>
  <c r="L76" i="21" s="1"/>
  <c r="K220" i="13" a="1"/>
  <c r="K220" i="13" s="1"/>
  <c r="J220" i="13" a="1"/>
  <c r="J220" i="13" s="1"/>
  <c r="I220" i="13" a="1"/>
  <c r="I220" i="13" s="1"/>
  <c r="I76" i="21" s="1"/>
  <c r="H220" i="13" a="1"/>
  <c r="H220" i="13" s="1"/>
  <c r="H76" i="21" s="1"/>
  <c r="G220" i="13" a="1"/>
  <c r="G220" i="13" s="1"/>
  <c r="F220" i="13" a="1"/>
  <c r="F220" i="13" s="1"/>
  <c r="E220" i="13" a="1"/>
  <c r="E220" i="13" s="1"/>
  <c r="G219" i="13" a="1"/>
  <c r="G219" i="13" s="1"/>
  <c r="G75" i="21" s="1"/>
  <c r="F219" i="13" a="1"/>
  <c r="F219" i="13" s="1"/>
  <c r="F75" i="21" s="1"/>
  <c r="E219" i="13" a="1"/>
  <c r="E219" i="13" s="1"/>
  <c r="E75" i="21" s="1"/>
  <c r="G215" i="13" a="1"/>
  <c r="G215" i="13" s="1"/>
  <c r="G71" i="21" s="1"/>
  <c r="F215" i="13" a="1"/>
  <c r="F215" i="13" s="1"/>
  <c r="E215" i="13" a="1"/>
  <c r="E215" i="13" s="1"/>
  <c r="G214" i="13" a="1"/>
  <c r="G214" i="13" s="1"/>
  <c r="G70" i="21" s="1"/>
  <c r="F214" i="13" a="1"/>
  <c r="F214" i="13" s="1"/>
  <c r="F70" i="21" s="1"/>
  <c r="E214" i="13" a="1"/>
  <c r="E214" i="13" s="1"/>
  <c r="E70" i="21" s="1"/>
  <c r="G213" i="13" a="1"/>
  <c r="G213" i="13" s="1"/>
  <c r="G69" i="21" s="1"/>
  <c r="F213" i="13" a="1"/>
  <c r="F213" i="13" s="1"/>
  <c r="E213" i="13" a="1"/>
  <c r="E213" i="13" s="1"/>
  <c r="G212" i="13" a="1"/>
  <c r="G212" i="13" s="1"/>
  <c r="G68" i="21" s="1"/>
  <c r="F212" i="13" a="1"/>
  <c r="F212" i="13" s="1"/>
  <c r="F68" i="21" s="1"/>
  <c r="E212" i="13" a="1"/>
  <c r="E212" i="13" s="1"/>
  <c r="E68" i="21" s="1"/>
  <c r="G203" i="13" a="1"/>
  <c r="G203" i="13" s="1"/>
  <c r="G59" i="21" s="1"/>
  <c r="F203" i="13" a="1"/>
  <c r="F203" i="13" s="1"/>
  <c r="E203" i="13" a="1"/>
  <c r="E203" i="13" s="1"/>
  <c r="G202" i="13" a="1"/>
  <c r="G202" i="13" s="1"/>
  <c r="F202" i="13" a="1"/>
  <c r="F202" i="13" s="1"/>
  <c r="E202" i="13" a="1"/>
  <c r="E202" i="13" s="1"/>
  <c r="L199" i="13" a="1"/>
  <c r="L199" i="13" s="1"/>
  <c r="K199" i="13" a="1"/>
  <c r="K199" i="13" s="1"/>
  <c r="J199" i="13" a="1"/>
  <c r="J199" i="13" s="1"/>
  <c r="J55" i="21" s="1"/>
  <c r="I199" i="13" a="1"/>
  <c r="I199" i="13" s="1"/>
  <c r="I55" i="21" s="1"/>
  <c r="H199" i="13" a="1"/>
  <c r="H199" i="13" s="1"/>
  <c r="G199" i="13" a="1"/>
  <c r="G199" i="13" s="1"/>
  <c r="G55" i="21" s="1"/>
  <c r="F199" i="13" a="1"/>
  <c r="F199" i="13" s="1"/>
  <c r="E199" i="13" a="1"/>
  <c r="E199" i="13" s="1"/>
  <c r="G198" i="13" a="1"/>
  <c r="G198" i="13" s="1"/>
  <c r="G54" i="21" s="1"/>
  <c r="F198" i="13" a="1"/>
  <c r="F198" i="13" s="1"/>
  <c r="F54" i="21" s="1"/>
  <c r="E198" i="13" a="1"/>
  <c r="E198" i="13" s="1"/>
  <c r="E54" i="21" s="1"/>
  <c r="L197" i="13" a="1"/>
  <c r="L197" i="13" s="1"/>
  <c r="K197" i="13" a="1"/>
  <c r="K197" i="13" s="1"/>
  <c r="J197" i="13" a="1"/>
  <c r="J197" i="13" s="1"/>
  <c r="J53" i="21" s="1"/>
  <c r="G197" i="13" a="1"/>
  <c r="G197" i="13" s="1"/>
  <c r="G53" i="21" s="1"/>
  <c r="F197" i="13" a="1"/>
  <c r="F197" i="13" s="1"/>
  <c r="E197" i="13" a="1"/>
  <c r="E197" i="13" s="1"/>
  <c r="G196" i="13" a="1"/>
  <c r="G196" i="13" s="1"/>
  <c r="G52" i="21" s="1"/>
  <c r="F196" i="13" a="1"/>
  <c r="F196" i="13" s="1"/>
  <c r="F52" i="21" s="1"/>
  <c r="E196" i="13" a="1"/>
  <c r="E196" i="13" s="1"/>
  <c r="E52" i="21" s="1"/>
  <c r="G192" i="13" a="1"/>
  <c r="G192" i="13" s="1"/>
  <c r="G14" i="22" s="1"/>
  <c r="F192" i="13" a="1"/>
  <c r="F192" i="13" s="1"/>
  <c r="F14" i="22" s="1"/>
  <c r="E192" i="13" a="1"/>
  <c r="E192" i="13" s="1"/>
  <c r="E14" i="22" s="1"/>
  <c r="G191" i="13" a="1"/>
  <c r="G191" i="13" s="1"/>
  <c r="G47" i="21" s="1"/>
  <c r="F191" i="13" a="1"/>
  <c r="F191" i="13" s="1"/>
  <c r="F47" i="21" s="1"/>
  <c r="E191" i="13" a="1"/>
  <c r="E191" i="13" s="1"/>
  <c r="E47" i="21" s="1"/>
  <c r="G190" i="13" a="1"/>
  <c r="G190" i="13" s="1"/>
  <c r="F190" i="13" a="1"/>
  <c r="F190" i="13" s="1"/>
  <c r="E190" i="13" a="1"/>
  <c r="E190" i="13" s="1"/>
  <c r="G189" i="13" a="1"/>
  <c r="G189" i="13" s="1"/>
  <c r="G45" i="21" s="1"/>
  <c r="F189" i="13" a="1"/>
  <c r="F189" i="13" s="1"/>
  <c r="E189" i="13" a="1"/>
  <c r="E189" i="13" s="1"/>
  <c r="E45" i="21" s="1"/>
  <c r="L188" i="13" a="1"/>
  <c r="L188" i="13" s="1"/>
  <c r="G188" i="13" a="1"/>
  <c r="G188" i="13" s="1"/>
  <c r="G44" i="21" s="1"/>
  <c r="F188" i="13" a="1"/>
  <c r="F188" i="13" s="1"/>
  <c r="E188" i="13" a="1"/>
  <c r="E188" i="13" s="1"/>
  <c r="G187" i="13" a="1"/>
  <c r="G187" i="13" s="1"/>
  <c r="G43" i="21" s="1"/>
  <c r="F187" i="13" a="1"/>
  <c r="F187" i="13" s="1"/>
  <c r="F43" i="21" s="1"/>
  <c r="E187" i="13" a="1"/>
  <c r="E187" i="13" s="1"/>
  <c r="G186" i="13" a="1"/>
  <c r="G186" i="13" s="1"/>
  <c r="F186" i="13" a="1"/>
  <c r="F186" i="13" s="1"/>
  <c r="E186" i="13" a="1"/>
  <c r="E186" i="13" s="1"/>
  <c r="G180" i="13" a="1"/>
  <c r="G180" i="13" s="1"/>
  <c r="F180" i="13" a="1"/>
  <c r="F180" i="13" s="1"/>
  <c r="F36" i="21" s="1"/>
  <c r="E180" i="13" a="1"/>
  <c r="E180" i="13" s="1"/>
  <c r="E36" i="21" s="1"/>
  <c r="G176" i="13" a="1"/>
  <c r="G176" i="13" s="1"/>
  <c r="G32" i="21" s="1"/>
  <c r="F176" i="13" a="1"/>
  <c r="F176" i="13" s="1"/>
  <c r="E176" i="13" a="1"/>
  <c r="E176" i="13" s="1"/>
  <c r="G175" i="13" a="1"/>
  <c r="G175" i="13" s="1"/>
  <c r="F175" i="13" a="1"/>
  <c r="F175" i="13" s="1"/>
  <c r="F31" i="21" s="1"/>
  <c r="E175" i="13" a="1"/>
  <c r="E175" i="13" s="1"/>
  <c r="G174" i="13" a="1"/>
  <c r="G174" i="13" s="1"/>
  <c r="G30" i="21" s="1"/>
  <c r="F174" i="13" a="1"/>
  <c r="F174" i="13" s="1"/>
  <c r="E174" i="13" a="1"/>
  <c r="E174" i="13" s="1"/>
  <c r="G169" i="13" a="1"/>
  <c r="G169" i="13" s="1"/>
  <c r="G25" i="21" s="1"/>
  <c r="F169" i="13" a="1"/>
  <c r="F169" i="13" s="1"/>
  <c r="E169" i="13" a="1"/>
  <c r="E169" i="13" s="1"/>
  <c r="G168" i="13" a="1"/>
  <c r="G168" i="13" s="1"/>
  <c r="G24" i="21" s="1"/>
  <c r="F168" i="13" a="1"/>
  <c r="F168" i="13" s="1"/>
  <c r="E168" i="13" a="1"/>
  <c r="E168" i="13" s="1"/>
  <c r="G167" i="13" a="1"/>
  <c r="G167" i="13" s="1"/>
  <c r="G23" i="21" s="1"/>
  <c r="F167" i="13" a="1"/>
  <c r="F167" i="13" s="1"/>
  <c r="E167" i="13" a="1"/>
  <c r="E167" i="13" s="1"/>
  <c r="E23" i="21" s="1"/>
  <c r="G166" i="13" a="1"/>
  <c r="G166" i="13" s="1"/>
  <c r="G22" i="21" s="1"/>
  <c r="F166" i="13" a="1"/>
  <c r="F166" i="13" s="1"/>
  <c r="E166" i="13" a="1"/>
  <c r="E166" i="13" s="1"/>
  <c r="G165" i="13" a="1"/>
  <c r="G165" i="13" s="1"/>
  <c r="G21" i="21" s="1"/>
  <c r="F165" i="13" a="1"/>
  <c r="F165" i="13" s="1"/>
  <c r="E165" i="13" a="1"/>
  <c r="E165" i="13" s="1"/>
  <c r="E21" i="21" s="1"/>
  <c r="G164" i="13" a="1"/>
  <c r="G164" i="13" s="1"/>
  <c r="G20" i="21" s="1"/>
  <c r="F164" i="13" a="1"/>
  <c r="F164" i="13" s="1"/>
  <c r="E164" i="13" a="1"/>
  <c r="E164" i="13" s="1"/>
  <c r="G163" i="13" a="1"/>
  <c r="G163" i="13" s="1"/>
  <c r="G19" i="21" s="1"/>
  <c r="F163" i="13" a="1"/>
  <c r="F163" i="13" s="1"/>
  <c r="F19" i="21" s="1"/>
  <c r="E163" i="13" a="1"/>
  <c r="E163" i="13" s="1"/>
  <c r="G162" i="13" a="1"/>
  <c r="G162" i="13" s="1"/>
  <c r="G18" i="21" s="1"/>
  <c r="F162" i="13" a="1"/>
  <c r="F162" i="13" s="1"/>
  <c r="E162" i="13" a="1"/>
  <c r="E162" i="13" s="1"/>
  <c r="G161" i="13" a="1"/>
  <c r="G161" i="13" s="1"/>
  <c r="G17" i="21" s="1"/>
  <c r="F161" i="13" a="1"/>
  <c r="F161" i="13" s="1"/>
  <c r="F17" i="21" s="1"/>
  <c r="E161" i="13" a="1"/>
  <c r="E161" i="13" s="1"/>
  <c r="E17" i="21" s="1"/>
  <c r="G160" i="13" a="1"/>
  <c r="G160" i="13" s="1"/>
  <c r="G16" i="21" s="1"/>
  <c r="F160" i="13" a="1"/>
  <c r="F160" i="13" s="1"/>
  <c r="F16" i="21" s="1"/>
  <c r="E160" i="13" a="1"/>
  <c r="E160" i="13" s="1"/>
  <c r="G156" i="13" a="1"/>
  <c r="G156" i="13" s="1"/>
  <c r="G12" i="21" s="1"/>
  <c r="F156" i="13" a="1"/>
  <c r="F156" i="13" s="1"/>
  <c r="F12" i="21" s="1"/>
  <c r="E156" i="13" a="1"/>
  <c r="E156" i="13" s="1"/>
  <c r="F155" i="13" a="1"/>
  <c r="F155" i="13" s="1"/>
  <c r="F14" i="20" s="1"/>
  <c r="G155" i="13" a="1"/>
  <c r="G155" i="13" s="1"/>
  <c r="G14" i="20" s="1"/>
  <c r="H155" i="13" a="1"/>
  <c r="H155" i="13" s="1"/>
  <c r="H14" i="20" s="1"/>
  <c r="C10" i="24" s="1"/>
  <c r="E155" i="13" a="1"/>
  <c r="E155" i="13" s="1"/>
  <c r="E14" i="20" s="1"/>
  <c r="T29" i="13"/>
  <c r="C5" i="13" a="1"/>
  <c r="C5" i="13" s="1"/>
  <c r="L9" i="13"/>
  <c r="K9" i="13"/>
  <c r="J9" i="13"/>
  <c r="I9" i="13"/>
  <c r="H9" i="13"/>
  <c r="G9" i="13"/>
  <c r="F9" i="13"/>
  <c r="E9" i="13"/>
  <c r="AG237" i="13"/>
  <c r="AF237" i="13"/>
  <c r="AE237" i="13"/>
  <c r="AG236" i="13"/>
  <c r="AF236" i="13"/>
  <c r="AE236" i="13"/>
  <c r="AG228" i="13"/>
  <c r="AF228" i="13"/>
  <c r="AE228" i="13"/>
  <c r="AL227" i="13"/>
  <c r="AK227" i="13"/>
  <c r="AJ227" i="13"/>
  <c r="AI227" i="13"/>
  <c r="AH227" i="13"/>
  <c r="AG223" i="13"/>
  <c r="AF223" i="13"/>
  <c r="AE223" i="13"/>
  <c r="AL222" i="13"/>
  <c r="AK222" i="13"/>
  <c r="AJ222" i="13"/>
  <c r="AI222" i="13"/>
  <c r="AH222" i="13"/>
  <c r="AG216" i="13"/>
  <c r="AF216" i="13"/>
  <c r="AE216" i="13"/>
  <c r="AE210" i="13"/>
  <c r="AG204" i="13"/>
  <c r="AF204" i="13"/>
  <c r="AE204" i="13"/>
  <c r="AG200" i="13"/>
  <c r="AF200" i="13"/>
  <c r="AE200" i="13"/>
  <c r="AH197" i="13"/>
  <c r="AI197" i="13" s="1"/>
  <c r="AJ197" i="13" s="1"/>
  <c r="AK197" i="13" s="1"/>
  <c r="AL197" i="13" s="1"/>
  <c r="AG193" i="13"/>
  <c r="AF193" i="13"/>
  <c r="AE193" i="13"/>
  <c r="AH188" i="13"/>
  <c r="AI188" i="13" s="1"/>
  <c r="AJ188" i="13" s="1"/>
  <c r="AK188" i="13" s="1"/>
  <c r="AL188" i="13" s="1"/>
  <c r="AE184" i="13"/>
  <c r="AG177" i="13"/>
  <c r="AF177" i="13"/>
  <c r="AE177" i="13"/>
  <c r="AG170" i="13"/>
  <c r="AG102" i="13" s="1"/>
  <c r="AF170" i="13"/>
  <c r="AF102" i="13" s="1"/>
  <c r="AE170" i="13"/>
  <c r="AE102" i="13" s="1"/>
  <c r="AG157" i="13"/>
  <c r="AF157" i="13"/>
  <c r="AE157" i="13"/>
  <c r="AH86" i="13"/>
  <c r="AE153" i="13"/>
  <c r="AE148" i="13"/>
  <c r="AF145" i="13" s="1"/>
  <c r="AE143" i="13"/>
  <c r="AF141" i="13" s="1"/>
  <c r="AF143" i="13" s="1"/>
  <c r="AG141" i="13" s="1"/>
  <c r="AG143" i="13" s="1"/>
  <c r="AH141" i="13" s="1"/>
  <c r="AH143" i="13" s="1"/>
  <c r="AL136" i="13"/>
  <c r="AL119" i="13" s="1"/>
  <c r="AK136" i="13"/>
  <c r="AK119" i="13" s="1"/>
  <c r="AK120" i="13" s="1"/>
  <c r="AJ136" i="13"/>
  <c r="AJ119" i="13" s="1"/>
  <c r="AJ120" i="13" s="1"/>
  <c r="AI136" i="13"/>
  <c r="AI119" i="13" s="1"/>
  <c r="AH136" i="13"/>
  <c r="AH119" i="13" s="1"/>
  <c r="AH120" i="13" s="1"/>
  <c r="AL135" i="13"/>
  <c r="AK135" i="13"/>
  <c r="AJ135" i="13"/>
  <c r="AI135" i="13"/>
  <c r="AH135" i="13"/>
  <c r="AH134" i="13"/>
  <c r="AE126" i="13"/>
  <c r="AF124" i="13" s="1"/>
  <c r="AF126" i="13" s="1"/>
  <c r="AG124" i="13" s="1"/>
  <c r="AG126" i="13" s="1"/>
  <c r="AH124" i="13" s="1"/>
  <c r="AE116" i="13"/>
  <c r="AF112" i="13" s="1"/>
  <c r="AG114" i="13"/>
  <c r="AF114" i="13"/>
  <c r="AG113" i="13"/>
  <c r="AF113" i="13"/>
  <c r="AG105" i="13"/>
  <c r="AF105" i="13"/>
  <c r="AG104" i="13" s="1"/>
  <c r="AE105" i="13"/>
  <c r="AE103" i="13" s="1"/>
  <c r="AG97" i="13"/>
  <c r="AF97" i="13"/>
  <c r="AG96" i="13" s="1"/>
  <c r="AG95" i="13" s="1"/>
  <c r="AE97" i="13"/>
  <c r="AF96" i="13" s="1"/>
  <c r="AG94" i="13"/>
  <c r="AF94" i="13"/>
  <c r="AE94" i="13"/>
  <c r="AG89" i="13"/>
  <c r="AF89" i="13"/>
  <c r="AG88" i="13" s="1"/>
  <c r="AE89" i="13"/>
  <c r="AF88" i="13" s="1"/>
  <c r="AG86" i="13"/>
  <c r="AF86" i="13"/>
  <c r="AE86" i="13"/>
  <c r="AG71" i="13"/>
  <c r="AG72" i="13" s="1"/>
  <c r="AG73" i="13" s="1"/>
  <c r="AF70" i="13"/>
  <c r="AF71" i="13" s="1"/>
  <c r="AF72" i="13" s="1"/>
  <c r="AF73" i="13" s="1"/>
  <c r="AF74" i="13" s="1"/>
  <c r="AF75" i="13" s="1"/>
  <c r="AF76" i="13" s="1"/>
  <c r="AF77" i="13" s="1"/>
  <c r="AF78" i="13" s="1"/>
  <c r="AF79" i="13" s="1"/>
  <c r="AL56" i="13"/>
  <c r="AK56" i="13"/>
  <c r="AJ56" i="13"/>
  <c r="AI56" i="13"/>
  <c r="AH54" i="13"/>
  <c r="AH192" i="13" s="1"/>
  <c r="AI192" i="13" s="1"/>
  <c r="AJ192" i="13" s="1"/>
  <c r="AK192" i="13" s="1"/>
  <c r="AL192" i="13" s="1"/>
  <c r="L192" i="13" s="1" a="1"/>
  <c r="L192" i="13" s="1"/>
  <c r="AL52" i="13"/>
  <c r="AK52" i="13"/>
  <c r="AJ52" i="13"/>
  <c r="AI52" i="13"/>
  <c r="AH52" i="13"/>
  <c r="AL47" i="13"/>
  <c r="AL63" i="13" s="1"/>
  <c r="AK47" i="13"/>
  <c r="AK63" i="13" s="1"/>
  <c r="AJ47" i="13"/>
  <c r="AJ63" i="13" s="1"/>
  <c r="AI47" i="13"/>
  <c r="AI63" i="13" s="1"/>
  <c r="AH47" i="13"/>
  <c r="AH63" i="13" s="1"/>
  <c r="AE16" i="13"/>
  <c r="AF7" i="13"/>
  <c r="AF210" i="13" s="1"/>
  <c r="T237" i="13"/>
  <c r="S237" i="13"/>
  <c r="R237" i="13"/>
  <c r="T236" i="13"/>
  <c r="S236" i="13"/>
  <c r="R236" i="13"/>
  <c r="T228" i="13"/>
  <c r="S228" i="13"/>
  <c r="R228" i="13"/>
  <c r="Y227" i="13"/>
  <c r="X227" i="13"/>
  <c r="W227" i="13"/>
  <c r="V227" i="13"/>
  <c r="U227" i="13"/>
  <c r="T223" i="13"/>
  <c r="S223" i="13"/>
  <c r="R223" i="13"/>
  <c r="Y222" i="13"/>
  <c r="X222" i="13"/>
  <c r="W222" i="13"/>
  <c r="V222" i="13"/>
  <c r="U222" i="13"/>
  <c r="T216" i="13"/>
  <c r="S216" i="13"/>
  <c r="R216" i="13"/>
  <c r="R210" i="13"/>
  <c r="T204" i="13"/>
  <c r="S204" i="13"/>
  <c r="R204" i="13"/>
  <c r="T200" i="13"/>
  <c r="S200" i="13"/>
  <c r="R200" i="13"/>
  <c r="U197" i="13"/>
  <c r="V197" i="13" s="1"/>
  <c r="W197" i="13" s="1"/>
  <c r="X197" i="13" s="1"/>
  <c r="Y197" i="13" s="1"/>
  <c r="T193" i="13"/>
  <c r="S193" i="13"/>
  <c r="R193" i="13"/>
  <c r="U188" i="13"/>
  <c r="V188" i="13" s="1"/>
  <c r="W188" i="13" s="1"/>
  <c r="X188" i="13" s="1"/>
  <c r="Y188" i="13" s="1"/>
  <c r="R184" i="13"/>
  <c r="T177" i="13"/>
  <c r="S177" i="13"/>
  <c r="R177" i="13"/>
  <c r="T170" i="13"/>
  <c r="T102" i="13" s="1"/>
  <c r="S170" i="13"/>
  <c r="S102" i="13" s="1"/>
  <c r="R170" i="13"/>
  <c r="R102" i="13" s="1"/>
  <c r="T157" i="13"/>
  <c r="S157" i="13"/>
  <c r="R157" i="13"/>
  <c r="U155" i="13"/>
  <c r="V155" i="13" s="1"/>
  <c r="R153" i="13"/>
  <c r="R148" i="13"/>
  <c r="S145" i="13" s="1"/>
  <c r="R143" i="13"/>
  <c r="S141" i="13" s="1"/>
  <c r="S143" i="13" s="1"/>
  <c r="T141" i="13" s="1"/>
  <c r="T143" i="13" s="1"/>
  <c r="U141" i="13" s="1"/>
  <c r="U143" i="13" s="1"/>
  <c r="Y136" i="13"/>
  <c r="Y119" i="13" s="1"/>
  <c r="X136" i="13"/>
  <c r="X119" i="13" s="1"/>
  <c r="W136" i="13"/>
  <c r="W119" i="13" s="1"/>
  <c r="V136" i="13"/>
  <c r="V119" i="13" s="1"/>
  <c r="U136" i="13"/>
  <c r="U119" i="13" s="1"/>
  <c r="Y135" i="13"/>
  <c r="X135" i="13"/>
  <c r="W135" i="13"/>
  <c r="V135" i="13"/>
  <c r="U135" i="13"/>
  <c r="U134" i="13"/>
  <c r="R126" i="13"/>
  <c r="S124" i="13" s="1"/>
  <c r="S126" i="13" s="1"/>
  <c r="T124" i="13" s="1"/>
  <c r="T126" i="13" s="1"/>
  <c r="U124" i="13" s="1"/>
  <c r="R116" i="13"/>
  <c r="S112" i="13" s="1"/>
  <c r="T114" i="13"/>
  <c r="S114" i="13"/>
  <c r="T113" i="13"/>
  <c r="S113" i="13"/>
  <c r="T105" i="13"/>
  <c r="U104" i="13" s="1"/>
  <c r="S105" i="13"/>
  <c r="T104" i="13" s="1"/>
  <c r="R105" i="13"/>
  <c r="R103" i="13" s="1"/>
  <c r="T97" i="13"/>
  <c r="U96" i="13" s="1"/>
  <c r="S97" i="13"/>
  <c r="T96" i="13" s="1"/>
  <c r="R97" i="13"/>
  <c r="S96" i="13" s="1"/>
  <c r="T94" i="13"/>
  <c r="S94" i="13"/>
  <c r="R94" i="13"/>
  <c r="T89" i="13"/>
  <c r="U88" i="13" s="1"/>
  <c r="S89" i="13"/>
  <c r="T88" i="13" s="1"/>
  <c r="R89" i="13"/>
  <c r="R87" i="13" s="1"/>
  <c r="T86" i="13"/>
  <c r="S86" i="13"/>
  <c r="R86" i="13"/>
  <c r="T71" i="13"/>
  <c r="S70" i="13"/>
  <c r="S71" i="13" s="1"/>
  <c r="S72" i="13" s="1"/>
  <c r="S73" i="13" s="1"/>
  <c r="S74" i="13" s="1"/>
  <c r="S75" i="13" s="1"/>
  <c r="S76" i="13" s="1"/>
  <c r="S77" i="13" s="1"/>
  <c r="S78" i="13" s="1"/>
  <c r="S79" i="13" s="1"/>
  <c r="Y56" i="13"/>
  <c r="X56" i="13"/>
  <c r="X57" i="13" s="1"/>
  <c r="X115" i="13" s="1"/>
  <c r="W56" i="13"/>
  <c r="V56" i="13"/>
  <c r="V57" i="13" s="1"/>
  <c r="V115" i="13" s="1"/>
  <c r="U54" i="13"/>
  <c r="U192" i="13" s="1"/>
  <c r="V192" i="13" s="1"/>
  <c r="W192" i="13" s="1"/>
  <c r="X192" i="13" s="1"/>
  <c r="Y192" i="13" s="1"/>
  <c r="Y52" i="13"/>
  <c r="X52" i="13"/>
  <c r="W52" i="13"/>
  <c r="V52" i="13"/>
  <c r="U52" i="13"/>
  <c r="Y47" i="13"/>
  <c r="Y63" i="13" s="1"/>
  <c r="X47" i="13"/>
  <c r="X63" i="13" s="1"/>
  <c r="W47" i="13"/>
  <c r="W63" i="13" s="1"/>
  <c r="V47" i="13"/>
  <c r="V63" i="13" s="1"/>
  <c r="U47" i="13"/>
  <c r="U63" i="13" s="1"/>
  <c r="T38" i="13"/>
  <c r="S38" i="13"/>
  <c r="R38" i="13"/>
  <c r="T36" i="13"/>
  <c r="S36" i="13"/>
  <c r="R36" i="13"/>
  <c r="T33" i="13"/>
  <c r="S33" i="13"/>
  <c r="R33" i="13"/>
  <c r="T32" i="13"/>
  <c r="S32" i="13"/>
  <c r="R32" i="13"/>
  <c r="T31" i="13"/>
  <c r="S31" i="13"/>
  <c r="R31" i="13"/>
  <c r="T30" i="13"/>
  <c r="S30" i="13"/>
  <c r="R30" i="13"/>
  <c r="S29" i="13"/>
  <c r="R29" i="13"/>
  <c r="T28" i="13"/>
  <c r="S28" i="13"/>
  <c r="R28" i="13"/>
  <c r="T27" i="13"/>
  <c r="S27" i="13"/>
  <c r="R27" i="13"/>
  <c r="T26" i="13"/>
  <c r="S26" i="13"/>
  <c r="R26" i="13"/>
  <c r="T25" i="13"/>
  <c r="S25" i="13"/>
  <c r="R25" i="13"/>
  <c r="T24" i="13"/>
  <c r="S24" i="13"/>
  <c r="R24" i="13"/>
  <c r="T21" i="13"/>
  <c r="S21" i="13"/>
  <c r="R21" i="13"/>
  <c r="T20" i="13"/>
  <c r="S20" i="13"/>
  <c r="R16" i="13"/>
  <c r="S7" i="13"/>
  <c r="S210" i="13" s="1"/>
  <c r="E20" i="21" l="1"/>
  <c r="F46" i="21"/>
  <c r="E71" i="21"/>
  <c r="F10" i="24"/>
  <c r="G10" i="24" s="1"/>
  <c r="D11" i="24"/>
  <c r="E69" i="21"/>
  <c r="F20" i="21"/>
  <c r="F69" i="21"/>
  <c r="F71" i="21"/>
  <c r="E30" i="21"/>
  <c r="E32" i="21"/>
  <c r="E16" i="21"/>
  <c r="F30" i="21"/>
  <c r="F32" i="21"/>
  <c r="E44" i="21"/>
  <c r="F44" i="21"/>
  <c r="E22" i="21"/>
  <c r="F22" i="21"/>
  <c r="E18" i="21"/>
  <c r="E53" i="21"/>
  <c r="E56" i="21" s="1"/>
  <c r="E55" i="21"/>
  <c r="E59" i="21"/>
  <c r="F18" i="21"/>
  <c r="F53" i="21"/>
  <c r="F55" i="21"/>
  <c r="F59" i="21"/>
  <c r="E76" i="21"/>
  <c r="E78" i="21"/>
  <c r="E83" i="21"/>
  <c r="E84" i="21" s="1"/>
  <c r="F76" i="21"/>
  <c r="F78" i="21"/>
  <c r="F79" i="21" s="1"/>
  <c r="F83" i="21"/>
  <c r="F84" i="21" s="1"/>
  <c r="E24" i="21"/>
  <c r="F24" i="21"/>
  <c r="E42" i="21"/>
  <c r="F42" i="21"/>
  <c r="E46" i="21"/>
  <c r="J76" i="21"/>
  <c r="J78" i="21"/>
  <c r="E31" i="21"/>
  <c r="K55" i="21"/>
  <c r="L44" i="21"/>
  <c r="F23" i="21"/>
  <c r="K53" i="21"/>
  <c r="J83" i="21"/>
  <c r="E25" i="21"/>
  <c r="G42" i="21"/>
  <c r="F21" i="21"/>
  <c r="E27" i="23"/>
  <c r="E28" i="23" s="1"/>
  <c r="L55" i="21"/>
  <c r="G31" i="21"/>
  <c r="G93" i="21" s="1"/>
  <c r="F45" i="21"/>
  <c r="G83" i="21"/>
  <c r="G84" i="21" s="1"/>
  <c r="G27" i="23"/>
  <c r="G28" i="23" s="1"/>
  <c r="L53" i="21"/>
  <c r="F27" i="23"/>
  <c r="F28" i="23" s="1"/>
  <c r="E19" i="21"/>
  <c r="G36" i="21"/>
  <c r="G46" i="21"/>
  <c r="G76" i="21"/>
  <c r="G78" i="21"/>
  <c r="F25" i="21"/>
  <c r="E12" i="21"/>
  <c r="E43" i="21"/>
  <c r="H55" i="21"/>
  <c r="K76" i="21"/>
  <c r="K78" i="21"/>
  <c r="G24" i="23"/>
  <c r="F24" i="23"/>
  <c r="F11" i="23"/>
  <c r="H7" i="23"/>
  <c r="E68" i="22"/>
  <c r="E58" i="21" s="1"/>
  <c r="E58" i="22"/>
  <c r="E48" i="21" s="1"/>
  <c r="F58" i="22"/>
  <c r="F48" i="21" s="1"/>
  <c r="F68" i="22"/>
  <c r="F70" i="22" s="1"/>
  <c r="G58" i="22"/>
  <c r="G59" i="22" s="1"/>
  <c r="G68" i="22"/>
  <c r="G70" i="22" s="1"/>
  <c r="G11" i="21"/>
  <c r="G19" i="20" s="1"/>
  <c r="L14" i="22"/>
  <c r="F11" i="21"/>
  <c r="F19" i="20" s="1"/>
  <c r="E11" i="21"/>
  <c r="E19" i="20" s="1"/>
  <c r="G92" i="21"/>
  <c r="E102" i="22"/>
  <c r="I36" i="22"/>
  <c r="I37" i="22" s="1"/>
  <c r="K102" i="22"/>
  <c r="J89" i="22"/>
  <c r="J94" i="22"/>
  <c r="F23" i="22"/>
  <c r="F36" i="22"/>
  <c r="L89" i="22"/>
  <c r="L94" i="22"/>
  <c r="G102" i="22"/>
  <c r="J23" i="22"/>
  <c r="J36" i="22"/>
  <c r="H102" i="22"/>
  <c r="K23" i="22"/>
  <c r="K36" i="22"/>
  <c r="L23" i="22"/>
  <c r="L36" i="22"/>
  <c r="L43" i="22"/>
  <c r="H43" i="22"/>
  <c r="G43" i="22"/>
  <c r="E23" i="22"/>
  <c r="E36" i="22"/>
  <c r="E43" i="22"/>
  <c r="L66" i="22"/>
  <c r="K103" i="22"/>
  <c r="K89" i="22"/>
  <c r="K94" i="22"/>
  <c r="F43" i="22"/>
  <c r="J102" i="22"/>
  <c r="E66" i="22"/>
  <c r="F66" i="22"/>
  <c r="L102" i="22"/>
  <c r="I43" i="22"/>
  <c r="G66" i="22"/>
  <c r="E82" i="22"/>
  <c r="E103" i="22"/>
  <c r="E89" i="22"/>
  <c r="E94" i="22"/>
  <c r="G7" i="22"/>
  <c r="G50" i="22" s="1"/>
  <c r="J43" i="22"/>
  <c r="H66" i="22"/>
  <c r="F103" i="22"/>
  <c r="F89" i="22"/>
  <c r="F94" i="22"/>
  <c r="K43" i="22"/>
  <c r="I66" i="22"/>
  <c r="G103" i="22"/>
  <c r="G89" i="22"/>
  <c r="G94" i="22"/>
  <c r="J66" i="22"/>
  <c r="H103" i="22"/>
  <c r="H89" i="22"/>
  <c r="H94" i="22"/>
  <c r="K66" i="22"/>
  <c r="I103" i="22"/>
  <c r="I89" i="22"/>
  <c r="I94" i="22"/>
  <c r="F102" i="22"/>
  <c r="J103" i="22"/>
  <c r="G23" i="22"/>
  <c r="G36" i="22"/>
  <c r="H23" i="22"/>
  <c r="H36" i="22"/>
  <c r="L103" i="22"/>
  <c r="F50" i="22"/>
  <c r="F82" i="22"/>
  <c r="G82" i="22"/>
  <c r="H82" i="22"/>
  <c r="I82" i="22"/>
  <c r="J82" i="22"/>
  <c r="K82" i="22"/>
  <c r="L82" i="22"/>
  <c r="F19" i="22"/>
  <c r="F22" i="20"/>
  <c r="J13" i="15"/>
  <c r="G49" i="15"/>
  <c r="E33" i="15"/>
  <c r="E49" i="15"/>
  <c r="F49" i="15"/>
  <c r="F56" i="15"/>
  <c r="F61" i="15" s="1"/>
  <c r="F63" i="15" s="1"/>
  <c r="F60" i="15"/>
  <c r="F72" i="15"/>
  <c r="F79" i="15"/>
  <c r="F84" i="15"/>
  <c r="G33" i="15"/>
  <c r="G56" i="15"/>
  <c r="G61" i="15" s="1"/>
  <c r="G63" i="15" s="1"/>
  <c r="G60" i="15"/>
  <c r="G72" i="15"/>
  <c r="G79" i="15"/>
  <c r="G84" i="15"/>
  <c r="F92" i="15"/>
  <c r="G92" i="15"/>
  <c r="E13" i="18"/>
  <c r="E15" i="18"/>
  <c r="E63" i="16" s="1"/>
  <c r="E17" i="18"/>
  <c r="E65" i="16" s="1"/>
  <c r="E19" i="18"/>
  <c r="R52" i="19" s="1"/>
  <c r="E21" i="18"/>
  <c r="E69" i="16" s="1"/>
  <c r="I21" i="18"/>
  <c r="F19" i="18"/>
  <c r="G15" i="18"/>
  <c r="F17" i="18"/>
  <c r="E61" i="16"/>
  <c r="AE46" i="19"/>
  <c r="R46" i="19"/>
  <c r="R50" i="19"/>
  <c r="R54" i="19"/>
  <c r="E92" i="21"/>
  <c r="L26" i="15"/>
  <c r="L33" i="18" s="1"/>
  <c r="E28" i="18"/>
  <c r="E29" i="18" s="1"/>
  <c r="E31" i="18"/>
  <c r="E32" i="18" s="1"/>
  <c r="E34" i="18"/>
  <c r="E35" i="18" s="1"/>
  <c r="U17" i="19"/>
  <c r="U29" i="19" s="1"/>
  <c r="F26" i="15"/>
  <c r="F33" i="18" s="1"/>
  <c r="F33" i="15"/>
  <c r="K26" i="15"/>
  <c r="K33" i="18" s="1"/>
  <c r="H22" i="18"/>
  <c r="L28" i="18"/>
  <c r="L31" i="18"/>
  <c r="L34" i="18"/>
  <c r="T17" i="19"/>
  <c r="G26" i="15"/>
  <c r="G33" i="18" s="1"/>
  <c r="J26" i="15"/>
  <c r="J33" i="18" s="1"/>
  <c r="G22" i="18"/>
  <c r="G18" i="18"/>
  <c r="K28" i="18"/>
  <c r="K29" i="18" s="1"/>
  <c r="K31" i="18"/>
  <c r="K32" i="18" s="1"/>
  <c r="K34" i="18"/>
  <c r="K35" i="18" s="1"/>
  <c r="S17" i="19"/>
  <c r="I26" i="15"/>
  <c r="I33" i="18" s="1"/>
  <c r="E10" i="18"/>
  <c r="F22" i="18"/>
  <c r="F20" i="18"/>
  <c r="F18" i="18"/>
  <c r="F16" i="18"/>
  <c r="F14" i="18"/>
  <c r="J28" i="18"/>
  <c r="J31" i="18"/>
  <c r="J34" i="18"/>
  <c r="J35" i="18" s="1"/>
  <c r="H26" i="15"/>
  <c r="H33" i="18" s="1"/>
  <c r="L10" i="18"/>
  <c r="E22" i="18"/>
  <c r="E20" i="18"/>
  <c r="E18" i="18"/>
  <c r="E16" i="18"/>
  <c r="E14" i="18"/>
  <c r="I28" i="18"/>
  <c r="I29" i="18" s="1"/>
  <c r="I31" i="18"/>
  <c r="I32" i="18" s="1"/>
  <c r="I34" i="18"/>
  <c r="K13" i="15"/>
  <c r="K10" i="18"/>
  <c r="H28" i="18"/>
  <c r="H31" i="18"/>
  <c r="H32" i="18" s="1"/>
  <c r="H34" i="18"/>
  <c r="H35" i="18" s="1"/>
  <c r="R17" i="19"/>
  <c r="J10" i="18"/>
  <c r="K19" i="18"/>
  <c r="K17" i="18"/>
  <c r="G28" i="18"/>
  <c r="G31" i="18"/>
  <c r="G32" i="18" s="1"/>
  <c r="G34" i="18"/>
  <c r="AE17" i="19"/>
  <c r="I10" i="18"/>
  <c r="F28" i="18"/>
  <c r="F31" i="18"/>
  <c r="F32" i="18" s="1"/>
  <c r="F34" i="18"/>
  <c r="F35" i="18" s="1"/>
  <c r="H10" i="18"/>
  <c r="E30" i="18"/>
  <c r="E72" i="21"/>
  <c r="F93" i="15"/>
  <c r="G10" i="18"/>
  <c r="L27" i="18"/>
  <c r="L30" i="18"/>
  <c r="AL17" i="19"/>
  <c r="AL29" i="19" s="1"/>
  <c r="AL108" i="19" s="1"/>
  <c r="F56" i="21"/>
  <c r="F93" i="21"/>
  <c r="F10" i="18"/>
  <c r="K27" i="18"/>
  <c r="K30" i="18"/>
  <c r="AK17" i="19"/>
  <c r="G56" i="21"/>
  <c r="G72" i="21"/>
  <c r="J27" i="18"/>
  <c r="J30" i="18"/>
  <c r="AJ17" i="19"/>
  <c r="AJ29" i="19" s="1"/>
  <c r="AJ108" i="19" s="1"/>
  <c r="F13" i="18"/>
  <c r="I27" i="18"/>
  <c r="I30" i="18"/>
  <c r="AI17" i="19"/>
  <c r="H27" i="18"/>
  <c r="G27" i="18"/>
  <c r="F27" i="18"/>
  <c r="F40" i="21"/>
  <c r="G7" i="21"/>
  <c r="F9" i="21"/>
  <c r="F157" i="19"/>
  <c r="E176" i="19"/>
  <c r="E181" i="19"/>
  <c r="G176" i="19"/>
  <c r="F153" i="19"/>
  <c r="E169" i="19"/>
  <c r="F169" i="19"/>
  <c r="G169" i="19"/>
  <c r="E157" i="19"/>
  <c r="G157" i="19"/>
  <c r="F176" i="19"/>
  <c r="E17" i="20"/>
  <c r="G17" i="20"/>
  <c r="F17" i="20"/>
  <c r="G7" i="20"/>
  <c r="E153" i="19"/>
  <c r="F123" i="19"/>
  <c r="G181" i="19"/>
  <c r="G123" i="19"/>
  <c r="F181" i="19"/>
  <c r="E190" i="19"/>
  <c r="F190" i="19"/>
  <c r="G190" i="19"/>
  <c r="G153" i="19"/>
  <c r="E146" i="19"/>
  <c r="F146" i="19"/>
  <c r="G146" i="19"/>
  <c r="E130" i="19"/>
  <c r="E189" i="19"/>
  <c r="F130" i="19"/>
  <c r="F189" i="19"/>
  <c r="G130" i="19"/>
  <c r="G189" i="19"/>
  <c r="E123" i="19"/>
  <c r="E110" i="19"/>
  <c r="G110" i="19"/>
  <c r="F110" i="19"/>
  <c r="AH176" i="19"/>
  <c r="AK176" i="19"/>
  <c r="AI176" i="19"/>
  <c r="AL176" i="19"/>
  <c r="AF158" i="19"/>
  <c r="AF160" i="19" s="1"/>
  <c r="R158" i="19"/>
  <c r="R160" i="19" s="1"/>
  <c r="AJ176" i="19"/>
  <c r="S124" i="19"/>
  <c r="AF15" i="19"/>
  <c r="AE183" i="19"/>
  <c r="U176" i="19"/>
  <c r="AF183" i="19"/>
  <c r="Y176" i="19"/>
  <c r="AE158" i="19"/>
  <c r="AE160" i="19" s="1"/>
  <c r="AG158" i="19"/>
  <c r="AG160" i="19" s="1"/>
  <c r="V176" i="19"/>
  <c r="AF124" i="19"/>
  <c r="AF131" i="19" s="1"/>
  <c r="AF134" i="19" s="1"/>
  <c r="AF188" i="19" s="1"/>
  <c r="W176" i="19"/>
  <c r="X176" i="19"/>
  <c r="Y29" i="19"/>
  <c r="Y108" i="19" s="1"/>
  <c r="L108" i="19" s="1" a="1"/>
  <c r="L108" i="19" s="1"/>
  <c r="AF106" i="19"/>
  <c r="AE124" i="19"/>
  <c r="AE131" i="19" s="1"/>
  <c r="AE134" i="19" s="1"/>
  <c r="AE188" i="19" s="1"/>
  <c r="R124" i="19"/>
  <c r="R131" i="19" s="1"/>
  <c r="R134" i="19" s="1"/>
  <c r="R188" i="19" s="1"/>
  <c r="T158" i="19"/>
  <c r="T160" i="19" s="1"/>
  <c r="T124" i="19"/>
  <c r="T131" i="19" s="1"/>
  <c r="T134" i="19" s="1"/>
  <c r="T188" i="19" s="1"/>
  <c r="S158" i="19"/>
  <c r="S160" i="19" s="1"/>
  <c r="R183" i="19"/>
  <c r="R185" i="19" s="1"/>
  <c r="S184" i="19" s="1"/>
  <c r="AG124" i="19"/>
  <c r="AG131" i="19" s="1"/>
  <c r="AG134" i="19" s="1"/>
  <c r="AG188" i="19" s="1"/>
  <c r="V29" i="19"/>
  <c r="AF163" i="19"/>
  <c r="AE185" i="19"/>
  <c r="AF184" i="19" s="1"/>
  <c r="AF185" i="19" s="1"/>
  <c r="X29" i="19"/>
  <c r="X33" i="19" s="1"/>
  <c r="X42" i="19" s="1"/>
  <c r="S131" i="19"/>
  <c r="S134" i="19" s="1"/>
  <c r="S188" i="19" s="1"/>
  <c r="S183" i="19"/>
  <c r="AK29" i="19"/>
  <c r="AK33" i="19" s="1"/>
  <c r="AK42" i="19" s="1"/>
  <c r="T183" i="19"/>
  <c r="AF40" i="19"/>
  <c r="AF137" i="19"/>
  <c r="AG183" i="19"/>
  <c r="AH29" i="19"/>
  <c r="AH108" i="19" s="1"/>
  <c r="AI29" i="19"/>
  <c r="AI108" i="19" s="1"/>
  <c r="W29" i="19"/>
  <c r="W108" i="19" s="1"/>
  <c r="J108" i="19" s="1" a="1"/>
  <c r="J108" i="19" s="1"/>
  <c r="AH7" i="19"/>
  <c r="AG45" i="19"/>
  <c r="AG35" i="19"/>
  <c r="AG163" i="19"/>
  <c r="AG106" i="19"/>
  <c r="AG15" i="19"/>
  <c r="AG137" i="19"/>
  <c r="AG40" i="19"/>
  <c r="AF35" i="19"/>
  <c r="AF45" i="19"/>
  <c r="AH93" i="19"/>
  <c r="AH127" i="19" s="1"/>
  <c r="U7" i="19"/>
  <c r="T45" i="19"/>
  <c r="T35" i="19"/>
  <c r="T106" i="19"/>
  <c r="T15" i="19"/>
  <c r="T137" i="19"/>
  <c r="T40" i="19"/>
  <c r="T163" i="19"/>
  <c r="S163" i="19"/>
  <c r="S40" i="19"/>
  <c r="S137" i="19"/>
  <c r="S15" i="19"/>
  <c r="S106" i="19"/>
  <c r="S35" i="19"/>
  <c r="S45" i="19"/>
  <c r="U93" i="19"/>
  <c r="U127" i="19" s="1"/>
  <c r="H189" i="19"/>
  <c r="H306" i="16"/>
  <c r="H329" i="16" s="1"/>
  <c r="F15" i="19"/>
  <c r="F106" i="19"/>
  <c r="G7" i="19"/>
  <c r="G137" i="19" s="1"/>
  <c r="F163" i="19"/>
  <c r="K193" i="16"/>
  <c r="K200" i="16" s="1"/>
  <c r="H193" i="16"/>
  <c r="H200" i="16" s="1"/>
  <c r="H205" i="16" s="1"/>
  <c r="H213" i="16" s="1"/>
  <c r="I193" i="16"/>
  <c r="I200" i="16" s="1"/>
  <c r="I205" i="16" s="1"/>
  <c r="I213" i="16" s="1"/>
  <c r="G35" i="18"/>
  <c r="J110" i="16"/>
  <c r="H99" i="16"/>
  <c r="H235" i="16" s="1"/>
  <c r="I94" i="16"/>
  <c r="J95" i="16" s="1"/>
  <c r="K96" i="16" s="1"/>
  <c r="L97" i="16" s="1"/>
  <c r="F60" i="16"/>
  <c r="F55" i="16"/>
  <c r="G298" i="16"/>
  <c r="G300" i="16" s="1"/>
  <c r="L31" i="16"/>
  <c r="L47" i="16" s="1"/>
  <c r="L77" i="16" s="1"/>
  <c r="L79" i="16" s="1"/>
  <c r="L80" i="16" s="1"/>
  <c r="H31" i="16"/>
  <c r="H47" i="16" s="1"/>
  <c r="H77" i="16" s="1"/>
  <c r="H79" i="16" s="1"/>
  <c r="H80" i="16" s="1"/>
  <c r="K31" i="16"/>
  <c r="K47" i="16" s="1"/>
  <c r="K77" i="16" s="1"/>
  <c r="K79" i="16" s="1"/>
  <c r="K80" i="16" s="1"/>
  <c r="J31" i="16"/>
  <c r="J47" i="16" s="1"/>
  <c r="J77" i="16" s="1"/>
  <c r="J79" i="16" s="1"/>
  <c r="J80" i="16" s="1"/>
  <c r="I31" i="16"/>
  <c r="I47" i="16" s="1"/>
  <c r="I77" i="16" s="1"/>
  <c r="I79" i="16" s="1"/>
  <c r="I80" i="16" s="1"/>
  <c r="K23" i="16"/>
  <c r="J24" i="16"/>
  <c r="J195" i="16" s="1"/>
  <c r="J202" i="16" s="1"/>
  <c r="J205" i="16" s="1"/>
  <c r="J213" i="16" s="1"/>
  <c r="F41" i="16"/>
  <c r="K24" i="16"/>
  <c r="K195" i="16" s="1"/>
  <c r="K202" i="16" s="1"/>
  <c r="D32" i="16"/>
  <c r="I32" i="16" s="1"/>
  <c r="I48" i="16" s="1"/>
  <c r="F9" i="16"/>
  <c r="F15" i="16"/>
  <c r="H7" i="18"/>
  <c r="F264" i="16"/>
  <c r="F271" i="16" s="1"/>
  <c r="F274" i="16" s="1"/>
  <c r="F328" i="16" s="1"/>
  <c r="G264" i="16"/>
  <c r="G271" i="16" s="1"/>
  <c r="G274" i="16" s="1"/>
  <c r="G328" i="16" s="1"/>
  <c r="F298" i="16"/>
  <c r="F300" i="16" s="1"/>
  <c r="E298" i="16"/>
  <c r="E300" i="16" s="1"/>
  <c r="E264" i="16"/>
  <c r="E271" i="16" s="1"/>
  <c r="E274" i="16" s="1"/>
  <c r="E328" i="16" s="1"/>
  <c r="E309" i="16"/>
  <c r="E323" i="16" s="1"/>
  <c r="E325" i="16" s="1"/>
  <c r="F277" i="16"/>
  <c r="F309" i="16"/>
  <c r="F323" i="16" s="1"/>
  <c r="G7" i="16"/>
  <c r="G309" i="16"/>
  <c r="G323" i="16" s="1"/>
  <c r="F246" i="16"/>
  <c r="F86" i="15"/>
  <c r="E61" i="15"/>
  <c r="E63" i="15" s="1"/>
  <c r="E93" i="15"/>
  <c r="G93" i="15"/>
  <c r="E13" i="15"/>
  <c r="E27" i="15" s="1"/>
  <c r="E34" i="15" s="1"/>
  <c r="E37" i="15" s="1"/>
  <c r="E91" i="15" s="1"/>
  <c r="H13" i="15"/>
  <c r="E86" i="15"/>
  <c r="E88" i="15" s="1"/>
  <c r="E90" i="15" s="1"/>
  <c r="F27" i="15"/>
  <c r="F34" i="15" s="1"/>
  <c r="F37" i="15" s="1"/>
  <c r="G86" i="15"/>
  <c r="G7" i="15"/>
  <c r="F40" i="15"/>
  <c r="F66" i="15"/>
  <c r="AE230" i="13"/>
  <c r="AE232" i="13" s="1"/>
  <c r="H192" i="13" a="1"/>
  <c r="H192" i="13" s="1"/>
  <c r="J192" i="13" a="1"/>
  <c r="J192" i="13" s="1"/>
  <c r="H197" i="13" a="1"/>
  <c r="H197" i="13" s="1"/>
  <c r="H53" i="21" s="1"/>
  <c r="I197" i="13" a="1"/>
  <c r="I197" i="13" s="1"/>
  <c r="I53" i="21" s="1"/>
  <c r="K188" i="13" a="1"/>
  <c r="K188" i="13" s="1"/>
  <c r="K44" i="21" s="1"/>
  <c r="I192" i="13" a="1"/>
  <c r="I192" i="13" s="1"/>
  <c r="K192" i="13" a="1"/>
  <c r="K192" i="13" s="1"/>
  <c r="H188" i="13" a="1"/>
  <c r="H188" i="13" s="1"/>
  <c r="H44" i="21" s="1"/>
  <c r="I188" i="13" a="1"/>
  <c r="I188" i="13" s="1"/>
  <c r="I44" i="21" s="1"/>
  <c r="J188" i="13" a="1"/>
  <c r="J188" i="13" s="1"/>
  <c r="J44" i="21" s="1"/>
  <c r="T87" i="13"/>
  <c r="T85" i="13" s="1"/>
  <c r="R205" i="13"/>
  <c r="AG103" i="13"/>
  <c r="AG101" i="13" s="1"/>
  <c r="AH31" i="13"/>
  <c r="AH167" i="13" s="1"/>
  <c r="H167" i="13" s="1" a="1"/>
  <c r="H167" i="13" s="1"/>
  <c r="AG205" i="13"/>
  <c r="AG207" i="13" s="1"/>
  <c r="AF104" i="13"/>
  <c r="AG93" i="13"/>
  <c r="T95" i="13"/>
  <c r="T93" i="13" s="1"/>
  <c r="U32" i="13"/>
  <c r="U168" i="13" s="1"/>
  <c r="S88" i="13"/>
  <c r="S87" i="13" s="1"/>
  <c r="S85" i="13" s="1"/>
  <c r="T171" i="13"/>
  <c r="T178" i="13" s="1"/>
  <c r="T181" i="13" s="1"/>
  <c r="T235" i="13" s="1"/>
  <c r="R207" i="13"/>
  <c r="AH28" i="13"/>
  <c r="AH164" i="13" s="1"/>
  <c r="H164" i="13" s="1" a="1"/>
  <c r="H164" i="13" s="1"/>
  <c r="AE205" i="13"/>
  <c r="AE207" i="13" s="1"/>
  <c r="S95" i="13"/>
  <c r="S93" i="13" s="1"/>
  <c r="AH21" i="13"/>
  <c r="AH156" i="13" s="1"/>
  <c r="U30" i="13"/>
  <c r="U166" i="13" s="1"/>
  <c r="AJ58" i="13"/>
  <c r="AJ125" i="13" s="1"/>
  <c r="U31" i="13"/>
  <c r="V31" i="13" s="1"/>
  <c r="W31" i="13" s="1"/>
  <c r="U26" i="13"/>
  <c r="U162" i="13" s="1"/>
  <c r="V58" i="13"/>
  <c r="V125" i="13" s="1"/>
  <c r="AF87" i="13"/>
  <c r="AF85" i="13" s="1"/>
  <c r="U28" i="13"/>
  <c r="V28" i="13" s="1"/>
  <c r="T103" i="13"/>
  <c r="T101" i="13" s="1"/>
  <c r="AL58" i="13"/>
  <c r="AL125" i="13" s="1"/>
  <c r="AF95" i="13"/>
  <c r="AF93" i="13" s="1"/>
  <c r="AH137" i="13"/>
  <c r="AH199" i="13" s="1"/>
  <c r="AF205" i="13"/>
  <c r="AF207" i="13" s="1"/>
  <c r="U21" i="13"/>
  <c r="U156" i="13" s="1"/>
  <c r="U157" i="13" s="1"/>
  <c r="X58" i="13"/>
  <c r="X125" i="13" s="1"/>
  <c r="S205" i="13"/>
  <c r="S207" i="13" s="1"/>
  <c r="AE87" i="13"/>
  <c r="AE85" i="13" s="1"/>
  <c r="R171" i="13"/>
  <c r="R178" i="13" s="1"/>
  <c r="R181" i="13" s="1"/>
  <c r="R235" i="13" s="1"/>
  <c r="U24" i="13"/>
  <c r="U160" i="13" s="1"/>
  <c r="S171" i="13"/>
  <c r="S178" i="13" s="1"/>
  <c r="T205" i="13"/>
  <c r="T207" i="13" s="1"/>
  <c r="AH56" i="13"/>
  <c r="AH57" i="13" s="1"/>
  <c r="AH115" i="13" s="1"/>
  <c r="AH24" i="13"/>
  <c r="AI24" i="13" s="1"/>
  <c r="AJ24" i="13" s="1"/>
  <c r="U25" i="13"/>
  <c r="U161" i="13" s="1"/>
  <c r="U94" i="13" s="1"/>
  <c r="U38" i="13"/>
  <c r="V38" i="13" s="1"/>
  <c r="U137" i="13"/>
  <c r="U199" i="13" s="1"/>
  <c r="AH33" i="13"/>
  <c r="AH169" i="13" s="1"/>
  <c r="H169" i="13" s="1" a="1"/>
  <c r="H169" i="13" s="1"/>
  <c r="AE107" i="13"/>
  <c r="AG87" i="13"/>
  <c r="AG85" i="13" s="1"/>
  <c r="R230" i="13"/>
  <c r="R232" i="13" s="1"/>
  <c r="S231" i="13" s="1"/>
  <c r="AI58" i="13"/>
  <c r="AI125" i="13" s="1"/>
  <c r="AH29" i="13"/>
  <c r="AI29" i="13" s="1"/>
  <c r="AJ29" i="13" s="1"/>
  <c r="AH38" i="13"/>
  <c r="AI38" i="13" s="1"/>
  <c r="R101" i="13"/>
  <c r="AH30" i="13"/>
  <c r="AK58" i="13"/>
  <c r="AK125" i="13" s="1"/>
  <c r="AH25" i="13"/>
  <c r="AH161" i="13" s="1"/>
  <c r="U36" i="13"/>
  <c r="V36" i="13" s="1"/>
  <c r="W36" i="13" s="1"/>
  <c r="W174" i="13" s="1"/>
  <c r="AF103" i="13"/>
  <c r="AF101" i="13" s="1"/>
  <c r="S116" i="13"/>
  <c r="T112" i="13" s="1"/>
  <c r="T116" i="13" s="1"/>
  <c r="U112" i="13" s="1"/>
  <c r="AH27" i="13"/>
  <c r="AH163" i="13" s="1"/>
  <c r="H163" i="13" s="1" a="1"/>
  <c r="H163" i="13" s="1"/>
  <c r="AH129" i="13"/>
  <c r="AH130" i="13" s="1"/>
  <c r="AH220" i="13" s="1"/>
  <c r="AL120" i="13"/>
  <c r="AL129" i="13"/>
  <c r="AL130" i="13" s="1"/>
  <c r="AL220" i="13" s="1"/>
  <c r="AI120" i="13"/>
  <c r="AI129" i="13"/>
  <c r="AI130" i="13" s="1"/>
  <c r="AI220" i="13" s="1"/>
  <c r="AE101" i="13"/>
  <c r="V26" i="13"/>
  <c r="V162" i="13" s="1"/>
  <c r="W155" i="13"/>
  <c r="X155" i="13" s="1"/>
  <c r="V86" i="13"/>
  <c r="R95" i="13"/>
  <c r="R93" i="13" s="1"/>
  <c r="AH26" i="13"/>
  <c r="AG7" i="13"/>
  <c r="AG184" i="13" s="1"/>
  <c r="AF16" i="13"/>
  <c r="U86" i="13"/>
  <c r="U56" i="13"/>
  <c r="U57" i="13" s="1"/>
  <c r="U115" i="13" s="1"/>
  <c r="T72" i="13"/>
  <c r="R85" i="13"/>
  <c r="AH32" i="13"/>
  <c r="AH168" i="13" s="1"/>
  <c r="H168" i="13" s="1" a="1"/>
  <c r="H168" i="13" s="1"/>
  <c r="AF107" i="13"/>
  <c r="AJ129" i="13"/>
  <c r="AJ130" i="13" s="1"/>
  <c r="AJ220" i="13" s="1"/>
  <c r="U29" i="13"/>
  <c r="U165" i="13" s="1"/>
  <c r="S230" i="13"/>
  <c r="AF116" i="13"/>
  <c r="AG112" i="13" s="1"/>
  <c r="AG116" i="13" s="1"/>
  <c r="AH112" i="13" s="1"/>
  <c r="AF153" i="13"/>
  <c r="AF184" i="13"/>
  <c r="AF230" i="13"/>
  <c r="W58" i="13"/>
  <c r="W125" i="13" s="1"/>
  <c r="T230" i="13"/>
  <c r="AG230" i="13"/>
  <c r="AI155" i="13"/>
  <c r="Y58" i="13"/>
  <c r="Y125" i="13" s="1"/>
  <c r="S107" i="13"/>
  <c r="AE171" i="13"/>
  <c r="AE178" i="13" s="1"/>
  <c r="AE181" i="13" s="1"/>
  <c r="AE235" i="13" s="1"/>
  <c r="W57" i="13"/>
  <c r="W115" i="13" s="1"/>
  <c r="AF171" i="13"/>
  <c r="AF178" i="13" s="1"/>
  <c r="AF181" i="13" s="1"/>
  <c r="U27" i="13"/>
  <c r="V27" i="13" s="1"/>
  <c r="V163" i="13" s="1"/>
  <c r="U33" i="13"/>
  <c r="V33" i="13" s="1"/>
  <c r="V169" i="13" s="1"/>
  <c r="AH36" i="13"/>
  <c r="AH174" i="13" s="1"/>
  <c r="H174" i="13" s="1" a="1"/>
  <c r="H174" i="13" s="1"/>
  <c r="H30" i="21" s="1"/>
  <c r="AG171" i="13"/>
  <c r="AG178" i="13" s="1"/>
  <c r="Y57" i="13"/>
  <c r="Y115" i="13" s="1"/>
  <c r="AI141" i="13"/>
  <c r="AI143" i="13" s="1"/>
  <c r="AH202" i="13"/>
  <c r="H202" i="13" s="1" a="1"/>
  <c r="H202" i="13" s="1"/>
  <c r="AI28" i="13"/>
  <c r="AF231" i="13"/>
  <c r="F231" i="13" s="1" a="1"/>
  <c r="F231" i="13" s="1"/>
  <c r="F87" i="21" s="1"/>
  <c r="AE234" i="13"/>
  <c r="AG74" i="13"/>
  <c r="AE95" i="13"/>
  <c r="AE93" i="13" s="1"/>
  <c r="AG107" i="13"/>
  <c r="AK129" i="13"/>
  <c r="AK130" i="13" s="1"/>
  <c r="AK220" i="13" s="1"/>
  <c r="AI57" i="13"/>
  <c r="AI115" i="13" s="1"/>
  <c r="AJ57" i="13"/>
  <c r="AJ115" i="13" s="1"/>
  <c r="AC70" i="13"/>
  <c r="AH70" i="13" s="1"/>
  <c r="AK57" i="13"/>
  <c r="AK115" i="13" s="1"/>
  <c r="AL57" i="13"/>
  <c r="AL115" i="13" s="1"/>
  <c r="U120" i="13"/>
  <c r="U129" i="13"/>
  <c r="U130" i="13" s="1"/>
  <c r="U220" i="13" s="1"/>
  <c r="U167" i="13"/>
  <c r="P70" i="13"/>
  <c r="U70" i="13" s="1"/>
  <c r="W129" i="13"/>
  <c r="W130" i="13" s="1"/>
  <c r="W220" i="13" s="1"/>
  <c r="W120" i="13"/>
  <c r="U202" i="13"/>
  <c r="V141" i="13"/>
  <c r="V143" i="13" s="1"/>
  <c r="X120" i="13"/>
  <c r="X129" i="13"/>
  <c r="X130" i="13" s="1"/>
  <c r="X220" i="13" s="1"/>
  <c r="V120" i="13"/>
  <c r="V129" i="13"/>
  <c r="V130" i="13" s="1"/>
  <c r="V220" i="13" s="1"/>
  <c r="U169" i="13"/>
  <c r="Y120" i="13"/>
  <c r="Y129" i="13"/>
  <c r="Y130" i="13" s="1"/>
  <c r="Y220" i="13" s="1"/>
  <c r="S16" i="13"/>
  <c r="R107" i="13"/>
  <c r="S104" i="13"/>
  <c r="S103" i="13" s="1"/>
  <c r="S101" i="13" s="1"/>
  <c r="T107" i="13"/>
  <c r="T7" i="13"/>
  <c r="S153" i="13"/>
  <c r="S184" i="13"/>
  <c r="C70" i="13"/>
  <c r="G237" i="13"/>
  <c r="F237" i="13"/>
  <c r="E237" i="13"/>
  <c r="G236" i="13"/>
  <c r="F236" i="13"/>
  <c r="E236" i="13"/>
  <c r="G228" i="13"/>
  <c r="F228" i="13"/>
  <c r="E228" i="13"/>
  <c r="G223" i="13"/>
  <c r="F223" i="13"/>
  <c r="E223" i="13"/>
  <c r="G216" i="13"/>
  <c r="F216" i="13"/>
  <c r="E216" i="13"/>
  <c r="E210" i="13"/>
  <c r="G204" i="13"/>
  <c r="F204" i="13"/>
  <c r="E204" i="13"/>
  <c r="G200" i="13"/>
  <c r="F200" i="13"/>
  <c r="E200" i="13"/>
  <c r="G193" i="13"/>
  <c r="F193" i="13"/>
  <c r="E193" i="13"/>
  <c r="E184" i="13"/>
  <c r="G177" i="13"/>
  <c r="F177" i="13"/>
  <c r="E177" i="13"/>
  <c r="G170" i="13"/>
  <c r="F170" i="13"/>
  <c r="E170" i="13"/>
  <c r="G157" i="13"/>
  <c r="F157" i="13"/>
  <c r="E157" i="13"/>
  <c r="E153" i="13"/>
  <c r="E16" i="13"/>
  <c r="F7" i="13"/>
  <c r="F210" i="13" s="1"/>
  <c r="E79" i="21" l="1"/>
  <c r="F59" i="22"/>
  <c r="E59" i="22"/>
  <c r="E60" i="21"/>
  <c r="E61" i="21" s="1"/>
  <c r="F33" i="21"/>
  <c r="G58" i="21"/>
  <c r="G60" i="21" s="1"/>
  <c r="G61" i="21" s="1"/>
  <c r="E13" i="21"/>
  <c r="F58" i="21"/>
  <c r="F60" i="21" s="1"/>
  <c r="F61" i="21" s="1"/>
  <c r="G79" i="21"/>
  <c r="G86" i="21" s="1"/>
  <c r="E33" i="21"/>
  <c r="F49" i="21"/>
  <c r="E70" i="22"/>
  <c r="E71" i="22" s="1"/>
  <c r="E73" i="22" s="1"/>
  <c r="E49" i="21"/>
  <c r="G48" i="21"/>
  <c r="G49" i="21" s="1"/>
  <c r="G11" i="24"/>
  <c r="D12" i="24"/>
  <c r="G13" i="21"/>
  <c r="E183" i="19"/>
  <c r="E185" i="19" s="1"/>
  <c r="G20" i="20"/>
  <c r="F158" i="19"/>
  <c r="E158" i="19"/>
  <c r="E160" i="19" s="1"/>
  <c r="J16" i="20"/>
  <c r="J27" i="23"/>
  <c r="J28" i="23" s="1"/>
  <c r="J30" i="23" s="1"/>
  <c r="L16" i="20"/>
  <c r="L27" i="23"/>
  <c r="L28" i="23" s="1"/>
  <c r="L30" i="23" s="1"/>
  <c r="F183" i="19"/>
  <c r="F185" i="19" s="1"/>
  <c r="F187" i="19" s="1"/>
  <c r="H11" i="23"/>
  <c r="H24" i="23"/>
  <c r="I7" i="23"/>
  <c r="F20" i="20"/>
  <c r="J14" i="22"/>
  <c r="L58" i="22"/>
  <c r="L68" i="22"/>
  <c r="L70" i="22" s="1"/>
  <c r="L71" i="22" s="1"/>
  <c r="H14" i="22"/>
  <c r="K14" i="22"/>
  <c r="E20" i="20"/>
  <c r="I14" i="22"/>
  <c r="E86" i="21"/>
  <c r="E88" i="21" s="1"/>
  <c r="E90" i="21" s="1"/>
  <c r="K37" i="22"/>
  <c r="K44" i="22" s="1"/>
  <c r="K47" i="22" s="1"/>
  <c r="K101" i="22" s="1"/>
  <c r="F37" i="22"/>
  <c r="F44" i="22" s="1"/>
  <c r="F47" i="22" s="1"/>
  <c r="F101" i="22" s="1"/>
  <c r="L96" i="22"/>
  <c r="J96" i="22"/>
  <c r="E37" i="22"/>
  <c r="E44" i="22" s="1"/>
  <c r="E47" i="22" s="1"/>
  <c r="E101" i="22" s="1"/>
  <c r="J37" i="22"/>
  <c r="J44" i="22" s="1"/>
  <c r="J47" i="22" s="1"/>
  <c r="J101" i="22" s="1"/>
  <c r="I44" i="22"/>
  <c r="I47" i="22" s="1"/>
  <c r="I101" i="22" s="1"/>
  <c r="L37" i="22"/>
  <c r="L44" i="22" s="1"/>
  <c r="L47" i="22" s="1"/>
  <c r="L101" i="22" s="1"/>
  <c r="K96" i="22"/>
  <c r="H37" i="22"/>
  <c r="H44" i="22" s="1"/>
  <c r="H47" i="22" s="1"/>
  <c r="H101" i="22" s="1"/>
  <c r="G37" i="22"/>
  <c r="G44" i="22" s="1"/>
  <c r="G47" i="22" s="1"/>
  <c r="G101" i="22" s="1"/>
  <c r="E96" i="22"/>
  <c r="E98" i="22" s="1"/>
  <c r="E100" i="22" s="1"/>
  <c r="G71" i="22"/>
  <c r="G73" i="22" s="1"/>
  <c r="H96" i="22"/>
  <c r="I96" i="22"/>
  <c r="F71" i="22"/>
  <c r="F73" i="22" s="1"/>
  <c r="H7" i="22"/>
  <c r="H76" i="22" s="1"/>
  <c r="G96" i="22"/>
  <c r="F96" i="22"/>
  <c r="F98" i="22" s="1"/>
  <c r="G76" i="22"/>
  <c r="G19" i="22"/>
  <c r="AE52" i="19"/>
  <c r="L14" i="18"/>
  <c r="E67" i="16"/>
  <c r="L18" i="18"/>
  <c r="Y51" i="19" s="1"/>
  <c r="L15" i="18"/>
  <c r="AL48" i="19" s="1"/>
  <c r="AE50" i="19"/>
  <c r="L16" i="18"/>
  <c r="L19" i="18"/>
  <c r="L67" i="16" s="1"/>
  <c r="R48" i="19"/>
  <c r="I19" i="18"/>
  <c r="AI52" i="19" s="1"/>
  <c r="H29" i="18"/>
  <c r="L35" i="18"/>
  <c r="AL79" i="19" s="1"/>
  <c r="G27" i="15"/>
  <c r="G34" i="15" s="1"/>
  <c r="G37" i="15" s="1"/>
  <c r="L22" i="18"/>
  <c r="AL55" i="19" s="1"/>
  <c r="L21" i="18"/>
  <c r="L69" i="16" s="1"/>
  <c r="G14" i="18"/>
  <c r="G62" i="16" s="1"/>
  <c r="L29" i="18"/>
  <c r="AE48" i="19"/>
  <c r="H27" i="15"/>
  <c r="L20" i="18"/>
  <c r="L17" i="18"/>
  <c r="AL50" i="19" s="1"/>
  <c r="G16" i="18"/>
  <c r="T49" i="19" s="1"/>
  <c r="H14" i="18"/>
  <c r="AH47" i="19" s="1"/>
  <c r="G29" i="18"/>
  <c r="H16" i="18"/>
  <c r="I14" i="18"/>
  <c r="K15" i="18"/>
  <c r="G20" i="18"/>
  <c r="G68" i="16" s="1"/>
  <c r="H18" i="18"/>
  <c r="H66" i="16" s="1"/>
  <c r="I18" i="18"/>
  <c r="V51" i="19" s="1"/>
  <c r="J21" i="18"/>
  <c r="K14" i="18"/>
  <c r="X47" i="19" s="1"/>
  <c r="K21" i="18"/>
  <c r="J15" i="18"/>
  <c r="K18" i="18"/>
  <c r="G13" i="18"/>
  <c r="L13" i="18"/>
  <c r="L61" i="16" s="1"/>
  <c r="AE54" i="19"/>
  <c r="K20" i="18"/>
  <c r="K22" i="18"/>
  <c r="G19" i="18"/>
  <c r="G67" i="16" s="1"/>
  <c r="F72" i="21"/>
  <c r="F86" i="21" s="1"/>
  <c r="F88" i="21" s="1"/>
  <c r="F90" i="21" s="1"/>
  <c r="G33" i="21"/>
  <c r="F92" i="21"/>
  <c r="F13" i="21"/>
  <c r="E26" i="21"/>
  <c r="K68" i="16"/>
  <c r="AK53" i="19"/>
  <c r="X53" i="19"/>
  <c r="F61" i="16"/>
  <c r="AF46" i="19"/>
  <c r="S46" i="19"/>
  <c r="S36" i="19"/>
  <c r="AF36" i="19"/>
  <c r="F42" i="16"/>
  <c r="H163" i="16"/>
  <c r="AH71" i="19"/>
  <c r="U71" i="19"/>
  <c r="AI63" i="19"/>
  <c r="V63" i="19"/>
  <c r="I155" i="16"/>
  <c r="J29" i="18"/>
  <c r="K163" i="16"/>
  <c r="X71" i="19"/>
  <c r="AK71" i="19"/>
  <c r="F62" i="16"/>
  <c r="AF47" i="19"/>
  <c r="S47" i="19"/>
  <c r="K63" i="16"/>
  <c r="AK48" i="19"/>
  <c r="X48" i="19"/>
  <c r="L63" i="16"/>
  <c r="Y48" i="19"/>
  <c r="E64" i="16"/>
  <c r="AE49" i="19"/>
  <c r="R49" i="19"/>
  <c r="F64" i="16"/>
  <c r="AF49" i="19"/>
  <c r="S49" i="19"/>
  <c r="S50" i="19"/>
  <c r="F65" i="16"/>
  <c r="AF50" i="19"/>
  <c r="AJ48" i="19"/>
  <c r="W48" i="19"/>
  <c r="J63" i="16"/>
  <c r="E62" i="16"/>
  <c r="AE47" i="19"/>
  <c r="R47" i="19"/>
  <c r="K65" i="16"/>
  <c r="AK50" i="19"/>
  <c r="X50" i="19"/>
  <c r="L65" i="16"/>
  <c r="E66" i="16"/>
  <c r="AE51" i="19"/>
  <c r="R51" i="19"/>
  <c r="F66" i="16"/>
  <c r="AF51" i="19"/>
  <c r="S51" i="19"/>
  <c r="AG49" i="19"/>
  <c r="AL63" i="19"/>
  <c r="Y63" i="19"/>
  <c r="L155" i="16"/>
  <c r="AG52" i="19"/>
  <c r="T52" i="19"/>
  <c r="AI54" i="19"/>
  <c r="V54" i="19"/>
  <c r="I69" i="16"/>
  <c r="T46" i="19"/>
  <c r="G61" i="16"/>
  <c r="AG46" i="19"/>
  <c r="K69" i="16"/>
  <c r="AK54" i="19"/>
  <c r="X54" i="19"/>
  <c r="E70" i="16"/>
  <c r="AE55" i="19"/>
  <c r="R55" i="19"/>
  <c r="F70" i="16"/>
  <c r="AF55" i="19"/>
  <c r="S55" i="19"/>
  <c r="T53" i="19"/>
  <c r="H64" i="16"/>
  <c r="AH49" i="19"/>
  <c r="U49" i="19"/>
  <c r="S52" i="19"/>
  <c r="F67" i="16"/>
  <c r="AF52" i="19"/>
  <c r="I17" i="18"/>
  <c r="U36" i="19"/>
  <c r="U37" i="19" s="1"/>
  <c r="AH36" i="19"/>
  <c r="AH37" i="19" s="1"/>
  <c r="AH109" i="19" s="1"/>
  <c r="AH110" i="19" s="1"/>
  <c r="H42" i="16"/>
  <c r="K42" i="16"/>
  <c r="X36" i="19"/>
  <c r="X37" i="19" s="1"/>
  <c r="X109" i="19" s="1"/>
  <c r="K109" i="19" s="1" a="1"/>
  <c r="K109" i="19" s="1"/>
  <c r="AK36" i="19"/>
  <c r="L42" i="16"/>
  <c r="Y36" i="19"/>
  <c r="AL36" i="19"/>
  <c r="AL37" i="19" s="1"/>
  <c r="E42" i="16"/>
  <c r="AE36" i="19"/>
  <c r="R36" i="19"/>
  <c r="G70" i="16"/>
  <c r="AG55" i="19"/>
  <c r="T55" i="19"/>
  <c r="AH51" i="19"/>
  <c r="I62" i="16"/>
  <c r="AI47" i="19"/>
  <c r="V47" i="19"/>
  <c r="J22" i="18"/>
  <c r="I15" i="18"/>
  <c r="AK63" i="19"/>
  <c r="X63" i="19"/>
  <c r="K155" i="16"/>
  <c r="AH79" i="19"/>
  <c r="U79" i="19"/>
  <c r="H171" i="16"/>
  <c r="J42" i="16"/>
  <c r="W36" i="19"/>
  <c r="W37" i="19" s="1"/>
  <c r="W109" i="19" s="1"/>
  <c r="AJ36" i="19"/>
  <c r="H20" i="18"/>
  <c r="I16" i="18"/>
  <c r="J20" i="18"/>
  <c r="J19" i="18"/>
  <c r="I13" i="18"/>
  <c r="AJ54" i="19"/>
  <c r="W54" i="19"/>
  <c r="J69" i="16"/>
  <c r="H70" i="16"/>
  <c r="AH55" i="19"/>
  <c r="U55" i="19"/>
  <c r="J18" i="18"/>
  <c r="J13" i="18"/>
  <c r="L64" i="16"/>
  <c r="AL49" i="19"/>
  <c r="Y49" i="19"/>
  <c r="I20" i="18"/>
  <c r="E23" i="18"/>
  <c r="J16" i="18"/>
  <c r="G17" i="18"/>
  <c r="G23" i="18" s="1"/>
  <c r="G66" i="16"/>
  <c r="AG51" i="19"/>
  <c r="T51" i="19"/>
  <c r="L62" i="16"/>
  <c r="AL47" i="19"/>
  <c r="Y47" i="19"/>
  <c r="L66" i="16"/>
  <c r="AL51" i="19"/>
  <c r="F29" i="18"/>
  <c r="I22" i="18"/>
  <c r="J17" i="18"/>
  <c r="J14" i="18"/>
  <c r="F15" i="18"/>
  <c r="K70" i="16"/>
  <c r="AK55" i="19"/>
  <c r="X55" i="19"/>
  <c r="K67" i="16"/>
  <c r="AK52" i="19"/>
  <c r="X52" i="19"/>
  <c r="V52" i="19"/>
  <c r="I67" i="16"/>
  <c r="AJ79" i="19"/>
  <c r="J171" i="16"/>
  <c r="W79" i="19"/>
  <c r="AK79" i="19"/>
  <c r="K171" i="16"/>
  <c r="X79" i="19"/>
  <c r="L68" i="16"/>
  <c r="AL53" i="19"/>
  <c r="Y53" i="19"/>
  <c r="L32" i="18"/>
  <c r="V36" i="19"/>
  <c r="V37" i="19" s="1"/>
  <c r="V109" i="19" s="1"/>
  <c r="I109" i="19" s="1" a="1"/>
  <c r="I109" i="19" s="1"/>
  <c r="AI36" i="19"/>
  <c r="I42" i="16"/>
  <c r="H21" i="18"/>
  <c r="AH63" i="19"/>
  <c r="U63" i="19"/>
  <c r="H155" i="16"/>
  <c r="AL52" i="19"/>
  <c r="Y52" i="19"/>
  <c r="G26" i="21"/>
  <c r="H19" i="18"/>
  <c r="H62" i="16"/>
  <c r="T36" i="19"/>
  <c r="AG36" i="19"/>
  <c r="G42" i="16"/>
  <c r="K13" i="18"/>
  <c r="H17" i="18"/>
  <c r="E68" i="16"/>
  <c r="AE53" i="19"/>
  <c r="R53" i="19"/>
  <c r="AG48" i="19"/>
  <c r="T48" i="19"/>
  <c r="G63" i="16"/>
  <c r="K16" i="18"/>
  <c r="I35" i="18"/>
  <c r="F26" i="21"/>
  <c r="F21" i="18"/>
  <c r="H15" i="18"/>
  <c r="F68" i="16"/>
  <c r="AF53" i="19"/>
  <c r="S53" i="19"/>
  <c r="E93" i="21"/>
  <c r="K66" i="16"/>
  <c r="AK51" i="19"/>
  <c r="X51" i="19"/>
  <c r="AI71" i="19"/>
  <c r="I163" i="16"/>
  <c r="V71" i="19"/>
  <c r="J32" i="18"/>
  <c r="G21" i="18"/>
  <c r="H13" i="18"/>
  <c r="G40" i="21"/>
  <c r="G66" i="21"/>
  <c r="G9" i="21"/>
  <c r="H7" i="21"/>
  <c r="G183" i="19"/>
  <c r="F124" i="19"/>
  <c r="F131" i="19" s="1"/>
  <c r="F134" i="19" s="1"/>
  <c r="F188" i="19" s="1"/>
  <c r="G124" i="19"/>
  <c r="G29" i="20" s="1"/>
  <c r="G158" i="19"/>
  <c r="H7" i="20"/>
  <c r="G22" i="20"/>
  <c r="AL33" i="19"/>
  <c r="AL42" i="19" s="1"/>
  <c r="V108" i="19"/>
  <c r="I108" i="19" s="1" a="1"/>
  <c r="I108" i="19" s="1"/>
  <c r="I27" i="23" s="1"/>
  <c r="I28" i="23" s="1"/>
  <c r="I30" i="23" s="1"/>
  <c r="W33" i="19"/>
  <c r="W42" i="19" s="1"/>
  <c r="G9" i="20"/>
  <c r="G160" i="19"/>
  <c r="G131" i="19"/>
  <c r="G134" i="19" s="1"/>
  <c r="G188" i="19" s="1"/>
  <c r="F160" i="19"/>
  <c r="E124" i="19"/>
  <c r="AH33" i="19"/>
  <c r="AH42" i="19" s="1"/>
  <c r="AE187" i="19"/>
  <c r="AK108" i="19"/>
  <c r="AK64" i="19" s="1"/>
  <c r="AK65" i="19" s="1"/>
  <c r="AK37" i="19"/>
  <c r="AK109" i="19" s="1"/>
  <c r="Y33" i="19"/>
  <c r="Y42" i="19" s="1"/>
  <c r="Y37" i="19"/>
  <c r="Y109" i="19" s="1"/>
  <c r="AI33" i="19"/>
  <c r="AI42" i="19" s="1"/>
  <c r="AI37" i="19"/>
  <c r="AI109" i="19" s="1"/>
  <c r="AI110" i="19" s="1"/>
  <c r="S185" i="19"/>
  <c r="T184" i="19" s="1"/>
  <c r="T185" i="19" s="1"/>
  <c r="X108" i="19"/>
  <c r="R187" i="19"/>
  <c r="U108" i="19"/>
  <c r="AJ33" i="19"/>
  <c r="AJ42" i="19" s="1"/>
  <c r="V33" i="19"/>
  <c r="V42" i="19" s="1"/>
  <c r="AJ37" i="19"/>
  <c r="AJ109" i="19" s="1"/>
  <c r="AJ110" i="19" s="1"/>
  <c r="U33" i="19"/>
  <c r="U42" i="19" s="1"/>
  <c r="AH64" i="19"/>
  <c r="AH65" i="19" s="1"/>
  <c r="AH166" i="19"/>
  <c r="AH189" i="19" s="1"/>
  <c r="AH130" i="19"/>
  <c r="AH96" i="19"/>
  <c r="AJ64" i="19"/>
  <c r="AI7" i="19"/>
  <c r="AH45" i="19"/>
  <c r="AH35" i="19"/>
  <c r="AH106" i="19"/>
  <c r="AH15" i="19"/>
  <c r="AH137" i="19"/>
  <c r="AH40" i="19"/>
  <c r="AH163" i="19"/>
  <c r="AI64" i="19"/>
  <c r="AI65" i="19" s="1"/>
  <c r="AL64" i="19"/>
  <c r="AL65" i="19" s="1"/>
  <c r="AF187" i="19"/>
  <c r="AG184" i="19"/>
  <c r="AG185" i="19" s="1"/>
  <c r="V64" i="19"/>
  <c r="V65" i="19" s="1"/>
  <c r="Y64" i="19"/>
  <c r="Y65" i="19" s="1"/>
  <c r="V7" i="19"/>
  <c r="U45" i="19"/>
  <c r="U35" i="19"/>
  <c r="U106" i="19"/>
  <c r="U15" i="19"/>
  <c r="U137" i="19"/>
  <c r="U40" i="19"/>
  <c r="U163" i="19"/>
  <c r="W64" i="19"/>
  <c r="U96" i="19"/>
  <c r="U166" i="19"/>
  <c r="U189" i="19" s="1"/>
  <c r="U130" i="19"/>
  <c r="G15" i="19"/>
  <c r="G163" i="19"/>
  <c r="H7" i="19"/>
  <c r="G106" i="19"/>
  <c r="E187" i="19"/>
  <c r="L24" i="16"/>
  <c r="L195" i="16" s="1"/>
  <c r="L202" i="16" s="1"/>
  <c r="K194" i="16"/>
  <c r="K201" i="16" s="1"/>
  <c r="J111" i="16"/>
  <c r="H118" i="16" s="1"/>
  <c r="I119" i="16" s="1"/>
  <c r="J120" i="16" s="1"/>
  <c r="K110" i="16"/>
  <c r="I81" i="16"/>
  <c r="I82" i="16" s="1"/>
  <c r="I186" i="16" s="1"/>
  <c r="J81" i="16"/>
  <c r="J82" i="16" s="1"/>
  <c r="J186" i="16" s="1"/>
  <c r="K81" i="16"/>
  <c r="K82" i="16" s="1"/>
  <c r="K186" i="16" s="1"/>
  <c r="H81" i="16"/>
  <c r="H82" i="16" s="1"/>
  <c r="H186" i="16" s="1"/>
  <c r="L81" i="16"/>
  <c r="L82" i="16" s="1"/>
  <c r="L186" i="16" s="1"/>
  <c r="G55" i="16"/>
  <c r="G60" i="16"/>
  <c r="L25" i="16"/>
  <c r="L196" i="16" s="1"/>
  <c r="L203" i="16" s="1"/>
  <c r="L32" i="16"/>
  <c r="L48" i="16" s="1"/>
  <c r="K32" i="16"/>
  <c r="K48" i="16" s="1"/>
  <c r="J32" i="16"/>
  <c r="J48" i="16" s="1"/>
  <c r="H32" i="16"/>
  <c r="H48" i="16" s="1"/>
  <c r="D33" i="16"/>
  <c r="K33" i="16" s="1"/>
  <c r="K49" i="16" s="1"/>
  <c r="G15" i="16"/>
  <c r="G9" i="16"/>
  <c r="G41" i="16"/>
  <c r="K25" i="16"/>
  <c r="K196" i="16" s="1"/>
  <c r="K203" i="16" s="1"/>
  <c r="I7" i="18"/>
  <c r="E327" i="16"/>
  <c r="F324" i="16"/>
  <c r="F325" i="16" s="1"/>
  <c r="F327" i="16" s="1"/>
  <c r="G303" i="16"/>
  <c r="G246" i="16"/>
  <c r="H7" i="16"/>
  <c r="G277" i="16"/>
  <c r="F88" i="15"/>
  <c r="G88" i="15" s="1"/>
  <c r="G91" i="15"/>
  <c r="F91" i="15"/>
  <c r="I27" i="15"/>
  <c r="G9" i="15"/>
  <c r="G66" i="15"/>
  <c r="G40" i="15"/>
  <c r="H7" i="15"/>
  <c r="AI31" i="13"/>
  <c r="AJ31" i="13" s="1"/>
  <c r="AH157" i="13"/>
  <c r="H156" i="13" a="1"/>
  <c r="H156" i="13" s="1"/>
  <c r="AJ155" i="13"/>
  <c r="I155" i="13" a="1"/>
  <c r="I155" i="13" s="1"/>
  <c r="AH94" i="13"/>
  <c r="H161" i="13" a="1"/>
  <c r="H161" i="13" s="1"/>
  <c r="AG153" i="13"/>
  <c r="U163" i="13"/>
  <c r="V21" i="13"/>
  <c r="U164" i="13"/>
  <c r="AI25" i="13"/>
  <c r="AI161" i="13" s="1"/>
  <c r="AH58" i="13"/>
  <c r="AH125" i="13" s="1"/>
  <c r="AH126" i="13" s="1"/>
  <c r="AI124" i="13" s="1"/>
  <c r="AI126" i="13" s="1"/>
  <c r="AI191" i="13" s="1"/>
  <c r="I191" i="13" s="1" a="1"/>
  <c r="I191" i="13" s="1"/>
  <c r="I47" i="21" s="1"/>
  <c r="AJ165" i="13"/>
  <c r="J165" i="13" s="1" a="1"/>
  <c r="J165" i="13" s="1"/>
  <c r="T146" i="13"/>
  <c r="V32" i="13"/>
  <c r="W32" i="13" s="1"/>
  <c r="W168" i="13" s="1"/>
  <c r="T40" i="13"/>
  <c r="V24" i="13"/>
  <c r="V160" i="13" s="1"/>
  <c r="AI176" i="13"/>
  <c r="I176" i="13" s="1" a="1"/>
  <c r="I176" i="13" s="1"/>
  <c r="I32" i="21" s="1"/>
  <c r="U101" i="13"/>
  <c r="V101" i="13" s="1"/>
  <c r="AI134" i="13"/>
  <c r="AI137" i="13" s="1"/>
  <c r="AI199" i="13" s="1"/>
  <c r="AK155" i="13"/>
  <c r="U174" i="13"/>
  <c r="U213" i="13" s="1"/>
  <c r="U236" i="13" s="1"/>
  <c r="V164" i="13"/>
  <c r="W28" i="13"/>
  <c r="X28" i="13" s="1"/>
  <c r="Y28" i="13" s="1"/>
  <c r="AI21" i="13"/>
  <c r="AI156" i="13" s="1"/>
  <c r="R40" i="13"/>
  <c r="AI33" i="13"/>
  <c r="V30" i="13"/>
  <c r="V166" i="13" s="1"/>
  <c r="AI27" i="13"/>
  <c r="AI163" i="13" s="1"/>
  <c r="I163" i="13" s="1" a="1"/>
  <c r="I163" i="13" s="1"/>
  <c r="AH7" i="13"/>
  <c r="AH184" i="13" s="1"/>
  <c r="AH176" i="13"/>
  <c r="H176" i="13" s="1" a="1"/>
  <c r="H176" i="13" s="1"/>
  <c r="H32" i="21" s="1"/>
  <c r="S40" i="13"/>
  <c r="S181" i="13"/>
  <c r="S235" i="13" s="1"/>
  <c r="AH165" i="13"/>
  <c r="H165" i="13" s="1" a="1"/>
  <c r="H165" i="13" s="1"/>
  <c r="AH160" i="13"/>
  <c r="H160" i="13" s="1" a="1"/>
  <c r="H160" i="13" s="1"/>
  <c r="U85" i="13"/>
  <c r="V85" i="13" s="1"/>
  <c r="W85" i="13" s="1"/>
  <c r="AG108" i="13"/>
  <c r="V29" i="13"/>
  <c r="R234" i="13"/>
  <c r="AI32" i="13"/>
  <c r="AJ32" i="13" s="1"/>
  <c r="AJ168" i="13" s="1"/>
  <c r="J168" i="13" s="1" a="1"/>
  <c r="J168" i="13" s="1"/>
  <c r="V67" i="13"/>
  <c r="AG181" i="13"/>
  <c r="AG146" i="13" s="1"/>
  <c r="T108" i="13"/>
  <c r="AI167" i="13"/>
  <c r="I167" i="13" s="1" a="1"/>
  <c r="I167" i="13" s="1"/>
  <c r="X36" i="13"/>
  <c r="Y36" i="13" s="1"/>
  <c r="S232" i="13"/>
  <c r="S234" i="13" s="1"/>
  <c r="W21" i="13"/>
  <c r="X21" i="13" s="1"/>
  <c r="X156" i="13" s="1"/>
  <c r="X157" i="13" s="1"/>
  <c r="AH166" i="13"/>
  <c r="H166" i="13" s="1" a="1"/>
  <c r="H166" i="13" s="1"/>
  <c r="W38" i="13"/>
  <c r="W176" i="13" s="1"/>
  <c r="S108" i="13"/>
  <c r="AH87" i="13"/>
  <c r="AH89" i="13" s="1"/>
  <c r="AI88" i="13" s="1"/>
  <c r="V25" i="13"/>
  <c r="W25" i="13" s="1"/>
  <c r="W161" i="13" s="1"/>
  <c r="W94" i="13" s="1"/>
  <c r="U176" i="13"/>
  <c r="AK31" i="13"/>
  <c r="AF108" i="13"/>
  <c r="W33" i="13"/>
  <c r="W169" i="13" s="1"/>
  <c r="AI30" i="13"/>
  <c r="AJ30" i="13" s="1"/>
  <c r="AJ166" i="13" s="1"/>
  <c r="J166" i="13" s="1" a="1"/>
  <c r="J166" i="13" s="1"/>
  <c r="W27" i="13"/>
  <c r="X27" i="13" s="1"/>
  <c r="X163" i="13" s="1"/>
  <c r="U93" i="13"/>
  <c r="U95" i="13" s="1"/>
  <c r="U97" i="13" s="1"/>
  <c r="V134" i="13"/>
  <c r="V137" i="13" s="1"/>
  <c r="V199" i="13" s="1"/>
  <c r="AI36" i="13"/>
  <c r="AI174" i="13" s="1"/>
  <c r="AI26" i="13"/>
  <c r="AJ26" i="13" s="1"/>
  <c r="W167" i="13"/>
  <c r="AF232" i="13"/>
  <c r="AG231" i="13" s="1"/>
  <c r="W30" i="13"/>
  <c r="W166" i="13" s="1"/>
  <c r="AJ38" i="13"/>
  <c r="AJ176" i="13" s="1"/>
  <c r="J176" i="13" s="1" a="1"/>
  <c r="J176" i="13" s="1"/>
  <c r="J32" i="21" s="1"/>
  <c r="W86" i="13"/>
  <c r="AH162" i="13"/>
  <c r="H162" i="13" s="1" a="1"/>
  <c r="H162" i="13" s="1"/>
  <c r="AJ167" i="13"/>
  <c r="J167" i="13" s="1" a="1"/>
  <c r="J167" i="13" s="1"/>
  <c r="V174" i="13"/>
  <c r="AI86" i="13"/>
  <c r="AI165" i="13"/>
  <c r="I165" i="13" s="1" a="1"/>
  <c r="I165" i="13" s="1"/>
  <c r="W26" i="13"/>
  <c r="X26" i="13" s="1"/>
  <c r="X162" i="13" s="1"/>
  <c r="AL70" i="13"/>
  <c r="AH71" i="13" s="1"/>
  <c r="Y70" i="13"/>
  <c r="U71" i="13" s="1"/>
  <c r="U67" i="13"/>
  <c r="AG210" i="13"/>
  <c r="AG16" i="13"/>
  <c r="T73" i="13"/>
  <c r="W67" i="13"/>
  <c r="X164" i="13"/>
  <c r="AJ160" i="13"/>
  <c r="J160" i="13" s="1" a="1"/>
  <c r="J160" i="13" s="1"/>
  <c r="U58" i="13"/>
  <c r="U125" i="13" s="1"/>
  <c r="U126" i="13" s="1"/>
  <c r="V124" i="13" s="1"/>
  <c r="V126" i="13" s="1"/>
  <c r="AF235" i="13"/>
  <c r="AF146" i="13"/>
  <c r="AF148" i="13" s="1"/>
  <c r="AG145" i="13" s="1"/>
  <c r="AI202" i="13"/>
  <c r="I202" i="13" s="1" a="1"/>
  <c r="I202" i="13" s="1"/>
  <c r="AJ141" i="13"/>
  <c r="AJ143" i="13" s="1"/>
  <c r="AI164" i="13"/>
  <c r="I164" i="13" s="1" a="1"/>
  <c r="I164" i="13" s="1"/>
  <c r="AK29" i="13"/>
  <c r="AK24" i="13"/>
  <c r="AJ28" i="13"/>
  <c r="AJ164" i="13" s="1"/>
  <c r="J164" i="13" s="1" a="1"/>
  <c r="J164" i="13" s="1"/>
  <c r="AH213" i="13"/>
  <c r="AH113" i="13"/>
  <c r="AI160" i="13"/>
  <c r="I160" i="13" s="1" a="1"/>
  <c r="I160" i="13" s="1"/>
  <c r="AG75" i="13"/>
  <c r="AH210" i="13"/>
  <c r="V202" i="13"/>
  <c r="W141" i="13"/>
  <c r="W143" i="13" s="1"/>
  <c r="T210" i="13"/>
  <c r="T184" i="13"/>
  <c r="U7" i="13"/>
  <c r="T153" i="13"/>
  <c r="T16" i="13"/>
  <c r="W213" i="13"/>
  <c r="W236" i="13" s="1"/>
  <c r="W113" i="13"/>
  <c r="W114" i="13" s="1"/>
  <c r="W219" i="13" s="1"/>
  <c r="W223" i="13" s="1"/>
  <c r="X86" i="13"/>
  <c r="Y155" i="13"/>
  <c r="V167" i="13"/>
  <c r="X31" i="13"/>
  <c r="X167" i="13" s="1"/>
  <c r="X25" i="13"/>
  <c r="X161" i="13" s="1"/>
  <c r="X94" i="13" s="1"/>
  <c r="V176" i="13"/>
  <c r="U170" i="13"/>
  <c r="U102" i="13" s="1"/>
  <c r="U103" i="13" s="1"/>
  <c r="U105" i="13" s="1"/>
  <c r="V156" i="13"/>
  <c r="V157" i="13" s="1"/>
  <c r="F205" i="13"/>
  <c r="F207" i="13" s="1"/>
  <c r="E205" i="13"/>
  <c r="E207" i="13" s="1"/>
  <c r="F230" i="13"/>
  <c r="E230" i="13"/>
  <c r="E232" i="13" s="1"/>
  <c r="E234" i="13" s="1"/>
  <c r="G230" i="13"/>
  <c r="G205" i="13"/>
  <c r="G207" i="13" s="1"/>
  <c r="E171" i="13"/>
  <c r="E18" i="23" s="1"/>
  <c r="E20" i="23" s="1"/>
  <c r="F171" i="13"/>
  <c r="F18" i="23" s="1"/>
  <c r="F20" i="23" s="1"/>
  <c r="G171" i="13"/>
  <c r="G18" i="23" s="1"/>
  <c r="G20" i="23" s="1"/>
  <c r="F16" i="13"/>
  <c r="F153" i="13"/>
  <c r="G7" i="13"/>
  <c r="F184" i="13"/>
  <c r="F63" i="21" l="1"/>
  <c r="E27" i="21"/>
  <c r="E34" i="21" s="1"/>
  <c r="E37" i="21" s="1"/>
  <c r="E91" i="21" s="1"/>
  <c r="G63" i="21"/>
  <c r="G27" i="21"/>
  <c r="G34" i="21" s="1"/>
  <c r="G37" i="21" s="1"/>
  <c r="G91" i="21" s="1"/>
  <c r="E63" i="21"/>
  <c r="F29" i="20"/>
  <c r="I11" i="23"/>
  <c r="I24" i="23"/>
  <c r="J7" i="23"/>
  <c r="I58" i="22"/>
  <c r="I68" i="22"/>
  <c r="I70" i="22" s="1"/>
  <c r="I71" i="22" s="1"/>
  <c r="I14" i="20"/>
  <c r="C15" i="24" s="1"/>
  <c r="F15" i="24" s="1"/>
  <c r="I11" i="21"/>
  <c r="I19" i="20" s="1"/>
  <c r="K68" i="22"/>
  <c r="K70" i="22" s="1"/>
  <c r="K71" i="22" s="1"/>
  <c r="K58" i="22"/>
  <c r="H68" i="22"/>
  <c r="H58" i="22"/>
  <c r="L48" i="21"/>
  <c r="L59" i="22"/>
  <c r="L73" i="22" s="1"/>
  <c r="J68" i="22"/>
  <c r="J70" i="22" s="1"/>
  <c r="J71" i="22" s="1"/>
  <c r="J58" i="22"/>
  <c r="F100" i="22"/>
  <c r="G97" i="22"/>
  <c r="G98" i="22"/>
  <c r="H50" i="22"/>
  <c r="H19" i="22"/>
  <c r="I7" i="22"/>
  <c r="I76" i="22" s="1"/>
  <c r="G64" i="16"/>
  <c r="Y55" i="19"/>
  <c r="L70" i="16"/>
  <c r="AG53" i="19"/>
  <c r="L23" i="18"/>
  <c r="U51" i="19"/>
  <c r="Y46" i="19"/>
  <c r="T47" i="19"/>
  <c r="AL46" i="19"/>
  <c r="Y50" i="19"/>
  <c r="AG47" i="19"/>
  <c r="F27" i="21"/>
  <c r="AK47" i="19"/>
  <c r="AI51" i="19"/>
  <c r="Y79" i="19"/>
  <c r="K62" i="16"/>
  <c r="I66" i="16"/>
  <c r="Y54" i="19"/>
  <c r="L171" i="16"/>
  <c r="U47" i="19"/>
  <c r="AL54" i="19"/>
  <c r="J109" i="19" a="1"/>
  <c r="J109" i="19" s="1"/>
  <c r="W110" i="19"/>
  <c r="U109" i="19"/>
  <c r="H109" i="19" s="1" a="1"/>
  <c r="H109" i="19" s="1"/>
  <c r="H12" i="21" s="1"/>
  <c r="U38" i="19"/>
  <c r="U41" i="19" s="1"/>
  <c r="U43" i="19" s="1"/>
  <c r="U122" i="19" s="1"/>
  <c r="H122" i="19" s="1" a="1"/>
  <c r="H122" i="19" s="1"/>
  <c r="H25" i="21" s="1"/>
  <c r="S48" i="19"/>
  <c r="F63" i="16"/>
  <c r="AF48" i="19"/>
  <c r="AI46" i="19"/>
  <c r="V46" i="19"/>
  <c r="I23" i="18"/>
  <c r="I61" i="16"/>
  <c r="J70" i="16"/>
  <c r="AJ55" i="19"/>
  <c r="W55" i="19"/>
  <c r="AJ50" i="19"/>
  <c r="W50" i="19"/>
  <c r="J65" i="16"/>
  <c r="J68" i="16"/>
  <c r="AJ53" i="19"/>
  <c r="W53" i="19"/>
  <c r="I70" i="16"/>
  <c r="AI55" i="19"/>
  <c r="V55" i="19"/>
  <c r="I64" i="16"/>
  <c r="AI49" i="19"/>
  <c r="V49" i="19"/>
  <c r="J62" i="16"/>
  <c r="AJ47" i="19"/>
  <c r="W47" i="19"/>
  <c r="H68" i="16"/>
  <c r="AH53" i="19"/>
  <c r="U53" i="19"/>
  <c r="AI48" i="19"/>
  <c r="V48" i="19"/>
  <c r="I63" i="16"/>
  <c r="J64" i="16"/>
  <c r="AJ49" i="19"/>
  <c r="W49" i="19"/>
  <c r="AH50" i="19"/>
  <c r="U50" i="19"/>
  <c r="H65" i="16"/>
  <c r="AJ46" i="19"/>
  <c r="W46" i="19"/>
  <c r="J23" i="18"/>
  <c r="J61" i="16"/>
  <c r="AH48" i="19"/>
  <c r="U48" i="19"/>
  <c r="H63" i="16"/>
  <c r="J66" i="16"/>
  <c r="AJ51" i="19"/>
  <c r="W51" i="19"/>
  <c r="F23" i="18"/>
  <c r="S54" i="19"/>
  <c r="F69" i="16"/>
  <c r="AF54" i="19"/>
  <c r="AG54" i="19"/>
  <c r="T54" i="19"/>
  <c r="G69" i="16"/>
  <c r="AI79" i="19"/>
  <c r="I171" i="16"/>
  <c r="V79" i="19"/>
  <c r="AH54" i="19"/>
  <c r="U54" i="19"/>
  <c r="H69" i="16"/>
  <c r="AI50" i="19"/>
  <c r="V50" i="19"/>
  <c r="I65" i="16"/>
  <c r="AJ63" i="19"/>
  <c r="AJ65" i="19" s="1"/>
  <c r="W63" i="19"/>
  <c r="W65" i="19" s="1"/>
  <c r="J155" i="16"/>
  <c r="AG50" i="19"/>
  <c r="T50" i="19"/>
  <c r="G65" i="16"/>
  <c r="I16" i="20"/>
  <c r="K64" i="16"/>
  <c r="AK49" i="19"/>
  <c r="X49" i="19"/>
  <c r="W71" i="19"/>
  <c r="AJ71" i="19"/>
  <c r="J163" i="16"/>
  <c r="AJ52" i="19"/>
  <c r="W52" i="19"/>
  <c r="J67" i="16"/>
  <c r="AK46" i="19"/>
  <c r="X46" i="19"/>
  <c r="K23" i="18"/>
  <c r="K61" i="16"/>
  <c r="AH46" i="19"/>
  <c r="U46" i="19"/>
  <c r="H23" i="18"/>
  <c r="H61" i="16"/>
  <c r="V110" i="19"/>
  <c r="I68" i="16"/>
  <c r="AI53" i="19"/>
  <c r="V53" i="19"/>
  <c r="V38" i="19"/>
  <c r="V41" i="19" s="1"/>
  <c r="AH52" i="19"/>
  <c r="U52" i="19"/>
  <c r="H67" i="16"/>
  <c r="L163" i="16"/>
  <c r="Y71" i="19"/>
  <c r="AL71" i="19"/>
  <c r="H66" i="21"/>
  <c r="H9" i="21"/>
  <c r="I7" i="21"/>
  <c r="H40" i="21"/>
  <c r="E131" i="19"/>
  <c r="E134" i="19" s="1"/>
  <c r="E188" i="19" s="1"/>
  <c r="E29" i="20"/>
  <c r="G178" i="13"/>
  <c r="G181" i="13" s="1"/>
  <c r="G235" i="13" s="1"/>
  <c r="G27" i="20"/>
  <c r="G30" i="20" s="1"/>
  <c r="E178" i="13"/>
  <c r="E181" i="13" s="1"/>
  <c r="E235" i="13" s="1"/>
  <c r="E27" i="20"/>
  <c r="F178" i="13"/>
  <c r="F181" i="13" s="1"/>
  <c r="F235" i="13" s="1"/>
  <c r="F27" i="20"/>
  <c r="I7" i="20"/>
  <c r="H22" i="20"/>
  <c r="H9" i="20"/>
  <c r="X64" i="19"/>
  <c r="X65" i="19" s="1"/>
  <c r="K108" i="19" a="1"/>
  <c r="K108" i="19" s="1"/>
  <c r="K27" i="23" s="1"/>
  <c r="K28" i="23" s="1"/>
  <c r="K30" i="23" s="1"/>
  <c r="U64" i="19"/>
  <c r="U65" i="19" s="1"/>
  <c r="U66" i="19" s="1"/>
  <c r="U67" i="19" s="1"/>
  <c r="H108" i="19" a="1"/>
  <c r="H108" i="19" s="1"/>
  <c r="Y110" i="19"/>
  <c r="L109" i="19" a="1"/>
  <c r="L109" i="19" s="1"/>
  <c r="AH38" i="19"/>
  <c r="AH41" i="19" s="1"/>
  <c r="AH43" i="19" s="1"/>
  <c r="AH122" i="19" s="1"/>
  <c r="AL109" i="19"/>
  <c r="AL110" i="19" s="1"/>
  <c r="AL38" i="19"/>
  <c r="AL41" i="19" s="1"/>
  <c r="AL43" i="19" s="1"/>
  <c r="AL117" i="19" s="1"/>
  <c r="X38" i="19"/>
  <c r="X41" i="19" s="1"/>
  <c r="X43" i="19" s="1"/>
  <c r="X110" i="19"/>
  <c r="AK110" i="19"/>
  <c r="V43" i="19"/>
  <c r="V120" i="19" s="1"/>
  <c r="I120" i="19" s="1" a="1"/>
  <c r="I120" i="19" s="1"/>
  <c r="I23" i="21" s="1"/>
  <c r="AK38" i="19"/>
  <c r="AK41" i="19" s="1"/>
  <c r="AK43" i="19" s="1"/>
  <c r="AK121" i="19" s="1"/>
  <c r="AI38" i="19"/>
  <c r="AI41" i="19" s="1"/>
  <c r="AI43" i="19" s="1"/>
  <c r="AI119" i="19" s="1"/>
  <c r="AJ38" i="19"/>
  <c r="AJ41" i="19" s="1"/>
  <c r="AJ43" i="19" s="1"/>
  <c r="Y38" i="19"/>
  <c r="Y41" i="19" s="1"/>
  <c r="Y43" i="19" s="1"/>
  <c r="Y116" i="19" s="1"/>
  <c r="L116" i="19" s="1" a="1"/>
  <c r="L116" i="19" s="1"/>
  <c r="W38" i="19"/>
  <c r="W41" i="19" s="1"/>
  <c r="W43" i="19" s="1"/>
  <c r="W115" i="19" s="1"/>
  <c r="J115" i="19" s="1" a="1"/>
  <c r="J115" i="19" s="1"/>
  <c r="S187" i="19"/>
  <c r="AH184" i="19"/>
  <c r="AG187" i="19"/>
  <c r="AH66" i="19"/>
  <c r="AH67" i="19" s="1"/>
  <c r="AI45" i="19"/>
  <c r="AI35" i="19"/>
  <c r="AI106" i="19"/>
  <c r="AI15" i="19"/>
  <c r="AI137" i="19"/>
  <c r="AI40" i="19"/>
  <c r="AI163" i="19"/>
  <c r="AJ7" i="19"/>
  <c r="AH143" i="19"/>
  <c r="AI92" i="19"/>
  <c r="V45" i="19"/>
  <c r="V35" i="19"/>
  <c r="V106" i="19"/>
  <c r="V15" i="19"/>
  <c r="V137" i="19"/>
  <c r="V40" i="19"/>
  <c r="V163" i="19"/>
  <c r="W7" i="19"/>
  <c r="U143" i="19"/>
  <c r="V92" i="19"/>
  <c r="U184" i="19"/>
  <c r="T187" i="19"/>
  <c r="H137" i="19"/>
  <c r="G185" i="19"/>
  <c r="H163" i="19"/>
  <c r="H15" i="19"/>
  <c r="H106" i="19"/>
  <c r="I7" i="19"/>
  <c r="I187" i="16"/>
  <c r="I214" i="16" s="1"/>
  <c r="I188" i="16"/>
  <c r="I224" i="16" s="1"/>
  <c r="K187" i="16"/>
  <c r="K214" i="16" s="1"/>
  <c r="K188" i="16"/>
  <c r="K224" i="16" s="1"/>
  <c r="L187" i="16"/>
  <c r="L214" i="16" s="1"/>
  <c r="L188" i="16"/>
  <c r="L224" i="16" s="1"/>
  <c r="J187" i="16"/>
  <c r="J214" i="16" s="1"/>
  <c r="J188" i="16"/>
  <c r="J224" i="16" s="1"/>
  <c r="H187" i="16"/>
  <c r="H214" i="16" s="1"/>
  <c r="H215" i="16" s="1"/>
  <c r="H188" i="16"/>
  <c r="H224" i="16" s="1"/>
  <c r="H225" i="16" s="1"/>
  <c r="K205" i="16"/>
  <c r="K213" i="16" s="1"/>
  <c r="L110" i="16"/>
  <c r="L111" i="16" s="1"/>
  <c r="H120" i="16" s="1"/>
  <c r="K111" i="16"/>
  <c r="H119" i="16" s="1"/>
  <c r="I120" i="16" s="1"/>
  <c r="L86" i="16"/>
  <c r="L92" i="16"/>
  <c r="L234" i="16" s="1"/>
  <c r="H86" i="16"/>
  <c r="H218" i="16" s="1"/>
  <c r="H92" i="16"/>
  <c r="K86" i="16"/>
  <c r="K92" i="16"/>
  <c r="J86" i="16"/>
  <c r="J92" i="16"/>
  <c r="I86" i="16"/>
  <c r="I92" i="16"/>
  <c r="H60" i="16"/>
  <c r="H55" i="16"/>
  <c r="J33" i="16"/>
  <c r="J49" i="16" s="1"/>
  <c r="L26" i="16"/>
  <c r="L197" i="16" s="1"/>
  <c r="L204" i="16" s="1"/>
  <c r="L205" i="16" s="1"/>
  <c r="L213" i="16" s="1"/>
  <c r="D34" i="16"/>
  <c r="H33" i="16"/>
  <c r="H49" i="16" s="1"/>
  <c r="I33" i="16"/>
  <c r="I49" i="16" s="1"/>
  <c r="L33" i="16"/>
  <c r="L49" i="16" s="1"/>
  <c r="H15" i="16"/>
  <c r="H9" i="16"/>
  <c r="H41" i="16"/>
  <c r="J7" i="18"/>
  <c r="G324" i="16"/>
  <c r="G325" i="16" s="1"/>
  <c r="G327" i="16" s="1"/>
  <c r="H303" i="16"/>
  <c r="H246" i="16"/>
  <c r="I7" i="16"/>
  <c r="H277" i="16"/>
  <c r="F90" i="15"/>
  <c r="H66" i="15"/>
  <c r="H40" i="15"/>
  <c r="H93" i="15"/>
  <c r="H9" i="15"/>
  <c r="H84" i="15"/>
  <c r="I7" i="15"/>
  <c r="J27" i="15"/>
  <c r="G90" i="15"/>
  <c r="AG232" i="13"/>
  <c r="G231" i="13" a="1"/>
  <c r="G231" i="13" s="1"/>
  <c r="G87" i="21" s="1"/>
  <c r="G88" i="21" s="1"/>
  <c r="G90" i="21" s="1"/>
  <c r="AJ124" i="13"/>
  <c r="AJ126" i="13" s="1"/>
  <c r="AH191" i="13"/>
  <c r="H191" i="13" s="1" a="1"/>
  <c r="H191" i="13" s="1"/>
  <c r="H47" i="21" s="1"/>
  <c r="AI213" i="13"/>
  <c r="I174" i="13" a="1"/>
  <c r="I174" i="13" s="1"/>
  <c r="I30" i="21" s="1"/>
  <c r="AI157" i="13"/>
  <c r="I156" i="13" a="1"/>
  <c r="I156" i="13" s="1"/>
  <c r="AL155" i="13"/>
  <c r="L155" i="13" s="1" a="1"/>
  <c r="L155" i="13" s="1"/>
  <c r="K155" i="13" a="1"/>
  <c r="K155" i="13" s="1"/>
  <c r="AI94" i="13"/>
  <c r="AI95" i="13" s="1"/>
  <c r="I161" i="13" a="1"/>
  <c r="I161" i="13" s="1"/>
  <c r="AJ86" i="13"/>
  <c r="J155" i="13" a="1"/>
  <c r="J155" i="13" s="1"/>
  <c r="AH236" i="13"/>
  <c r="H213" i="13" a="1"/>
  <c r="H213" i="13" s="1"/>
  <c r="H69" i="21" s="1"/>
  <c r="H92" i="21" s="1"/>
  <c r="AJ134" i="13"/>
  <c r="AJ137" i="13" s="1"/>
  <c r="AJ199" i="13" s="1"/>
  <c r="U113" i="13"/>
  <c r="U114" i="13" s="1"/>
  <c r="U219" i="13" s="1"/>
  <c r="U223" i="13" s="1"/>
  <c r="AJ25" i="13"/>
  <c r="AJ161" i="13" s="1"/>
  <c r="W24" i="13"/>
  <c r="W160" i="13" s="1"/>
  <c r="AL71" i="13"/>
  <c r="AH72" i="13" s="1"/>
  <c r="AL72" i="13" s="1"/>
  <c r="AH73" i="13" s="1"/>
  <c r="AL73" i="13" s="1"/>
  <c r="AH74" i="13" s="1"/>
  <c r="AL74" i="13" s="1"/>
  <c r="AH75" i="13" s="1"/>
  <c r="AK167" i="13"/>
  <c r="K167" i="13" s="1" a="1"/>
  <c r="K167" i="13" s="1"/>
  <c r="AK160" i="13"/>
  <c r="K160" i="13" s="1" a="1"/>
  <c r="K160" i="13" s="1"/>
  <c r="AH175" i="13"/>
  <c r="X174" i="13"/>
  <c r="X213" i="13" s="1"/>
  <c r="X236" i="13" s="1"/>
  <c r="AK86" i="13"/>
  <c r="X32" i="13"/>
  <c r="X168" i="13" s="1"/>
  <c r="AG235" i="13"/>
  <c r="AH153" i="13"/>
  <c r="AJ27" i="13"/>
  <c r="AJ163" i="13" s="1"/>
  <c r="J163" i="13" s="1" a="1"/>
  <c r="J163" i="13" s="1"/>
  <c r="AH16" i="13"/>
  <c r="AI7" i="13"/>
  <c r="V168" i="13"/>
  <c r="AK165" i="13"/>
  <c r="K165" i="13" s="1" a="1"/>
  <c r="K165" i="13" s="1"/>
  <c r="U87" i="13"/>
  <c r="U89" i="13" s="1"/>
  <c r="V88" i="13" s="1"/>
  <c r="W164" i="13"/>
  <c r="Y71" i="13"/>
  <c r="U72" i="13" s="1"/>
  <c r="Y72" i="13" s="1"/>
  <c r="U73" i="13" s="1"/>
  <c r="W134" i="13"/>
  <c r="W137" i="13" s="1"/>
  <c r="X134" i="13" s="1"/>
  <c r="X137" i="13" s="1"/>
  <c r="V93" i="13"/>
  <c r="W93" i="13" s="1"/>
  <c r="W95" i="13" s="1"/>
  <c r="T231" i="13"/>
  <c r="T232" i="13" s="1"/>
  <c r="U231" i="13" s="1"/>
  <c r="AK32" i="13"/>
  <c r="AK168" i="13" s="1"/>
  <c r="K168" i="13" s="1" a="1"/>
  <c r="K168" i="13" s="1"/>
  <c r="AI168" i="13"/>
  <c r="I168" i="13" s="1" a="1"/>
  <c r="I168" i="13" s="1"/>
  <c r="AI169" i="13"/>
  <c r="I169" i="13" s="1" a="1"/>
  <c r="I169" i="13" s="1"/>
  <c r="AJ33" i="13"/>
  <c r="AJ169" i="13" s="1"/>
  <c r="J169" i="13" s="1" a="1"/>
  <c r="J169" i="13" s="1"/>
  <c r="W29" i="13"/>
  <c r="W165" i="13" s="1"/>
  <c r="V165" i="13"/>
  <c r="AJ21" i="13"/>
  <c r="W87" i="13"/>
  <c r="AH187" i="13"/>
  <c r="H187" i="13" s="1" a="1"/>
  <c r="H187" i="13" s="1"/>
  <c r="X24" i="13"/>
  <c r="X160" i="13" s="1"/>
  <c r="X38" i="13"/>
  <c r="W163" i="13"/>
  <c r="AH95" i="13"/>
  <c r="AH97" i="13" s="1"/>
  <c r="AI96" i="13" s="1"/>
  <c r="AH170" i="13"/>
  <c r="AH171" i="13" s="1"/>
  <c r="U191" i="13"/>
  <c r="AI162" i="13"/>
  <c r="I162" i="13" s="1" a="1"/>
  <c r="I162" i="13" s="1"/>
  <c r="S146" i="13"/>
  <c r="S148" i="13" s="1"/>
  <c r="T145" i="13" s="1"/>
  <c r="T148" i="13" s="1"/>
  <c r="U145" i="13" s="1"/>
  <c r="Y21" i="13"/>
  <c r="Y156" i="13" s="1"/>
  <c r="Y157" i="13" s="1"/>
  <c r="V87" i="13"/>
  <c r="W156" i="13"/>
  <c r="W157" i="13" s="1"/>
  <c r="AL31" i="13"/>
  <c r="AL167" i="13" s="1"/>
  <c r="L167" i="13" s="1" a="1"/>
  <c r="L167" i="13" s="1"/>
  <c r="AK30" i="13"/>
  <c r="AK166" i="13" s="1"/>
  <c r="K166" i="13" s="1" a="1"/>
  <c r="K166" i="13" s="1"/>
  <c r="AJ36" i="13"/>
  <c r="AJ174" i="13" s="1"/>
  <c r="J174" i="13" s="1" a="1"/>
  <c r="J174" i="13" s="1"/>
  <c r="J30" i="21" s="1"/>
  <c r="X33" i="13"/>
  <c r="X169" i="13" s="1"/>
  <c r="AI113" i="13"/>
  <c r="AI114" i="13" s="1"/>
  <c r="AI219" i="13" s="1"/>
  <c r="V161" i="13"/>
  <c r="AK25" i="13"/>
  <c r="AK161" i="13" s="1"/>
  <c r="AI166" i="13"/>
  <c r="I166" i="13" s="1" a="1"/>
  <c r="I166" i="13" s="1"/>
  <c r="AJ162" i="13"/>
  <c r="J162" i="13" s="1" a="1"/>
  <c r="J162" i="13" s="1"/>
  <c r="AK26" i="13"/>
  <c r="AK162" i="13" s="1"/>
  <c r="K162" i="13" s="1" a="1"/>
  <c r="K162" i="13" s="1"/>
  <c r="AK38" i="13"/>
  <c r="V213" i="13"/>
  <c r="V236" i="13" s="1"/>
  <c r="V113" i="13"/>
  <c r="V114" i="13" s="1"/>
  <c r="V219" i="13" s="1"/>
  <c r="V223" i="13" s="1"/>
  <c r="T74" i="13"/>
  <c r="X67" i="13"/>
  <c r="X30" i="13"/>
  <c r="AK28" i="13"/>
  <c r="AK164" i="13" s="1"/>
  <c r="K164" i="13" s="1" a="1"/>
  <c r="K164" i="13" s="1"/>
  <c r="Y26" i="13"/>
  <c r="Y162" i="13" s="1"/>
  <c r="W162" i="13"/>
  <c r="AF234" i="13"/>
  <c r="Y31" i="13"/>
  <c r="Y167" i="13" s="1"/>
  <c r="AH65" i="13"/>
  <c r="AG76" i="13"/>
  <c r="AH102" i="13"/>
  <c r="AH103" i="13" s="1"/>
  <c r="AH105" i="13" s="1"/>
  <c r="AL24" i="13"/>
  <c r="AL160" i="13" s="1"/>
  <c r="L160" i="13" s="1" a="1"/>
  <c r="L160" i="13" s="1"/>
  <c r="AJ191" i="13"/>
  <c r="J191" i="13" s="1" a="1"/>
  <c r="J191" i="13" s="1"/>
  <c r="J47" i="21" s="1"/>
  <c r="AK124" i="13"/>
  <c r="AK126" i="13" s="1"/>
  <c r="AJ202" i="13"/>
  <c r="J202" i="13" s="1" a="1"/>
  <c r="J202" i="13" s="1"/>
  <c r="AK141" i="13"/>
  <c r="AK143" i="13" s="1"/>
  <c r="AL86" i="13"/>
  <c r="AH114" i="13"/>
  <c r="AH219" i="13" s="1"/>
  <c r="AL29" i="13"/>
  <c r="AG148" i="13"/>
  <c r="AH145" i="13" s="1"/>
  <c r="AH231" i="13"/>
  <c r="H231" i="13" s="1" a="1"/>
  <c r="H231" i="13" s="1"/>
  <c r="H87" i="21" s="1"/>
  <c r="AG234" i="13"/>
  <c r="U196" i="13"/>
  <c r="V104" i="13"/>
  <c r="Y25" i="13"/>
  <c r="Y161" i="13" s="1"/>
  <c r="Y94" i="13" s="1"/>
  <c r="Y27" i="13"/>
  <c r="Y163" i="13" s="1"/>
  <c r="V96" i="13"/>
  <c r="U189" i="13"/>
  <c r="V191" i="13"/>
  <c r="W124" i="13"/>
  <c r="W126" i="13" s="1"/>
  <c r="U171" i="13"/>
  <c r="X85" i="13"/>
  <c r="X87" i="13" s="1"/>
  <c r="U210" i="13"/>
  <c r="U184" i="13"/>
  <c r="V7" i="13"/>
  <c r="U153" i="13"/>
  <c r="U16" i="13"/>
  <c r="U175" i="13"/>
  <c r="W202" i="13"/>
  <c r="X141" i="13"/>
  <c r="X143" i="13" s="1"/>
  <c r="W101" i="13"/>
  <c r="Y86" i="13"/>
  <c r="Y164" i="13"/>
  <c r="Y174" i="13"/>
  <c r="H157" i="13"/>
  <c r="F232" i="13"/>
  <c r="G210" i="13"/>
  <c r="G184" i="13"/>
  <c r="H7" i="13"/>
  <c r="G153" i="13"/>
  <c r="G16" i="13"/>
  <c r="E32" i="20" l="1"/>
  <c r="J58" i="21"/>
  <c r="G32" i="20"/>
  <c r="I58" i="21"/>
  <c r="F30" i="20"/>
  <c r="I17" i="20"/>
  <c r="I20" i="20" s="1"/>
  <c r="H27" i="23"/>
  <c r="H28" i="23" s="1"/>
  <c r="H30" i="23" s="1"/>
  <c r="H11" i="21"/>
  <c r="H19" i="20" s="1"/>
  <c r="J18" i="21"/>
  <c r="J11" i="23"/>
  <c r="J24" i="23"/>
  <c r="K7" i="23"/>
  <c r="K14" i="20"/>
  <c r="K11" i="21"/>
  <c r="K19" i="20" s="1"/>
  <c r="J59" i="22"/>
  <c r="J73" i="22" s="1"/>
  <c r="J48" i="21"/>
  <c r="I157" i="13"/>
  <c r="I12" i="21"/>
  <c r="H59" i="22"/>
  <c r="H48" i="21"/>
  <c r="L14" i="20"/>
  <c r="L17" i="20" s="1"/>
  <c r="L11" i="21"/>
  <c r="L19" i="20" s="1"/>
  <c r="H70" i="22"/>
  <c r="H71" i="22" s="1"/>
  <c r="H58" i="21"/>
  <c r="K59" i="22"/>
  <c r="K73" i="22" s="1"/>
  <c r="K48" i="21"/>
  <c r="J14" i="20"/>
  <c r="J17" i="20" s="1"/>
  <c r="J11" i="21"/>
  <c r="J19" i="20" s="1"/>
  <c r="J20" i="20" s="1"/>
  <c r="E33" i="20"/>
  <c r="G33" i="20"/>
  <c r="I59" i="22"/>
  <c r="I73" i="22" s="1"/>
  <c r="I48" i="21"/>
  <c r="F34" i="21"/>
  <c r="F37" i="21" s="1"/>
  <c r="F91" i="21" s="1"/>
  <c r="F32" i="20"/>
  <c r="G100" i="22"/>
  <c r="H97" i="22"/>
  <c r="H98" i="22" s="1"/>
  <c r="I50" i="22"/>
  <c r="J7" i="22"/>
  <c r="K7" i="22" s="1"/>
  <c r="I19" i="22"/>
  <c r="J76" i="22"/>
  <c r="E30" i="20"/>
  <c r="AJ113" i="19"/>
  <c r="AH116" i="19"/>
  <c r="AL114" i="19"/>
  <c r="AL72" i="19" s="1"/>
  <c r="AL121" i="19"/>
  <c r="U110" i="19"/>
  <c r="AH113" i="19"/>
  <c r="AH114" i="19"/>
  <c r="AH72" i="19" s="1"/>
  <c r="AH73" i="19" s="1"/>
  <c r="AH119" i="19"/>
  <c r="K16" i="20"/>
  <c r="X113" i="19"/>
  <c r="K113" i="19" s="1" a="1"/>
  <c r="K113" i="19" s="1"/>
  <c r="K16" i="21" s="1"/>
  <c r="AL73" i="19"/>
  <c r="H16" i="20"/>
  <c r="I66" i="21"/>
  <c r="I9" i="21"/>
  <c r="J7" i="21"/>
  <c r="I40" i="21"/>
  <c r="J7" i="20"/>
  <c r="I22" i="20"/>
  <c r="I9" i="20"/>
  <c r="AL115" i="19"/>
  <c r="AL118" i="19"/>
  <c r="AL116" i="19"/>
  <c r="AH121" i="19"/>
  <c r="X114" i="19"/>
  <c r="AH118" i="19"/>
  <c r="X120" i="19"/>
  <c r="K120" i="19" s="1" a="1"/>
  <c r="K120" i="19" s="1"/>
  <c r="K23" i="21" s="1"/>
  <c r="AH120" i="19"/>
  <c r="X115" i="19"/>
  <c r="K115" i="19" s="1" a="1"/>
  <c r="K115" i="19" s="1"/>
  <c r="K18" i="21" s="1"/>
  <c r="AL122" i="19"/>
  <c r="X117" i="19"/>
  <c r="K117" i="19" s="1" a="1"/>
  <c r="K117" i="19" s="1"/>
  <c r="K20" i="21" s="1"/>
  <c r="X121" i="19"/>
  <c r="K121" i="19" s="1" a="1"/>
  <c r="K121" i="19" s="1"/>
  <c r="K24" i="21" s="1"/>
  <c r="AH115" i="19"/>
  <c r="X118" i="19"/>
  <c r="K118" i="19" s="1" a="1"/>
  <c r="K118" i="19" s="1"/>
  <c r="K21" i="21" s="1"/>
  <c r="W114" i="19"/>
  <c r="AH117" i="19"/>
  <c r="AL119" i="19"/>
  <c r="X116" i="19"/>
  <c r="U113" i="19"/>
  <c r="H113" i="19" s="1" a="1"/>
  <c r="H113" i="19" s="1"/>
  <c r="H16" i="21" s="1"/>
  <c r="Y120" i="19"/>
  <c r="L120" i="19" s="1" a="1"/>
  <c r="L120" i="19" s="1"/>
  <c r="L23" i="21" s="1"/>
  <c r="X122" i="19"/>
  <c r="K122" i="19" s="1" a="1"/>
  <c r="K122" i="19" s="1"/>
  <c r="X119" i="19"/>
  <c r="K119" i="19" s="1" a="1"/>
  <c r="K119" i="19" s="1"/>
  <c r="K22" i="21" s="1"/>
  <c r="AL120" i="19"/>
  <c r="AL113" i="19"/>
  <c r="W117" i="19"/>
  <c r="J117" i="19" s="1" a="1"/>
  <c r="J117" i="19" s="1"/>
  <c r="J20" i="21" s="1"/>
  <c r="V117" i="19"/>
  <c r="I117" i="19" s="1" a="1"/>
  <c r="I117" i="19" s="1"/>
  <c r="I20" i="21" s="1"/>
  <c r="W120" i="19"/>
  <c r="J120" i="19" s="1" a="1"/>
  <c r="J120" i="19" s="1"/>
  <c r="J23" i="21" s="1"/>
  <c r="V121" i="19"/>
  <c r="I121" i="19" s="1" a="1"/>
  <c r="I121" i="19" s="1"/>
  <c r="I24" i="21" s="1"/>
  <c r="V115" i="19"/>
  <c r="I115" i="19" s="1" a="1"/>
  <c r="I115" i="19" s="1"/>
  <c r="I18" i="21" s="1"/>
  <c r="V114" i="19"/>
  <c r="V118" i="19"/>
  <c r="I118" i="19" s="1" a="1"/>
  <c r="I118" i="19" s="1"/>
  <c r="I21" i="21" s="1"/>
  <c r="V113" i="19"/>
  <c r="I113" i="19" s="1" a="1"/>
  <c r="I113" i="19" s="1"/>
  <c r="I16" i="21" s="1"/>
  <c r="AK115" i="19"/>
  <c r="V122" i="19"/>
  <c r="I122" i="19" s="1" a="1"/>
  <c r="I122" i="19" s="1"/>
  <c r="I25" i="21" s="1"/>
  <c r="AI122" i="19"/>
  <c r="V119" i="19"/>
  <c r="I119" i="19" s="1" a="1"/>
  <c r="I119" i="19" s="1"/>
  <c r="I22" i="21" s="1"/>
  <c r="AK118" i="19"/>
  <c r="V116" i="19"/>
  <c r="I116" i="19" s="1" a="1"/>
  <c r="I116" i="19" s="1"/>
  <c r="I19" i="21" s="1"/>
  <c r="AK122" i="19"/>
  <c r="AK116" i="19"/>
  <c r="AK119" i="19"/>
  <c r="U115" i="19"/>
  <c r="H115" i="19" s="1" a="1"/>
  <c r="H115" i="19" s="1"/>
  <c r="H18" i="21" s="1"/>
  <c r="U118" i="19"/>
  <c r="H118" i="19" s="1" a="1"/>
  <c r="H118" i="19" s="1"/>
  <c r="H21" i="21" s="1"/>
  <c r="AK120" i="19"/>
  <c r="AK117" i="19"/>
  <c r="U114" i="19"/>
  <c r="U116" i="19"/>
  <c r="H116" i="19" s="1" a="1"/>
  <c r="H116" i="19" s="1"/>
  <c r="H19" i="21" s="1"/>
  <c r="U120" i="19"/>
  <c r="H120" i="19" s="1" a="1"/>
  <c r="H120" i="19" s="1"/>
  <c r="H23" i="21" s="1"/>
  <c r="AK113" i="19"/>
  <c r="AK114" i="19"/>
  <c r="AK72" i="19" s="1"/>
  <c r="AK73" i="19" s="1"/>
  <c r="U121" i="19"/>
  <c r="H121" i="19" s="1" a="1"/>
  <c r="H121" i="19" s="1"/>
  <c r="H24" i="21" s="1"/>
  <c r="AI117" i="19"/>
  <c r="U117" i="19"/>
  <c r="H117" i="19" s="1" a="1"/>
  <c r="H117" i="19" s="1"/>
  <c r="H20" i="21" s="1"/>
  <c r="U119" i="19"/>
  <c r="H119" i="19" s="1" a="1"/>
  <c r="H119" i="19" s="1"/>
  <c r="H22" i="21" s="1"/>
  <c r="AI116" i="19"/>
  <c r="AI113" i="19"/>
  <c r="W122" i="19"/>
  <c r="J122" i="19" s="1" a="1"/>
  <c r="J122" i="19" s="1"/>
  <c r="J25" i="21" s="1"/>
  <c r="AJ117" i="19"/>
  <c r="AI115" i="19"/>
  <c r="W119" i="19"/>
  <c r="J119" i="19" s="1" a="1"/>
  <c r="J119" i="19" s="1"/>
  <c r="J22" i="21" s="1"/>
  <c r="AJ114" i="19"/>
  <c r="AJ72" i="19" s="1"/>
  <c r="AJ73" i="19" s="1"/>
  <c r="W116" i="19"/>
  <c r="J116" i="19" s="1" a="1"/>
  <c r="J116" i="19" s="1"/>
  <c r="J19" i="21" s="1"/>
  <c r="AJ121" i="19"/>
  <c r="W121" i="19"/>
  <c r="J121" i="19" s="1" a="1"/>
  <c r="J121" i="19" s="1"/>
  <c r="J24" i="21" s="1"/>
  <c r="Y117" i="19"/>
  <c r="L117" i="19" s="1" a="1"/>
  <c r="L117" i="19" s="1"/>
  <c r="Y118" i="19"/>
  <c r="L118" i="19" s="1" a="1"/>
  <c r="L118" i="19" s="1"/>
  <c r="Y114" i="19"/>
  <c r="Y122" i="19"/>
  <c r="L122" i="19" s="1" a="1"/>
  <c r="L122" i="19" s="1"/>
  <c r="Y115" i="19"/>
  <c r="L115" i="19" s="1" a="1"/>
  <c r="L115" i="19" s="1"/>
  <c r="Y121" i="19"/>
  <c r="L121" i="19" s="1" a="1"/>
  <c r="L121" i="19" s="1"/>
  <c r="Y119" i="19"/>
  <c r="L119" i="19" s="1" a="1"/>
  <c r="L119" i="19" s="1"/>
  <c r="W118" i="19"/>
  <c r="J118" i="19" s="1" a="1"/>
  <c r="J118" i="19" s="1"/>
  <c r="J21" i="21" s="1"/>
  <c r="Y113" i="19"/>
  <c r="L113" i="19" s="1" a="1"/>
  <c r="L113" i="19" s="1"/>
  <c r="L16" i="21" s="1"/>
  <c r="AJ118" i="19"/>
  <c r="AI118" i="19"/>
  <c r="AJ115" i="19"/>
  <c r="AJ122" i="19"/>
  <c r="AI121" i="19"/>
  <c r="AJ120" i="19"/>
  <c r="W113" i="19"/>
  <c r="J113" i="19" s="1" a="1"/>
  <c r="J113" i="19" s="1"/>
  <c r="J16" i="21" s="1"/>
  <c r="AJ119" i="19"/>
  <c r="AI120" i="19"/>
  <c r="AJ116" i="19"/>
  <c r="AI114" i="19"/>
  <c r="AI72" i="19" s="1"/>
  <c r="AI73" i="19" s="1"/>
  <c r="AH74" i="19"/>
  <c r="AH75" i="19" s="1"/>
  <c r="AH140" i="19"/>
  <c r="AI66" i="19"/>
  <c r="AI67" i="19" s="1"/>
  <c r="AI93" i="19"/>
  <c r="AI127" i="19" s="1"/>
  <c r="AJ45" i="19"/>
  <c r="AJ35" i="19"/>
  <c r="AJ106" i="19"/>
  <c r="AJ15" i="19"/>
  <c r="AK7" i="19"/>
  <c r="AJ137" i="19"/>
  <c r="AJ40" i="19"/>
  <c r="AJ163" i="19"/>
  <c r="V93" i="19"/>
  <c r="V127" i="19" s="1"/>
  <c r="U140" i="19"/>
  <c r="H140" i="19" s="1" a="1"/>
  <c r="H140" i="19" s="1"/>
  <c r="H43" i="21" s="1"/>
  <c r="V66" i="19"/>
  <c r="V67" i="19" s="1"/>
  <c r="W45" i="19"/>
  <c r="W35" i="19"/>
  <c r="W106" i="19"/>
  <c r="W15" i="19"/>
  <c r="W137" i="19"/>
  <c r="W40" i="19"/>
  <c r="W163" i="19"/>
  <c r="X7" i="19"/>
  <c r="J7" i="19"/>
  <c r="J106" i="19" s="1"/>
  <c r="I106" i="19"/>
  <c r="G187" i="19"/>
  <c r="I163" i="19"/>
  <c r="I15" i="19"/>
  <c r="I137" i="19"/>
  <c r="H219" i="16"/>
  <c r="H312" i="16" s="1"/>
  <c r="H228" i="16"/>
  <c r="H229" i="16" s="1"/>
  <c r="H313" i="16" s="1"/>
  <c r="H284" i="16"/>
  <c r="I223" i="16"/>
  <c r="I225" i="16" s="1"/>
  <c r="K93" i="16"/>
  <c r="L94" i="16" s="1"/>
  <c r="J234" i="16"/>
  <c r="L93" i="16"/>
  <c r="K234" i="16"/>
  <c r="J93" i="16"/>
  <c r="I234" i="16"/>
  <c r="I93" i="16"/>
  <c r="J94" i="16" s="1"/>
  <c r="K95" i="16" s="1"/>
  <c r="L96" i="16" s="1"/>
  <c r="H234" i="16"/>
  <c r="H236" i="16" s="1"/>
  <c r="I211" i="16"/>
  <c r="H283" i="16"/>
  <c r="H87" i="16"/>
  <c r="H104" i="16"/>
  <c r="I87" i="16"/>
  <c r="I104" i="16"/>
  <c r="J87" i="16"/>
  <c r="J104" i="16"/>
  <c r="K87" i="16"/>
  <c r="K104" i="16"/>
  <c r="L87" i="16"/>
  <c r="L104" i="16"/>
  <c r="K94" i="16"/>
  <c r="L95" i="16" s="1"/>
  <c r="I60" i="16"/>
  <c r="I55" i="16"/>
  <c r="I15" i="16"/>
  <c r="I9" i="16"/>
  <c r="I41" i="16"/>
  <c r="D35" i="16"/>
  <c r="L35" i="16" s="1"/>
  <c r="L51" i="16" s="1"/>
  <c r="J34" i="16"/>
  <c r="J50" i="16" s="1"/>
  <c r="I34" i="16"/>
  <c r="I50" i="16" s="1"/>
  <c r="H34" i="16"/>
  <c r="H50" i="16" s="1"/>
  <c r="L34" i="16"/>
  <c r="L50" i="16" s="1"/>
  <c r="K34" i="16"/>
  <c r="K50" i="16" s="1"/>
  <c r="K7" i="18"/>
  <c r="H324" i="16"/>
  <c r="I303" i="16"/>
  <c r="I246" i="16"/>
  <c r="J7" i="16"/>
  <c r="I277" i="16"/>
  <c r="I84" i="15"/>
  <c r="I93" i="15"/>
  <c r="I40" i="15"/>
  <c r="I66" i="15"/>
  <c r="J7" i="15"/>
  <c r="I9" i="15"/>
  <c r="K27" i="15"/>
  <c r="H92" i="15"/>
  <c r="H33" i="15"/>
  <c r="H34" i="15" s="1"/>
  <c r="AH214" i="13"/>
  <c r="H175" i="13" a="1"/>
  <c r="H175" i="13" s="1"/>
  <c r="H31" i="21" s="1"/>
  <c r="H33" i="21" s="1"/>
  <c r="AL165" i="13"/>
  <c r="L165" i="13" s="1" a="1"/>
  <c r="L165" i="13" s="1"/>
  <c r="G232" i="13"/>
  <c r="AJ94" i="13"/>
  <c r="AJ95" i="13" s="1"/>
  <c r="J161" i="13" a="1"/>
  <c r="J161" i="13" s="1"/>
  <c r="AI236" i="13"/>
  <c r="I213" i="13" a="1"/>
  <c r="I213" i="13" s="1"/>
  <c r="AH223" i="13"/>
  <c r="H219" i="13" a="1"/>
  <c r="H219" i="13" s="1"/>
  <c r="H75" i="21" s="1"/>
  <c r="H79" i="21" s="1"/>
  <c r="AI223" i="13"/>
  <c r="I219" i="13" a="1"/>
  <c r="I219" i="13" s="1"/>
  <c r="I75" i="21" s="1"/>
  <c r="I79" i="21" s="1"/>
  <c r="AK94" i="13"/>
  <c r="AK95" i="13" s="1"/>
  <c r="K161" i="13" a="1"/>
  <c r="K161" i="13" s="1"/>
  <c r="AJ87" i="13"/>
  <c r="AH177" i="13"/>
  <c r="AH178" i="13" s="1"/>
  <c r="AI87" i="13"/>
  <c r="AI89" i="13" s="1"/>
  <c r="AI187" i="13" s="1"/>
  <c r="I187" i="13" s="1" a="1"/>
  <c r="I187" i="13" s="1"/>
  <c r="AI16" i="13"/>
  <c r="AI153" i="13"/>
  <c r="T234" i="13"/>
  <c r="AI210" i="13"/>
  <c r="AH226" i="13"/>
  <c r="AI175" i="13"/>
  <c r="U116" i="13"/>
  <c r="AJ7" i="13"/>
  <c r="AK134" i="13"/>
  <c r="AK137" i="13" s="1"/>
  <c r="U187" i="13"/>
  <c r="AI184" i="13"/>
  <c r="AK27" i="13"/>
  <c r="AL27" i="13" s="1"/>
  <c r="AL163" i="13" s="1"/>
  <c r="L163" i="13" s="1" a="1"/>
  <c r="L163" i="13" s="1"/>
  <c r="L19" i="21" s="1"/>
  <c r="V170" i="13"/>
  <c r="V102" i="13" s="1"/>
  <c r="V103" i="13" s="1"/>
  <c r="V105" i="13" s="1"/>
  <c r="W104" i="13" s="1"/>
  <c r="Y32" i="13"/>
  <c r="Y168" i="13" s="1"/>
  <c r="X93" i="13"/>
  <c r="X95" i="13" s="1"/>
  <c r="U107" i="13"/>
  <c r="U108" i="13" s="1"/>
  <c r="U215" i="13" s="1"/>
  <c r="AL32" i="13"/>
  <c r="AL168" i="13" s="1"/>
  <c r="L168" i="13" s="1" a="1"/>
  <c r="L168" i="13" s="1"/>
  <c r="L24" i="21" s="1"/>
  <c r="AL25" i="13"/>
  <c r="AL161" i="13" s="1"/>
  <c r="V94" i="13"/>
  <c r="V95" i="13" s="1"/>
  <c r="V97" i="13" s="1"/>
  <c r="W96" i="13" s="1"/>
  <c r="W97" i="13" s="1"/>
  <c r="X113" i="13"/>
  <c r="X114" i="13" s="1"/>
  <c r="X219" i="13" s="1"/>
  <c r="X223" i="13" s="1"/>
  <c r="AK33" i="13"/>
  <c r="W199" i="13"/>
  <c r="AI97" i="13"/>
  <c r="AJ96" i="13" s="1"/>
  <c r="AJ156" i="13"/>
  <c r="AK21" i="13"/>
  <c r="AJ170" i="13"/>
  <c r="AJ102" i="13" s="1"/>
  <c r="AJ103" i="13" s="1"/>
  <c r="X29" i="13"/>
  <c r="X165" i="13" s="1"/>
  <c r="Y73" i="13"/>
  <c r="U74" i="13" s="1"/>
  <c r="Y38" i="13"/>
  <c r="Y176" i="13" s="1"/>
  <c r="X176" i="13"/>
  <c r="AH189" i="13"/>
  <c r="H189" i="13" s="1" a="1"/>
  <c r="H189" i="13" s="1"/>
  <c r="AL75" i="13"/>
  <c r="AH76" i="13" s="1"/>
  <c r="W170" i="13"/>
  <c r="AI170" i="13"/>
  <c r="AI171" i="13" s="1"/>
  <c r="Y33" i="13"/>
  <c r="Y169" i="13" s="1"/>
  <c r="AL30" i="13"/>
  <c r="AL166" i="13" s="1"/>
  <c r="L166" i="13" s="1" a="1"/>
  <c r="L166" i="13" s="1"/>
  <c r="L22" i="21" s="1"/>
  <c r="Y24" i="13"/>
  <c r="Y160" i="13" s="1"/>
  <c r="AH116" i="13"/>
  <c r="AI112" i="13" s="1"/>
  <c r="AI116" i="13" s="1"/>
  <c r="AK36" i="13"/>
  <c r="AK174" i="13" s="1"/>
  <c r="K174" i="13" s="1" a="1"/>
  <c r="K174" i="13" s="1"/>
  <c r="K30" i="21" s="1"/>
  <c r="AJ113" i="13"/>
  <c r="AJ114" i="13" s="1"/>
  <c r="AJ219" i="13" s="1"/>
  <c r="AJ213" i="13"/>
  <c r="V89" i="13"/>
  <c r="V187" i="13" s="1"/>
  <c r="Y30" i="13"/>
  <c r="Y166" i="13" s="1"/>
  <c r="X166" i="13"/>
  <c r="U190" i="13"/>
  <c r="V112" i="13"/>
  <c r="V116" i="13" s="1"/>
  <c r="T75" i="13"/>
  <c r="Y67" i="13"/>
  <c r="AL26" i="13"/>
  <c r="AL162" i="13" s="1"/>
  <c r="L162" i="13" s="1" a="1"/>
  <c r="L162" i="13" s="1"/>
  <c r="Y85" i="13"/>
  <c r="Y87" i="13" s="1"/>
  <c r="AL38" i="13"/>
  <c r="AL176" i="13" s="1"/>
  <c r="L176" i="13" s="1" a="1"/>
  <c r="L176" i="13" s="1"/>
  <c r="L32" i="21" s="1"/>
  <c r="AK176" i="13"/>
  <c r="K176" i="13" s="1" a="1"/>
  <c r="K176" i="13" s="1"/>
  <c r="K32" i="21" s="1"/>
  <c r="AL28" i="13"/>
  <c r="AL164" i="13" s="1"/>
  <c r="L164" i="13" s="1" a="1"/>
  <c r="L164" i="13" s="1"/>
  <c r="AK7" i="13"/>
  <c r="AJ153" i="13"/>
  <c r="AJ16" i="13"/>
  <c r="AJ184" i="13"/>
  <c r="AJ210" i="13"/>
  <c r="AJ175" i="13"/>
  <c r="J175" i="13" s="1" a="1"/>
  <c r="J175" i="13" s="1"/>
  <c r="J31" i="21" s="1"/>
  <c r="J33" i="21" s="1"/>
  <c r="AH196" i="13"/>
  <c r="H196" i="13" s="1" a="1"/>
  <c r="H196" i="13" s="1"/>
  <c r="AI104" i="13"/>
  <c r="AH107" i="13"/>
  <c r="AH108" i="13" s="1"/>
  <c r="AH215" i="13" s="1"/>
  <c r="H215" i="13" s="1" a="1"/>
  <c r="H215" i="13" s="1"/>
  <c r="AG77" i="13"/>
  <c r="AI62" i="13"/>
  <c r="AI65" i="13" s="1"/>
  <c r="AH198" i="13"/>
  <c r="H198" i="13" s="1" a="1"/>
  <c r="H198" i="13" s="1"/>
  <c r="H54" i="21" s="1"/>
  <c r="H35" i="23" s="1"/>
  <c r="AL134" i="13"/>
  <c r="AL137" i="13" s="1"/>
  <c r="AL199" i="13" s="1"/>
  <c r="AK199" i="13"/>
  <c r="AK202" i="13"/>
  <c r="K202" i="13" s="1" a="1"/>
  <c r="K202" i="13" s="1"/>
  <c r="K58" i="21" s="1"/>
  <c r="AL141" i="13"/>
  <c r="AL143" i="13" s="1"/>
  <c r="AL202" i="13" s="1"/>
  <c r="L202" i="13" s="1" a="1"/>
  <c r="L202" i="13" s="1"/>
  <c r="L58" i="21" s="1"/>
  <c r="AK191" i="13"/>
  <c r="K191" i="13" s="1" a="1"/>
  <c r="K191" i="13" s="1"/>
  <c r="K47" i="21" s="1"/>
  <c r="AL124" i="13"/>
  <c r="AL126" i="13" s="1"/>
  <c r="AL191" i="13" s="1"/>
  <c r="L191" i="13" s="1" a="1"/>
  <c r="L191" i="13" s="1"/>
  <c r="L47" i="21" s="1"/>
  <c r="U214" i="13"/>
  <c r="U237" i="13" s="1"/>
  <c r="U177" i="13"/>
  <c r="U178" i="13" s="1"/>
  <c r="Y213" i="13"/>
  <c r="Y236" i="13" s="1"/>
  <c r="Y113" i="13"/>
  <c r="Y114" i="13" s="1"/>
  <c r="Y219" i="13" s="1"/>
  <c r="Y223" i="13" s="1"/>
  <c r="U226" i="13"/>
  <c r="U228" i="13" s="1"/>
  <c r="U65" i="13"/>
  <c r="W7" i="13"/>
  <c r="V153" i="13"/>
  <c r="V16" i="13"/>
  <c r="V175" i="13"/>
  <c r="V210" i="13"/>
  <c r="V184" i="13"/>
  <c r="V196" i="13"/>
  <c r="W191" i="13"/>
  <c r="X124" i="13"/>
  <c r="X126" i="13" s="1"/>
  <c r="Y134" i="13"/>
  <c r="Y137" i="13" s="1"/>
  <c r="Y199" i="13" s="1"/>
  <c r="X199" i="13"/>
  <c r="X202" i="13"/>
  <c r="Y141" i="13"/>
  <c r="Y143" i="13" s="1"/>
  <c r="Y202" i="13" s="1"/>
  <c r="X101" i="13"/>
  <c r="F234" i="13"/>
  <c r="H170" i="13"/>
  <c r="H210" i="13"/>
  <c r="H184" i="13"/>
  <c r="I7" i="13"/>
  <c r="H16" i="13"/>
  <c r="H153" i="13"/>
  <c r="H236" i="13"/>
  <c r="G234" i="13"/>
  <c r="H73" i="22" l="1"/>
  <c r="K17" i="20"/>
  <c r="L20" i="21"/>
  <c r="L20" i="20"/>
  <c r="F33" i="20"/>
  <c r="H17" i="20"/>
  <c r="H20" i="20" s="1"/>
  <c r="C12" i="24"/>
  <c r="L21" i="21"/>
  <c r="C16" i="24"/>
  <c r="F16" i="24" s="1"/>
  <c r="L18" i="21"/>
  <c r="K11" i="23"/>
  <c r="K24" i="23"/>
  <c r="L7" i="23"/>
  <c r="I236" i="13"/>
  <c r="I69" i="21"/>
  <c r="I92" i="21" s="1"/>
  <c r="K20" i="20"/>
  <c r="H100" i="22"/>
  <c r="I97" i="22"/>
  <c r="I98" i="22" s="1"/>
  <c r="J19" i="22"/>
  <c r="J50" i="22"/>
  <c r="K76" i="22"/>
  <c r="K19" i="22"/>
  <c r="L7" i="22"/>
  <c r="K50" i="22"/>
  <c r="AH123" i="19"/>
  <c r="J66" i="21"/>
  <c r="J9" i="21"/>
  <c r="K7" i="21"/>
  <c r="J40" i="21"/>
  <c r="K7" i="20"/>
  <c r="J22" i="20"/>
  <c r="J9" i="20"/>
  <c r="W72" i="19"/>
  <c r="W73" i="19" s="1"/>
  <c r="J114" i="19" a="1"/>
  <c r="J114" i="19" s="1"/>
  <c r="J17" i="21" s="1"/>
  <c r="U72" i="19"/>
  <c r="U73" i="19" s="1"/>
  <c r="U74" i="19" s="1"/>
  <c r="U75" i="19" s="1"/>
  <c r="V74" i="19" s="1"/>
  <c r="H114" i="19" a="1"/>
  <c r="H114" i="19" s="1"/>
  <c r="H17" i="21" s="1"/>
  <c r="V72" i="19"/>
  <c r="V73" i="19" s="1"/>
  <c r="I114" i="19" a="1"/>
  <c r="I114" i="19" s="1"/>
  <c r="I17" i="21" s="1"/>
  <c r="X123" i="19"/>
  <c r="X124" i="19" s="1"/>
  <c r="K116" i="19" a="1"/>
  <c r="K116" i="19" s="1"/>
  <c r="X72" i="19"/>
  <c r="X73" i="19" s="1"/>
  <c r="K114" i="19" a="1"/>
  <c r="K114" i="19" s="1"/>
  <c r="K17" i="21" s="1"/>
  <c r="Y72" i="19"/>
  <c r="Y73" i="19" s="1"/>
  <c r="L114" i="19" a="1"/>
  <c r="L114" i="19" s="1"/>
  <c r="AL123" i="19"/>
  <c r="AL80" i="19" s="1"/>
  <c r="AL81" i="19" s="1"/>
  <c r="W123" i="19"/>
  <c r="W80" i="19" s="1"/>
  <c r="W81" i="19" s="1"/>
  <c r="U123" i="19"/>
  <c r="U80" i="19" s="1"/>
  <c r="U81" i="19" s="1"/>
  <c r="U82" i="19" s="1"/>
  <c r="U83" i="19" s="1"/>
  <c r="V123" i="19"/>
  <c r="V80" i="19" s="1"/>
  <c r="V81" i="19" s="1"/>
  <c r="AK123" i="19"/>
  <c r="V96" i="19"/>
  <c r="V143" i="19" s="1"/>
  <c r="AJ123" i="19"/>
  <c r="AJ80" i="19" s="1"/>
  <c r="AJ81" i="19" s="1"/>
  <c r="Y123" i="19"/>
  <c r="AI123" i="19"/>
  <c r="AI96" i="19"/>
  <c r="AJ92" i="19" s="1"/>
  <c r="AI74" i="19"/>
  <c r="AI75" i="19" s="1"/>
  <c r="AH142" i="19"/>
  <c r="AI140" i="19"/>
  <c r="AJ66" i="19"/>
  <c r="AJ67" i="19" s="1"/>
  <c r="AK45" i="19"/>
  <c r="AK35" i="19"/>
  <c r="AK106" i="19"/>
  <c r="AK15" i="19"/>
  <c r="AK137" i="19"/>
  <c r="AK40" i="19"/>
  <c r="AK163" i="19"/>
  <c r="AL7" i="19"/>
  <c r="AH80" i="19"/>
  <c r="AH81" i="19" s="1"/>
  <c r="AH124" i="19"/>
  <c r="AH131" i="19" s="1"/>
  <c r="AI166" i="19"/>
  <c r="AI189" i="19" s="1"/>
  <c r="AI130" i="19"/>
  <c r="X45" i="19"/>
  <c r="X35" i="19"/>
  <c r="X106" i="19"/>
  <c r="X15" i="19"/>
  <c r="X137" i="19"/>
  <c r="X40" i="19"/>
  <c r="X163" i="19"/>
  <c r="Y7" i="19"/>
  <c r="V140" i="19"/>
  <c r="I140" i="19" s="1" a="1"/>
  <c r="I140" i="19" s="1"/>
  <c r="I43" i="21" s="1"/>
  <c r="W66" i="19"/>
  <c r="W67" i="19" s="1"/>
  <c r="V166" i="19"/>
  <c r="V189" i="19" s="1"/>
  <c r="V130" i="19"/>
  <c r="K7" i="19"/>
  <c r="J163" i="19"/>
  <c r="J15" i="19"/>
  <c r="J137" i="19"/>
  <c r="I233" i="16"/>
  <c r="H292" i="16"/>
  <c r="I99" i="16"/>
  <c r="J223" i="16"/>
  <c r="J225" i="16" s="1"/>
  <c r="I284" i="16"/>
  <c r="H316" i="16"/>
  <c r="I212" i="16"/>
  <c r="I267" i="16" s="1"/>
  <c r="J130" i="16"/>
  <c r="I130" i="16"/>
  <c r="H130" i="16"/>
  <c r="K130" i="16"/>
  <c r="L130" i="16"/>
  <c r="K99" i="16"/>
  <c r="L99" i="16"/>
  <c r="J99" i="16"/>
  <c r="J60" i="16"/>
  <c r="J55" i="16"/>
  <c r="L53" i="16"/>
  <c r="L57" i="16" s="1"/>
  <c r="J15" i="16"/>
  <c r="J9" i="16"/>
  <c r="J41" i="16"/>
  <c r="D36" i="16"/>
  <c r="H35" i="16"/>
  <c r="H51" i="16" s="1"/>
  <c r="H53" i="16" s="1"/>
  <c r="H57" i="16" s="1"/>
  <c r="I35" i="16"/>
  <c r="I51" i="16" s="1"/>
  <c r="I53" i="16" s="1"/>
  <c r="I57" i="16" s="1"/>
  <c r="J35" i="16"/>
  <c r="J51" i="16" s="1"/>
  <c r="J53" i="16" s="1"/>
  <c r="J57" i="16" s="1"/>
  <c r="K35" i="16"/>
  <c r="K51" i="16" s="1"/>
  <c r="K53" i="16" s="1"/>
  <c r="K57" i="16" s="1"/>
  <c r="L7" i="18"/>
  <c r="J303" i="16"/>
  <c r="J246" i="16"/>
  <c r="K7" i="16"/>
  <c r="J277" i="16"/>
  <c r="J92" i="15"/>
  <c r="J79" i="15"/>
  <c r="J40" i="15"/>
  <c r="J84" i="15"/>
  <c r="K7" i="15"/>
  <c r="J93" i="15"/>
  <c r="J9" i="15"/>
  <c r="J66" i="15"/>
  <c r="L27" i="15"/>
  <c r="H79" i="15"/>
  <c r="H56" i="15"/>
  <c r="I92" i="15"/>
  <c r="I79" i="15"/>
  <c r="I33" i="15"/>
  <c r="I34" i="15" s="1"/>
  <c r="H37" i="15"/>
  <c r="AI214" i="13"/>
  <c r="I175" i="13" a="1"/>
  <c r="I175" i="13" s="1"/>
  <c r="I31" i="21" s="1"/>
  <c r="I33" i="21" s="1"/>
  <c r="AH237" i="13"/>
  <c r="H214" i="13" a="1"/>
  <c r="H214" i="13" s="1"/>
  <c r="AH228" i="13"/>
  <c r="H226" i="13" a="1"/>
  <c r="H226" i="13" s="1"/>
  <c r="AJ223" i="13"/>
  <c r="J219" i="13" a="1"/>
  <c r="J219" i="13" s="1"/>
  <c r="AJ236" i="13"/>
  <c r="J213" i="13" a="1"/>
  <c r="J213" i="13" s="1"/>
  <c r="AL94" i="13"/>
  <c r="AL95" i="13" s="1"/>
  <c r="L161" i="13" a="1"/>
  <c r="L161" i="13" s="1"/>
  <c r="AJ88" i="13"/>
  <c r="AJ89" i="13" s="1"/>
  <c r="AJ187" i="13" s="1"/>
  <c r="J187" i="13" s="1" a="1"/>
  <c r="J187" i="13" s="1"/>
  <c r="AJ157" i="13"/>
  <c r="J156" i="13" a="1"/>
  <c r="J156" i="13" s="1"/>
  <c r="AJ97" i="13"/>
  <c r="AJ189" i="13" s="1"/>
  <c r="J189" i="13" s="1" a="1"/>
  <c r="J189" i="13" s="1"/>
  <c r="V171" i="13"/>
  <c r="AK163" i="13"/>
  <c r="K163" i="13" s="1" a="1"/>
  <c r="K163" i="13" s="1"/>
  <c r="AI177" i="13"/>
  <c r="AI178" i="13" s="1"/>
  <c r="AI180" i="13" s="1"/>
  <c r="AI226" i="13"/>
  <c r="Y29" i="13"/>
  <c r="Y165" i="13" s="1"/>
  <c r="Y170" i="13" s="1"/>
  <c r="Y102" i="13" s="1"/>
  <c r="AI189" i="13"/>
  <c r="I189" i="13" s="1" a="1"/>
  <c r="I189" i="13" s="1"/>
  <c r="Y93" i="13"/>
  <c r="Y95" i="13" s="1"/>
  <c r="Y74" i="13"/>
  <c r="U75" i="13" s="1"/>
  <c r="X170" i="13"/>
  <c r="X102" i="13" s="1"/>
  <c r="X103" i="13" s="1"/>
  <c r="AK87" i="13"/>
  <c r="AL87" i="13"/>
  <c r="AL33" i="13"/>
  <c r="AL169" i="13" s="1"/>
  <c r="AK169" i="13"/>
  <c r="AJ171" i="13"/>
  <c r="AI102" i="13"/>
  <c r="AI103" i="13" s="1"/>
  <c r="AI105" i="13" s="1"/>
  <c r="AJ104" i="13" s="1"/>
  <c r="AJ105" i="13" s="1"/>
  <c r="AL36" i="13"/>
  <c r="AL174" i="13" s="1"/>
  <c r="AL76" i="13"/>
  <c r="AH77" i="13" s="1"/>
  <c r="AL21" i="13"/>
  <c r="AL156" i="13" s="1"/>
  <c r="AK156" i="13"/>
  <c r="W102" i="13"/>
  <c r="W103" i="13" s="1"/>
  <c r="W105" i="13" s="1"/>
  <c r="X104" i="13" s="1"/>
  <c r="W171" i="13"/>
  <c r="V189" i="13"/>
  <c r="V107" i="13"/>
  <c r="V108" i="13" s="1"/>
  <c r="V215" i="13" s="1"/>
  <c r="AH190" i="13"/>
  <c r="H190" i="13" s="1" a="1"/>
  <c r="H190" i="13" s="1"/>
  <c r="H46" i="21" s="1"/>
  <c r="AH200" i="13"/>
  <c r="W88" i="13"/>
  <c r="W89" i="13" s="1"/>
  <c r="W187" i="13" s="1"/>
  <c r="AK213" i="13"/>
  <c r="AK113" i="13"/>
  <c r="AK114" i="13" s="1"/>
  <c r="AK219" i="13" s="1"/>
  <c r="T76" i="13"/>
  <c r="V190" i="13"/>
  <c r="W112" i="13"/>
  <c r="W116" i="13" s="1"/>
  <c r="I223" i="13"/>
  <c r="AJ226" i="13"/>
  <c r="AL7" i="13"/>
  <c r="AK153" i="13"/>
  <c r="AK210" i="13"/>
  <c r="AK175" i="13"/>
  <c r="K175" i="13" s="1" a="1"/>
  <c r="K175" i="13" s="1"/>
  <c r="K31" i="21" s="1"/>
  <c r="K33" i="21" s="1"/>
  <c r="AK16" i="13"/>
  <c r="AK184" i="13"/>
  <c r="AJ214" i="13"/>
  <c r="AJ177" i="13"/>
  <c r="AJ62" i="13"/>
  <c r="AJ65" i="13" s="1"/>
  <c r="AI198" i="13"/>
  <c r="I198" i="13" s="1" a="1"/>
  <c r="I198" i="13" s="1"/>
  <c r="I54" i="21" s="1"/>
  <c r="I35" i="23" s="1"/>
  <c r="AH180" i="13"/>
  <c r="H180" i="13" s="1" a="1"/>
  <c r="H180" i="13" s="1"/>
  <c r="AI190" i="13"/>
  <c r="I190" i="13" s="1" a="1"/>
  <c r="I190" i="13" s="1"/>
  <c r="I46" i="21" s="1"/>
  <c r="AJ112" i="13"/>
  <c r="AJ116" i="13" s="1"/>
  <c r="AG78" i="13"/>
  <c r="W189" i="13"/>
  <c r="X96" i="13"/>
  <c r="X97" i="13" s="1"/>
  <c r="V226" i="13"/>
  <c r="V228" i="13" s="1"/>
  <c r="X191" i="13"/>
  <c r="Y124" i="13"/>
  <c r="Y126" i="13" s="1"/>
  <c r="Y191" i="13" s="1"/>
  <c r="X7" i="13"/>
  <c r="W153" i="13"/>
  <c r="W16" i="13"/>
  <c r="W175" i="13"/>
  <c r="W210" i="13"/>
  <c r="W184" i="13"/>
  <c r="V62" i="13"/>
  <c r="V65" i="13" s="1"/>
  <c r="U198" i="13"/>
  <c r="U200" i="13" s="1"/>
  <c r="U180" i="13"/>
  <c r="U181" i="13" s="1"/>
  <c r="Y101" i="13"/>
  <c r="V214" i="13"/>
  <c r="V237" i="13" s="1"/>
  <c r="V177" i="13"/>
  <c r="I170" i="13"/>
  <c r="I171" i="13" s="1"/>
  <c r="I184" i="13"/>
  <c r="J7" i="13"/>
  <c r="I153" i="13"/>
  <c r="I16" i="13"/>
  <c r="I210" i="13"/>
  <c r="J170" i="13"/>
  <c r="H177" i="13"/>
  <c r="H171" i="13"/>
  <c r="H27" i="20" l="1"/>
  <c r="H18" i="23"/>
  <c r="H20" i="23" s="1"/>
  <c r="H22" i="23" s="1"/>
  <c r="H32" i="23" s="1"/>
  <c r="I27" i="20"/>
  <c r="I18" i="23"/>
  <c r="I20" i="23" s="1"/>
  <c r="I22" i="23" s="1"/>
  <c r="I32" i="23" s="1"/>
  <c r="K19" i="21"/>
  <c r="F12" i="24"/>
  <c r="G12" i="24" s="1"/>
  <c r="C13" i="24"/>
  <c r="L17" i="21"/>
  <c r="L11" i="23"/>
  <c r="L24" i="23"/>
  <c r="H237" i="13"/>
  <c r="H70" i="21"/>
  <c r="H93" i="21" s="1"/>
  <c r="J157" i="13"/>
  <c r="J171" i="13" s="1"/>
  <c r="J12" i="21"/>
  <c r="J223" i="13"/>
  <c r="J75" i="21"/>
  <c r="J79" i="21" s="1"/>
  <c r="H228" i="13"/>
  <c r="H82" i="21"/>
  <c r="H84" i="21" s="1"/>
  <c r="J236" i="13"/>
  <c r="J69" i="21"/>
  <c r="J92" i="21" s="1"/>
  <c r="I100" i="22"/>
  <c r="J97" i="22"/>
  <c r="J98" i="22" s="1"/>
  <c r="L76" i="22"/>
  <c r="L19" i="22"/>
  <c r="L50" i="22"/>
  <c r="U142" i="19"/>
  <c r="H142" i="19" s="1" a="1"/>
  <c r="H142" i="19" s="1"/>
  <c r="H45" i="21" s="1"/>
  <c r="U85" i="19"/>
  <c r="U86" i="19" s="1"/>
  <c r="U168" i="19" s="1"/>
  <c r="H168" i="19" s="1" a="1"/>
  <c r="H168" i="19" s="1"/>
  <c r="H71" i="21" s="1"/>
  <c r="AJ124" i="19"/>
  <c r="K66" i="21"/>
  <c r="K9" i="21"/>
  <c r="L7" i="21"/>
  <c r="K40" i="21"/>
  <c r="L7" i="20"/>
  <c r="K22" i="20"/>
  <c r="K9" i="20"/>
  <c r="X80" i="19"/>
  <c r="X81" i="19" s="1"/>
  <c r="AL124" i="19"/>
  <c r="V124" i="19"/>
  <c r="V131" i="19" s="1"/>
  <c r="U124" i="19"/>
  <c r="U131" i="19" s="1"/>
  <c r="U133" i="19" s="1"/>
  <c r="V75" i="19"/>
  <c r="W92" i="19"/>
  <c r="W124" i="19"/>
  <c r="Y80" i="19"/>
  <c r="Y81" i="19" s="1"/>
  <c r="Y124" i="19"/>
  <c r="AK80" i="19"/>
  <c r="AK81" i="19" s="1"/>
  <c r="AK124" i="19"/>
  <c r="U149" i="19"/>
  <c r="V82" i="19"/>
  <c r="V83" i="19" s="1"/>
  <c r="V149" i="19" s="1"/>
  <c r="AI80" i="19"/>
  <c r="AI81" i="19" s="1"/>
  <c r="AI124" i="19"/>
  <c r="AI131" i="19"/>
  <c r="AI133" i="19" s="1"/>
  <c r="AI134" i="19" s="1"/>
  <c r="AI143" i="19"/>
  <c r="AH82" i="19"/>
  <c r="AH83" i="19" s="1"/>
  <c r="AJ93" i="19"/>
  <c r="AJ127" i="19" s="1"/>
  <c r="AJ140" i="19"/>
  <c r="AK66" i="19"/>
  <c r="AK67" i="19" s="1"/>
  <c r="AL45" i="19"/>
  <c r="AL35" i="19"/>
  <c r="AL106" i="19"/>
  <c r="AL15" i="19"/>
  <c r="AL137" i="19"/>
  <c r="AL40" i="19"/>
  <c r="AL163" i="19"/>
  <c r="AH133" i="19"/>
  <c r="AH134" i="19" s="1"/>
  <c r="AJ74" i="19"/>
  <c r="AJ75" i="19" s="1"/>
  <c r="AI142" i="19"/>
  <c r="X66" i="19"/>
  <c r="X67" i="19" s="1"/>
  <c r="W140" i="19"/>
  <c r="J140" i="19" s="1" a="1"/>
  <c r="J140" i="19" s="1"/>
  <c r="J43" i="21" s="1"/>
  <c r="Y45" i="19"/>
  <c r="Y35" i="19"/>
  <c r="Y106" i="19"/>
  <c r="Y15" i="19"/>
  <c r="Y137" i="19"/>
  <c r="Y40" i="19"/>
  <c r="Y163" i="19"/>
  <c r="K15" i="19"/>
  <c r="K137" i="19"/>
  <c r="K106" i="19"/>
  <c r="K163" i="19"/>
  <c r="L7" i="19"/>
  <c r="I306" i="16"/>
  <c r="I329" i="16" s="1"/>
  <c r="I215" i="16"/>
  <c r="I283" i="16" s="1"/>
  <c r="J218" i="16"/>
  <c r="J235" i="16"/>
  <c r="K218" i="16"/>
  <c r="K235" i="16"/>
  <c r="K223" i="16"/>
  <c r="K225" i="16" s="1"/>
  <c r="J284" i="16"/>
  <c r="I218" i="16"/>
  <c r="I235" i="16"/>
  <c r="I236" i="16" s="1"/>
  <c r="L218" i="16"/>
  <c r="L235" i="16"/>
  <c r="K131" i="16"/>
  <c r="K133" i="16" s="1"/>
  <c r="K134" i="16" s="1"/>
  <c r="K132" i="16"/>
  <c r="H132" i="16"/>
  <c r="H131" i="16"/>
  <c r="L131" i="16"/>
  <c r="L133" i="16" s="1"/>
  <c r="L134" i="16" s="1"/>
  <c r="L132" i="16"/>
  <c r="I132" i="16"/>
  <c r="I131" i="16"/>
  <c r="I133" i="16" s="1"/>
  <c r="I134" i="16" s="1"/>
  <c r="J131" i="16"/>
  <c r="J133" i="16" s="1"/>
  <c r="J134" i="16" s="1"/>
  <c r="J132" i="16"/>
  <c r="K60" i="16"/>
  <c r="K55" i="16"/>
  <c r="D37" i="16"/>
  <c r="H36" i="16"/>
  <c r="I36" i="16"/>
  <c r="J36" i="16"/>
  <c r="K36" i="16"/>
  <c r="L36" i="16"/>
  <c r="K41" i="16"/>
  <c r="K9" i="16"/>
  <c r="K15" i="16"/>
  <c r="K303" i="16"/>
  <c r="K246" i="16"/>
  <c r="L7" i="16"/>
  <c r="K277" i="16"/>
  <c r="L7" i="15"/>
  <c r="K9" i="15"/>
  <c r="K66" i="15"/>
  <c r="K40" i="15"/>
  <c r="K93" i="15"/>
  <c r="I37" i="15"/>
  <c r="K92" i="15"/>
  <c r="K79" i="15"/>
  <c r="J33" i="15"/>
  <c r="J34" i="15" s="1"/>
  <c r="I56" i="15"/>
  <c r="L92" i="15"/>
  <c r="L79" i="15"/>
  <c r="AK88" i="13"/>
  <c r="AK89" i="13" s="1"/>
  <c r="AJ237" i="13"/>
  <c r="J214" i="13" a="1"/>
  <c r="J214" i="13" s="1"/>
  <c r="J70" i="21" s="1"/>
  <c r="J93" i="21" s="1"/>
  <c r="AI237" i="13"/>
  <c r="I214" i="13" a="1"/>
  <c r="I214" i="13" s="1"/>
  <c r="AI228" i="13"/>
  <c r="I226" i="13" a="1"/>
  <c r="I226" i="13" s="1"/>
  <c r="AJ228" i="13"/>
  <c r="J226" i="13" a="1"/>
  <c r="J226" i="13" s="1"/>
  <c r="J82" i="21" s="1"/>
  <c r="J84" i="21" s="1"/>
  <c r="AH181" i="13"/>
  <c r="AK96" i="13"/>
  <c r="AK97" i="13" s="1"/>
  <c r="AL96" i="13" s="1"/>
  <c r="AL97" i="13" s="1"/>
  <c r="AL189" i="13" s="1"/>
  <c r="L189" i="13" s="1" a="1"/>
  <c r="L189" i="13" s="1"/>
  <c r="AL213" i="13"/>
  <c r="L174" i="13" a="1"/>
  <c r="L174" i="13" s="1"/>
  <c r="L30" i="21" s="1"/>
  <c r="AL157" i="13"/>
  <c r="L156" i="13" a="1"/>
  <c r="L156" i="13" s="1"/>
  <c r="AK223" i="13"/>
  <c r="K219" i="13" a="1"/>
  <c r="K219" i="13" s="1"/>
  <c r="K75" i="21" s="1"/>
  <c r="K79" i="21" s="1"/>
  <c r="AK170" i="13"/>
  <c r="AK102" i="13" s="1"/>
  <c r="AK103" i="13" s="1"/>
  <c r="K169" i="13" a="1"/>
  <c r="K169" i="13" s="1"/>
  <c r="K25" i="21" s="1"/>
  <c r="AL170" i="13"/>
  <c r="AL102" i="13" s="1"/>
  <c r="L169" i="13" a="1"/>
  <c r="L169" i="13" s="1"/>
  <c r="AI181" i="13"/>
  <c r="AI146" i="13" s="1"/>
  <c r="I180" i="13" a="1"/>
  <c r="I180" i="13" s="1"/>
  <c r="AK236" i="13"/>
  <c r="K213" i="13" a="1"/>
  <c r="K213" i="13" s="1"/>
  <c r="AK157" i="13"/>
  <c r="K156" i="13" a="1"/>
  <c r="K156" i="13" s="1"/>
  <c r="X171" i="13"/>
  <c r="V178" i="13"/>
  <c r="V180" i="13" s="1"/>
  <c r="V181" i="13" s="1"/>
  <c r="Y75" i="13"/>
  <c r="U76" i="13" s="1"/>
  <c r="AL113" i="13"/>
  <c r="AL114" i="13" s="1"/>
  <c r="AL219" i="13" s="1"/>
  <c r="AJ178" i="13"/>
  <c r="AJ180" i="13" s="1"/>
  <c r="AL77" i="13"/>
  <c r="AH78" i="13" s="1"/>
  <c r="W226" i="13"/>
  <c r="W228" i="13" s="1"/>
  <c r="X88" i="13"/>
  <c r="X89" i="13" s="1"/>
  <c r="Y88" i="13" s="1"/>
  <c r="Y89" i="13" s="1"/>
  <c r="Y171" i="13"/>
  <c r="AL103" i="13"/>
  <c r="AI196" i="13"/>
  <c r="AL171" i="13"/>
  <c r="Y103" i="13"/>
  <c r="X105" i="13"/>
  <c r="X196" i="13" s="1"/>
  <c r="AI107" i="13"/>
  <c r="AI108" i="13" s="1"/>
  <c r="AI215" i="13" s="1"/>
  <c r="I215" i="13" s="1" a="1"/>
  <c r="I215" i="13" s="1"/>
  <c r="W107" i="13"/>
  <c r="W108" i="13" s="1"/>
  <c r="W215" i="13" s="1"/>
  <c r="W196" i="13"/>
  <c r="T77" i="13"/>
  <c r="W190" i="13"/>
  <c r="X112" i="13"/>
  <c r="X116" i="13" s="1"/>
  <c r="H223" i="13"/>
  <c r="AK226" i="13"/>
  <c r="AK214" i="13"/>
  <c r="AK177" i="13"/>
  <c r="AL153" i="13"/>
  <c r="AL16" i="13"/>
  <c r="AL175" i="13"/>
  <c r="L175" i="13" s="1" a="1"/>
  <c r="L175" i="13" s="1"/>
  <c r="L31" i="21" s="1"/>
  <c r="AL210" i="13"/>
  <c r="AL184" i="13"/>
  <c r="AJ196" i="13"/>
  <c r="J196" i="13" s="1" a="1"/>
  <c r="J196" i="13" s="1"/>
  <c r="AK104" i="13"/>
  <c r="AH146" i="13"/>
  <c r="AH148" i="13" s="1"/>
  <c r="AH212" i="13"/>
  <c r="H212" i="13" s="1" a="1"/>
  <c r="H212" i="13" s="1"/>
  <c r="AJ107" i="13"/>
  <c r="AK187" i="13"/>
  <c r="K187" i="13" s="1" a="1"/>
  <c r="K187" i="13" s="1"/>
  <c r="AL88" i="13"/>
  <c r="AL89" i="13" s="1"/>
  <c r="AK62" i="13"/>
  <c r="AK65" i="13" s="1"/>
  <c r="AJ198" i="13"/>
  <c r="J198" i="13" s="1" a="1"/>
  <c r="J198" i="13" s="1"/>
  <c r="J54" i="21" s="1"/>
  <c r="J35" i="23" s="1"/>
  <c r="AG79" i="13"/>
  <c r="AJ190" i="13"/>
  <c r="J190" i="13" s="1" a="1"/>
  <c r="J190" i="13" s="1"/>
  <c r="J46" i="21" s="1"/>
  <c r="AK112" i="13"/>
  <c r="AK116" i="13" s="1"/>
  <c r="U146" i="13"/>
  <c r="U148" i="13" s="1"/>
  <c r="U212" i="13"/>
  <c r="W62" i="13"/>
  <c r="W65" i="13" s="1"/>
  <c r="V198" i="13"/>
  <c r="V200" i="13" s="1"/>
  <c r="X189" i="13"/>
  <c r="Y96" i="13"/>
  <c r="Y97" i="13" s="1"/>
  <c r="Y189" i="13" s="1"/>
  <c r="Y7" i="13"/>
  <c r="X16" i="13"/>
  <c r="X175" i="13"/>
  <c r="X210" i="13"/>
  <c r="X153" i="13"/>
  <c r="X184" i="13"/>
  <c r="W214" i="13"/>
  <c r="W237" i="13" s="1"/>
  <c r="W177" i="13"/>
  <c r="W178" i="13" s="1"/>
  <c r="H178" i="13"/>
  <c r="H181" i="13" s="1"/>
  <c r="I177" i="13"/>
  <c r="I178" i="13" s="1"/>
  <c r="K7" i="13"/>
  <c r="J153" i="13"/>
  <c r="J16" i="13"/>
  <c r="J210" i="13"/>
  <c r="J184" i="13"/>
  <c r="J27" i="20" l="1"/>
  <c r="J18" i="23"/>
  <c r="J20" i="23" s="1"/>
  <c r="J22" i="23" s="1"/>
  <c r="J32" i="23" s="1"/>
  <c r="E13" i="24"/>
  <c r="D14" i="24"/>
  <c r="C17" i="24"/>
  <c r="E17" i="24" s="1"/>
  <c r="K236" i="13"/>
  <c r="K69" i="21"/>
  <c r="K92" i="21" s="1"/>
  <c r="L170" i="13"/>
  <c r="L25" i="21"/>
  <c r="I228" i="13"/>
  <c r="I82" i="21"/>
  <c r="I84" i="21" s="1"/>
  <c r="I237" i="13"/>
  <c r="I70" i="21"/>
  <c r="I93" i="21" s="1"/>
  <c r="L157" i="13"/>
  <c r="L171" i="13" s="1"/>
  <c r="L12" i="21"/>
  <c r="L33" i="21"/>
  <c r="K157" i="13"/>
  <c r="K12" i="21"/>
  <c r="J100" i="22"/>
  <c r="K97" i="22"/>
  <c r="K98" i="22" s="1"/>
  <c r="L66" i="21"/>
  <c r="L9" i="21"/>
  <c r="L40" i="21"/>
  <c r="L22" i="20"/>
  <c r="L9" i="20"/>
  <c r="V153" i="19"/>
  <c r="I149" i="19" a="1"/>
  <c r="I149" i="19" s="1"/>
  <c r="V142" i="19"/>
  <c r="I142" i="19" s="1" a="1"/>
  <c r="I142" i="19" s="1"/>
  <c r="I45" i="21" s="1"/>
  <c r="W74" i="19"/>
  <c r="W75" i="19" s="1"/>
  <c r="U153" i="19"/>
  <c r="H149" i="19" a="1"/>
  <c r="H149" i="19" s="1"/>
  <c r="H52" i="21" s="1"/>
  <c r="U134" i="19"/>
  <c r="H133" i="19" a="1"/>
  <c r="H133" i="19" s="1"/>
  <c r="H36" i="21" s="1"/>
  <c r="W93" i="19"/>
  <c r="W127" i="19" s="1"/>
  <c r="W130" i="19" s="1"/>
  <c r="W131" i="19" s="1"/>
  <c r="V85" i="19"/>
  <c r="V86" i="19" s="1"/>
  <c r="V168" i="19" s="1"/>
  <c r="I168" i="19" s="1" a="1"/>
  <c r="I168" i="19" s="1"/>
  <c r="I71" i="21" s="1"/>
  <c r="W82" i="19"/>
  <c r="W83" i="19" s="1"/>
  <c r="W85" i="19" s="1"/>
  <c r="AJ96" i="19"/>
  <c r="AJ143" i="19" s="1"/>
  <c r="AH101" i="19"/>
  <c r="AH103" i="19" s="1"/>
  <c r="AH165" i="19"/>
  <c r="AI101" i="19"/>
  <c r="AI165" i="19"/>
  <c r="AH149" i="19"/>
  <c r="AH153" i="19" s="1"/>
  <c r="AI82" i="19"/>
  <c r="AI83" i="19" s="1"/>
  <c r="AH85" i="19"/>
  <c r="AH86" i="19" s="1"/>
  <c r="AH168" i="19" s="1"/>
  <c r="AL66" i="19"/>
  <c r="AL67" i="19" s="1"/>
  <c r="AK140" i="19"/>
  <c r="AJ166" i="19"/>
  <c r="AJ189" i="19" s="1"/>
  <c r="AJ130" i="19"/>
  <c r="AJ131" i="19" s="1"/>
  <c r="AK74" i="19"/>
  <c r="AK75" i="19" s="1"/>
  <c r="AJ142" i="19"/>
  <c r="V133" i="19"/>
  <c r="Y66" i="19"/>
  <c r="Y67" i="19" s="1"/>
  <c r="X140" i="19"/>
  <c r="K140" i="19" s="1" a="1"/>
  <c r="K140" i="19" s="1"/>
  <c r="K43" i="21" s="1"/>
  <c r="L163" i="19"/>
  <c r="L15" i="19"/>
  <c r="L137" i="19"/>
  <c r="L106" i="19"/>
  <c r="J211" i="16"/>
  <c r="J212" i="16" s="1"/>
  <c r="J267" i="16" s="1"/>
  <c r="H176" i="19"/>
  <c r="L219" i="16"/>
  <c r="L312" i="16" s="1"/>
  <c r="L228" i="16"/>
  <c r="L229" i="16" s="1"/>
  <c r="L313" i="16" s="1"/>
  <c r="I219" i="16"/>
  <c r="I312" i="16" s="1"/>
  <c r="I228" i="16"/>
  <c r="I229" i="16" s="1"/>
  <c r="I313" i="16" s="1"/>
  <c r="L223" i="16"/>
  <c r="L225" i="16" s="1"/>
  <c r="L284" i="16" s="1"/>
  <c r="K284" i="16"/>
  <c r="I292" i="16"/>
  <c r="J233" i="16"/>
  <c r="J236" i="16" s="1"/>
  <c r="K219" i="16"/>
  <c r="K312" i="16" s="1"/>
  <c r="K228" i="16"/>
  <c r="K229" i="16" s="1"/>
  <c r="K313" i="16" s="1"/>
  <c r="J219" i="16"/>
  <c r="J312" i="16" s="1"/>
  <c r="J228" i="16"/>
  <c r="J229" i="16" s="1"/>
  <c r="J313" i="16" s="1"/>
  <c r="I135" i="16"/>
  <c r="I137" i="16" s="1"/>
  <c r="I138" i="16" s="1"/>
  <c r="I136" i="16"/>
  <c r="L135" i="16"/>
  <c r="L137" i="16" s="1"/>
  <c r="L138" i="16" s="1"/>
  <c r="L136" i="16"/>
  <c r="K135" i="16"/>
  <c r="K137" i="16" s="1"/>
  <c r="K138" i="16" s="1"/>
  <c r="K136" i="16"/>
  <c r="J135" i="16"/>
  <c r="J137" i="16" s="1"/>
  <c r="J138" i="16" s="1"/>
  <c r="J136" i="16"/>
  <c r="H108" i="16"/>
  <c r="H268" i="16" s="1"/>
  <c r="H105" i="16"/>
  <c r="H133" i="16"/>
  <c r="H134" i="16" s="1"/>
  <c r="L60" i="16"/>
  <c r="L55" i="16"/>
  <c r="L41" i="16"/>
  <c r="L9" i="16"/>
  <c r="L15" i="16"/>
  <c r="K37" i="16"/>
  <c r="K39" i="16" s="1"/>
  <c r="L37" i="16"/>
  <c r="L39" i="16" s="1"/>
  <c r="J37" i="16"/>
  <c r="J39" i="16" s="1"/>
  <c r="I37" i="16"/>
  <c r="I39" i="16" s="1"/>
  <c r="H37" i="16"/>
  <c r="H39" i="16" s="1"/>
  <c r="L303" i="16"/>
  <c r="L246" i="16"/>
  <c r="L277" i="16"/>
  <c r="J56" i="15"/>
  <c r="J37" i="15"/>
  <c r="L9" i="15"/>
  <c r="L66" i="15"/>
  <c r="L40" i="15"/>
  <c r="H60" i="15"/>
  <c r="H61" i="15" s="1"/>
  <c r="K84" i="15"/>
  <c r="K33" i="15"/>
  <c r="K34" i="15" s="1"/>
  <c r="H91" i="15"/>
  <c r="H72" i="15"/>
  <c r="H86" i="15" s="1"/>
  <c r="H88" i="15" s="1"/>
  <c r="Y76" i="13"/>
  <c r="U77" i="13" s="1"/>
  <c r="AK237" i="13"/>
  <c r="K214" i="13" a="1"/>
  <c r="K214" i="13" s="1"/>
  <c r="K70" i="21" s="1"/>
  <c r="K93" i="21" s="1"/>
  <c r="AK228" i="13"/>
  <c r="K226" i="13" a="1"/>
  <c r="K226" i="13" s="1"/>
  <c r="K82" i="21" s="1"/>
  <c r="K84" i="21" s="1"/>
  <c r="AK171" i="13"/>
  <c r="AK189" i="13"/>
  <c r="K189" i="13" s="1" a="1"/>
  <c r="K189" i="13" s="1"/>
  <c r="AK178" i="13"/>
  <c r="AL223" i="13"/>
  <c r="L219" i="13" a="1"/>
  <c r="L219" i="13" s="1"/>
  <c r="AI200" i="13"/>
  <c r="I196" i="13" a="1"/>
  <c r="I196" i="13" s="1"/>
  <c r="AI212" i="13"/>
  <c r="I212" i="13" s="1" a="1"/>
  <c r="I212" i="13" s="1"/>
  <c r="AJ181" i="13"/>
  <c r="AJ146" i="13" s="1"/>
  <c r="J180" i="13" a="1"/>
  <c r="J180" i="13" s="1"/>
  <c r="AK105" i="13"/>
  <c r="AL104" i="13" s="1"/>
  <c r="AL105" i="13" s="1"/>
  <c r="AL196" i="13" s="1"/>
  <c r="L196" i="13" s="1" a="1"/>
  <c r="L196" i="13" s="1"/>
  <c r="AL236" i="13"/>
  <c r="L213" i="13" a="1"/>
  <c r="L213" i="13" s="1"/>
  <c r="AL78" i="13"/>
  <c r="AH79" i="13" s="1"/>
  <c r="X107" i="13"/>
  <c r="X108" i="13" s="1"/>
  <c r="X215" i="13" s="1"/>
  <c r="AJ108" i="13"/>
  <c r="AJ215" i="13" s="1"/>
  <c r="J215" i="13" s="1" a="1"/>
  <c r="J215" i="13" s="1"/>
  <c r="X187" i="13"/>
  <c r="Y104" i="13"/>
  <c r="Y105" i="13" s="1"/>
  <c r="Y196" i="13" s="1"/>
  <c r="Y112" i="13"/>
  <c r="Y116" i="13" s="1"/>
  <c r="Y190" i="13" s="1"/>
  <c r="X190" i="13"/>
  <c r="K223" i="13"/>
  <c r="AJ200" i="13"/>
  <c r="Y77" i="13"/>
  <c r="U78" i="13" s="1"/>
  <c r="T78" i="13"/>
  <c r="AH203" i="13"/>
  <c r="AI145" i="13"/>
  <c r="AI148" i="13" s="1"/>
  <c r="AL79" i="13"/>
  <c r="AH235" i="13"/>
  <c r="AH216" i="13"/>
  <c r="AH230" i="13" s="1"/>
  <c r="AH232" i="13" s="1"/>
  <c r="AL62" i="13"/>
  <c r="AL65" i="13" s="1"/>
  <c r="AL198" i="13" s="1"/>
  <c r="L198" i="13" s="1" a="1"/>
  <c r="L198" i="13" s="1"/>
  <c r="L54" i="21" s="1"/>
  <c r="L35" i="23" s="1"/>
  <c r="AK198" i="13"/>
  <c r="K198" i="13" s="1" a="1"/>
  <c r="K198" i="13" s="1"/>
  <c r="K54" i="21" s="1"/>
  <c r="K35" i="23" s="1"/>
  <c r="AK190" i="13"/>
  <c r="K190" i="13" s="1" a="1"/>
  <c r="K190" i="13" s="1"/>
  <c r="K46" i="21" s="1"/>
  <c r="AL112" i="13"/>
  <c r="AL116" i="13" s="1"/>
  <c r="AL190" i="13" s="1"/>
  <c r="L190" i="13" s="1" a="1"/>
  <c r="L190" i="13" s="1"/>
  <c r="L46" i="21" s="1"/>
  <c r="AL214" i="13"/>
  <c r="AL177" i="13"/>
  <c r="AL178" i="13" s="1"/>
  <c r="AL187" i="13"/>
  <c r="L187" i="13" s="1" a="1"/>
  <c r="L187" i="13" s="1"/>
  <c r="AK180" i="13"/>
  <c r="AL226" i="13"/>
  <c r="V146" i="13"/>
  <c r="V212" i="13"/>
  <c r="W180" i="13"/>
  <c r="W181" i="13" s="1"/>
  <c r="X214" i="13"/>
  <c r="X237" i="13" s="1"/>
  <c r="X177" i="13"/>
  <c r="X178" i="13" s="1"/>
  <c r="Y153" i="13"/>
  <c r="Y16" i="13"/>
  <c r="Y175" i="13"/>
  <c r="Y210" i="13"/>
  <c r="Y184" i="13"/>
  <c r="Y187" i="13"/>
  <c r="U203" i="13"/>
  <c r="U204" i="13" s="1"/>
  <c r="U205" i="13" s="1"/>
  <c r="V145" i="13"/>
  <c r="W198" i="13"/>
  <c r="W200" i="13" s="1"/>
  <c r="X62" i="13"/>
  <c r="X65" i="13" s="1"/>
  <c r="X226" i="13"/>
  <c r="X228" i="13" s="1"/>
  <c r="U235" i="13"/>
  <c r="U216" i="13"/>
  <c r="U230" i="13" s="1"/>
  <c r="U232" i="13" s="1"/>
  <c r="K170" i="13"/>
  <c r="J228" i="13"/>
  <c r="L7" i="13"/>
  <c r="K153" i="13"/>
  <c r="K16" i="13"/>
  <c r="K210" i="13"/>
  <c r="K184" i="13"/>
  <c r="J237" i="13"/>
  <c r="J177" i="13"/>
  <c r="J178" i="13" s="1"/>
  <c r="H200" i="13"/>
  <c r="I181" i="13"/>
  <c r="L27" i="20" l="1"/>
  <c r="L18" i="23"/>
  <c r="L20" i="23" s="1"/>
  <c r="L22" i="23" s="1"/>
  <c r="L32" i="23" s="1"/>
  <c r="I52" i="21"/>
  <c r="G14" i="24"/>
  <c r="D15" i="24"/>
  <c r="L223" i="13"/>
  <c r="L75" i="21"/>
  <c r="L79" i="21" s="1"/>
  <c r="L236" i="13"/>
  <c r="L69" i="21"/>
  <c r="L92" i="21" s="1"/>
  <c r="K100" i="22"/>
  <c r="L97" i="22"/>
  <c r="L98" i="22" s="1"/>
  <c r="L100" i="22" s="1"/>
  <c r="U165" i="19"/>
  <c r="U101" i="19"/>
  <c r="U103" i="19" s="1"/>
  <c r="V134" i="19"/>
  <c r="I133" i="19" a="1"/>
  <c r="I133" i="19" s="1"/>
  <c r="I36" i="21" s="1"/>
  <c r="X74" i="19"/>
  <c r="X75" i="19" s="1"/>
  <c r="W142" i="19"/>
  <c r="J142" i="19" s="1" a="1"/>
  <c r="J142" i="19" s="1"/>
  <c r="J45" i="21" s="1"/>
  <c r="AK92" i="19"/>
  <c r="AK93" i="19" s="1"/>
  <c r="AK127" i="19" s="1"/>
  <c r="X82" i="19"/>
  <c r="X83" i="19" s="1"/>
  <c r="W149" i="19"/>
  <c r="W166" i="19"/>
  <c r="W189" i="19" s="1"/>
  <c r="W96" i="19"/>
  <c r="W143" i="19" s="1"/>
  <c r="X92" i="19"/>
  <c r="W86" i="19"/>
  <c r="W168" i="19" s="1"/>
  <c r="J168" i="19" s="1" a="1"/>
  <c r="J168" i="19" s="1"/>
  <c r="J71" i="21" s="1"/>
  <c r="AL74" i="19"/>
  <c r="AL75" i="19" s="1"/>
  <c r="AL142" i="19" s="1"/>
  <c r="AK142" i="19"/>
  <c r="AI188" i="19"/>
  <c r="AJ133" i="19"/>
  <c r="AJ134" i="19" s="1"/>
  <c r="AL140" i="19"/>
  <c r="AI149" i="19"/>
  <c r="AI153" i="19" s="1"/>
  <c r="AJ82" i="19"/>
  <c r="AJ83" i="19" s="1"/>
  <c r="AI85" i="19"/>
  <c r="AI86" i="19" s="1"/>
  <c r="AI168" i="19" s="1"/>
  <c r="AI169" i="19" s="1"/>
  <c r="AI183" i="19" s="1"/>
  <c r="AH188" i="19"/>
  <c r="AH169" i="19"/>
  <c r="AH183" i="19" s="1"/>
  <c r="AH185" i="19" s="1"/>
  <c r="AI100" i="19"/>
  <c r="AI103" i="19" s="1"/>
  <c r="AH156" i="19"/>
  <c r="AH157" i="19" s="1"/>
  <c r="AH158" i="19" s="1"/>
  <c r="V101" i="19"/>
  <c r="V165" i="19"/>
  <c r="I165" i="19" s="1" a="1"/>
  <c r="I165" i="19" s="1"/>
  <c r="I68" i="21" s="1"/>
  <c r="Y140" i="19"/>
  <c r="L140" i="19" s="1" a="1"/>
  <c r="L140" i="19" s="1"/>
  <c r="L43" i="21" s="1"/>
  <c r="W133" i="19"/>
  <c r="X149" i="19"/>
  <c r="Y82" i="19"/>
  <c r="Y83" i="19" s="1"/>
  <c r="Y149" i="19" s="1"/>
  <c r="J215" i="16"/>
  <c r="J283" i="16" s="1"/>
  <c r="J306" i="16"/>
  <c r="J329" i="16" s="1"/>
  <c r="I316" i="16"/>
  <c r="K316" i="16"/>
  <c r="J316" i="16"/>
  <c r="K233" i="16"/>
  <c r="K236" i="16" s="1"/>
  <c r="J292" i="16"/>
  <c r="L316" i="16"/>
  <c r="L140" i="16"/>
  <c r="L139" i="16"/>
  <c r="L141" i="16" s="1"/>
  <c r="L142" i="16" s="1"/>
  <c r="H106" i="16"/>
  <c r="H319" i="16"/>
  <c r="H321" i="16" s="1"/>
  <c r="H135" i="16"/>
  <c r="I105" i="16" s="1"/>
  <c r="H136" i="16"/>
  <c r="I108" i="16" s="1"/>
  <c r="I268" i="16" s="1"/>
  <c r="K139" i="16"/>
  <c r="K141" i="16" s="1"/>
  <c r="K142" i="16" s="1"/>
  <c r="K140" i="16"/>
  <c r="H270" i="16"/>
  <c r="H307" i="16"/>
  <c r="J140" i="16"/>
  <c r="J139" i="16"/>
  <c r="J141" i="16" s="1"/>
  <c r="J142" i="16" s="1"/>
  <c r="I140" i="16"/>
  <c r="I139" i="16"/>
  <c r="I141" i="16" s="1"/>
  <c r="I142" i="16" s="1"/>
  <c r="I43" i="16"/>
  <c r="I249" i="16" s="1"/>
  <c r="I13" i="21" s="1"/>
  <c r="I248" i="16"/>
  <c r="H248" i="16"/>
  <c r="H43" i="16"/>
  <c r="H249" i="16" s="1"/>
  <c r="H13" i="21" s="1"/>
  <c r="L43" i="16"/>
  <c r="L249" i="16" s="1"/>
  <c r="L13" i="21" s="1"/>
  <c r="L248" i="16"/>
  <c r="J43" i="16"/>
  <c r="J249" i="16" s="1"/>
  <c r="J13" i="21" s="1"/>
  <c r="J248" i="16"/>
  <c r="K43" i="16"/>
  <c r="K249" i="16" s="1"/>
  <c r="K13" i="21" s="1"/>
  <c r="K248" i="16"/>
  <c r="L93" i="15"/>
  <c r="L33" i="15"/>
  <c r="L34" i="15" s="1"/>
  <c r="H49" i="15"/>
  <c r="H63" i="15" s="1"/>
  <c r="K56" i="15"/>
  <c r="L56" i="15"/>
  <c r="I60" i="15"/>
  <c r="I61" i="15" s="1"/>
  <c r="K37" i="15"/>
  <c r="L84" i="15"/>
  <c r="I91" i="15"/>
  <c r="I72" i="15"/>
  <c r="I86" i="15" s="1"/>
  <c r="I88" i="15" s="1"/>
  <c r="AL237" i="13"/>
  <c r="L214" i="13" a="1"/>
  <c r="L214" i="13" s="1"/>
  <c r="L70" i="21" s="1"/>
  <c r="L93" i="21" s="1"/>
  <c r="AI216" i="13"/>
  <c r="AI230" i="13" s="1"/>
  <c r="AI235" i="13"/>
  <c r="AL228" i="13"/>
  <c r="L226" i="13" a="1"/>
  <c r="L226" i="13" s="1"/>
  <c r="L82" i="21" s="1"/>
  <c r="L84" i="21" s="1"/>
  <c r="AJ212" i="13"/>
  <c r="J212" i="13" s="1" a="1"/>
  <c r="J212" i="13" s="1"/>
  <c r="AK107" i="13"/>
  <c r="AK108" i="13" s="1"/>
  <c r="AK215" i="13" s="1"/>
  <c r="K215" i="13" s="1" a="1"/>
  <c r="K215" i="13" s="1"/>
  <c r="AK181" i="13"/>
  <c r="AK146" i="13" s="1"/>
  <c r="K180" i="13" a="1"/>
  <c r="K180" i="13" s="1"/>
  <c r="AH204" i="13"/>
  <c r="AH205" i="13" s="1"/>
  <c r="H203" i="13" a="1"/>
  <c r="H203" i="13" s="1"/>
  <c r="AK196" i="13"/>
  <c r="K196" i="13" s="1" a="1"/>
  <c r="K196" i="13" s="1"/>
  <c r="Y107" i="13"/>
  <c r="Y108" i="13" s="1"/>
  <c r="Y215" i="13" s="1"/>
  <c r="T79" i="13"/>
  <c r="Y78" i="13"/>
  <c r="U79" i="13" s="1"/>
  <c r="K228" i="13"/>
  <c r="AI231" i="13"/>
  <c r="I231" i="13" s="1" a="1"/>
  <c r="I231" i="13" s="1"/>
  <c r="AH186" i="13"/>
  <c r="AJ145" i="13"/>
  <c r="AJ148" i="13" s="1"/>
  <c r="AI203" i="13"/>
  <c r="AJ216" i="13"/>
  <c r="AJ230" i="13" s="1"/>
  <c r="AL200" i="13"/>
  <c r="AL107" i="13"/>
  <c r="AL180" i="13"/>
  <c r="W212" i="13"/>
  <c r="W146" i="13"/>
  <c r="Y214" i="13"/>
  <c r="Y237" i="13" s="1"/>
  <c r="Y177" i="13"/>
  <c r="Y178" i="13" s="1"/>
  <c r="V231" i="13"/>
  <c r="U186" i="13"/>
  <c r="U193" i="13" s="1"/>
  <c r="U207" i="13" s="1"/>
  <c r="X198" i="13"/>
  <c r="X200" i="13" s="1"/>
  <c r="Y62" i="13"/>
  <c r="Y65" i="13" s="1"/>
  <c r="Y198" i="13" s="1"/>
  <c r="Y200" i="13" s="1"/>
  <c r="V148" i="13"/>
  <c r="Y226" i="13"/>
  <c r="Y228" i="13" s="1"/>
  <c r="X180" i="13"/>
  <c r="X181" i="13" s="1"/>
  <c r="V235" i="13"/>
  <c r="V216" i="13"/>
  <c r="V230" i="13" s="1"/>
  <c r="K171" i="13"/>
  <c r="I200" i="13"/>
  <c r="L153" i="13"/>
  <c r="L16" i="13"/>
  <c r="L210" i="13"/>
  <c r="L184" i="13"/>
  <c r="J181" i="13"/>
  <c r="H235" i="13"/>
  <c r="H216" i="13"/>
  <c r="H230" i="13" s="1"/>
  <c r="H232" i="13" s="1"/>
  <c r="K237" i="13"/>
  <c r="K177" i="13"/>
  <c r="K27" i="20" l="1"/>
  <c r="K18" i="23"/>
  <c r="K20" i="23" s="1"/>
  <c r="K22" i="23" s="1"/>
  <c r="K32" i="23" s="1"/>
  <c r="G15" i="24"/>
  <c r="D16" i="24"/>
  <c r="G16" i="24" s="1"/>
  <c r="H204" i="13"/>
  <c r="H205" i="13" s="1"/>
  <c r="X153" i="19"/>
  <c r="K149" i="19" a="1"/>
  <c r="K149" i="19" s="1"/>
  <c r="K52" i="21" s="1"/>
  <c r="Y153" i="19"/>
  <c r="L149" i="19" a="1"/>
  <c r="L149" i="19" s="1"/>
  <c r="L52" i="21" s="1"/>
  <c r="W134" i="19"/>
  <c r="W101" i="19" s="1"/>
  <c r="J133" i="19" a="1"/>
  <c r="J133" i="19" s="1"/>
  <c r="J36" i="21" s="1"/>
  <c r="W153" i="19"/>
  <c r="J149" i="19" a="1"/>
  <c r="J149" i="19" s="1"/>
  <c r="J52" i="21" s="1"/>
  <c r="U156" i="19"/>
  <c r="V100" i="19"/>
  <c r="V103" i="19" s="1"/>
  <c r="Y74" i="19"/>
  <c r="Y75" i="19" s="1"/>
  <c r="Y142" i="19" s="1"/>
  <c r="L142" i="19" s="1" a="1"/>
  <c r="L142" i="19" s="1"/>
  <c r="L45" i="21" s="1"/>
  <c r="X142" i="19"/>
  <c r="K142" i="19" s="1" a="1"/>
  <c r="K142" i="19" s="1"/>
  <c r="K45" i="21" s="1"/>
  <c r="X85" i="19"/>
  <c r="X86" i="19" s="1"/>
  <c r="X168" i="19" s="1"/>
  <c r="K168" i="19" s="1" a="1"/>
  <c r="K168" i="19" s="1"/>
  <c r="K71" i="21" s="1"/>
  <c r="H165" i="19" a="1"/>
  <c r="H165" i="19" s="1"/>
  <c r="H68" i="21" s="1"/>
  <c r="U188" i="19"/>
  <c r="U169" i="19"/>
  <c r="U183" i="19" s="1"/>
  <c r="U185" i="19" s="1"/>
  <c r="AK96" i="19"/>
  <c r="AK143" i="19" s="1"/>
  <c r="X93" i="19"/>
  <c r="X127" i="19" s="1"/>
  <c r="AJ101" i="19"/>
  <c r="AJ165" i="19"/>
  <c r="AH139" i="19"/>
  <c r="AH146" i="19" s="1"/>
  <c r="AH160" i="19" s="1"/>
  <c r="AI184" i="19"/>
  <c r="AI185" i="19" s="1"/>
  <c r="AJ149" i="19"/>
  <c r="AJ153" i="19" s="1"/>
  <c r="AK82" i="19"/>
  <c r="AK83" i="19" s="1"/>
  <c r="AJ85" i="19"/>
  <c r="AJ86" i="19" s="1"/>
  <c r="AJ168" i="19" s="1"/>
  <c r="AK166" i="19"/>
  <c r="AK189" i="19" s="1"/>
  <c r="AK130" i="19"/>
  <c r="AK131" i="19" s="1"/>
  <c r="AJ100" i="19"/>
  <c r="AI156" i="19"/>
  <c r="AI157" i="19" s="1"/>
  <c r="AI158" i="19" s="1"/>
  <c r="V188" i="19"/>
  <c r="V169" i="19"/>
  <c r="V183" i="19" s="1"/>
  <c r="X166" i="19"/>
  <c r="X189" i="19" s="1"/>
  <c r="X130" i="19"/>
  <c r="X131" i="19" s="1"/>
  <c r="K211" i="16"/>
  <c r="I156" i="16"/>
  <c r="I157" i="16" s="1"/>
  <c r="K156" i="16"/>
  <c r="K157" i="16" s="1"/>
  <c r="H156" i="16"/>
  <c r="H157" i="16" s="1"/>
  <c r="H158" i="16" s="1"/>
  <c r="H159" i="16" s="1"/>
  <c r="J156" i="16"/>
  <c r="J157" i="16" s="1"/>
  <c r="L156" i="16"/>
  <c r="L157" i="16" s="1"/>
  <c r="I189" i="19"/>
  <c r="I190" i="19"/>
  <c r="I176" i="19"/>
  <c r="L233" i="16"/>
  <c r="L236" i="16" s="1"/>
  <c r="L292" i="16" s="1"/>
  <c r="K292" i="16"/>
  <c r="K212" i="16"/>
  <c r="K267" i="16" s="1"/>
  <c r="H137" i="16"/>
  <c r="H138" i="16" s="1"/>
  <c r="H139" i="16" s="1"/>
  <c r="J105" i="16" s="1"/>
  <c r="I319" i="16"/>
  <c r="I321" i="16" s="1"/>
  <c r="K143" i="16"/>
  <c r="K145" i="16" s="1"/>
  <c r="K146" i="16" s="1"/>
  <c r="K144" i="16"/>
  <c r="J143" i="16"/>
  <c r="J145" i="16" s="1"/>
  <c r="J146" i="16" s="1"/>
  <c r="J144" i="16"/>
  <c r="H330" i="16"/>
  <c r="I103" i="16"/>
  <c r="I106" i="16" s="1"/>
  <c r="H291" i="16"/>
  <c r="I270" i="16"/>
  <c r="I307" i="16"/>
  <c r="L143" i="16"/>
  <c r="L145" i="16" s="1"/>
  <c r="L146" i="16" s="1"/>
  <c r="L144" i="16"/>
  <c r="I144" i="16"/>
  <c r="I143" i="16"/>
  <c r="I145" i="16" s="1"/>
  <c r="I146" i="16" s="1"/>
  <c r="I250" i="16"/>
  <c r="J250" i="16"/>
  <c r="L250" i="16"/>
  <c r="K44" i="16"/>
  <c r="K56" i="16" s="1"/>
  <c r="K58" i="16" s="1"/>
  <c r="K255" i="16" s="1"/>
  <c r="H250" i="16"/>
  <c r="H44" i="16"/>
  <c r="H56" i="16" s="1"/>
  <c r="H58" i="16" s="1"/>
  <c r="H255" i="16" s="1"/>
  <c r="K250" i="16"/>
  <c r="J44" i="16"/>
  <c r="J56" i="16" s="1"/>
  <c r="J58" i="16" s="1"/>
  <c r="J255" i="16" s="1"/>
  <c r="L44" i="16"/>
  <c r="L56" i="16" s="1"/>
  <c r="L58" i="16" s="1"/>
  <c r="L255" i="16" s="1"/>
  <c r="I44" i="16"/>
  <c r="I56" i="16" s="1"/>
  <c r="I58" i="16" s="1"/>
  <c r="I255" i="16" s="1"/>
  <c r="J60" i="15"/>
  <c r="J61" i="15" s="1"/>
  <c r="I49" i="15"/>
  <c r="I63" i="15" s="1"/>
  <c r="J91" i="15"/>
  <c r="J72" i="15"/>
  <c r="J86" i="15" s="1"/>
  <c r="J88" i="15" s="1"/>
  <c r="H90" i="15"/>
  <c r="L37" i="15"/>
  <c r="AJ235" i="13"/>
  <c r="AK212" i="13"/>
  <c r="K212" i="13" s="1" a="1"/>
  <c r="K212" i="13" s="1"/>
  <c r="AK200" i="13"/>
  <c r="AI232" i="13"/>
  <c r="AJ231" i="13" s="1"/>
  <c r="AL108" i="13"/>
  <c r="AL215" i="13" s="1"/>
  <c r="L215" i="13" s="1" a="1"/>
  <c r="L215" i="13" s="1"/>
  <c r="AH193" i="13"/>
  <c r="AH207" i="13" s="1"/>
  <c r="H186" i="13" a="1"/>
  <c r="H186" i="13" s="1"/>
  <c r="AI204" i="13"/>
  <c r="AI205" i="13" s="1"/>
  <c r="I203" i="13" a="1"/>
  <c r="I203" i="13" s="1"/>
  <c r="AL181" i="13"/>
  <c r="AL146" i="13" s="1"/>
  <c r="L180" i="13" a="1"/>
  <c r="L180" i="13" s="1"/>
  <c r="L228" i="13"/>
  <c r="Y79" i="13"/>
  <c r="AH234" i="13"/>
  <c r="AJ203" i="13"/>
  <c r="AK145" i="13"/>
  <c r="AK148" i="13" s="1"/>
  <c r="AK235" i="13"/>
  <c r="AK216" i="13"/>
  <c r="AK230" i="13" s="1"/>
  <c r="X212" i="13"/>
  <c r="X146" i="13"/>
  <c r="U234" i="13"/>
  <c r="Y180" i="13"/>
  <c r="Y181" i="13" s="1"/>
  <c r="W145" i="13"/>
  <c r="W148" i="13" s="1"/>
  <c r="V203" i="13"/>
  <c r="V204" i="13" s="1"/>
  <c r="V205" i="13" s="1"/>
  <c r="V232" i="13"/>
  <c r="W235" i="13"/>
  <c r="W216" i="13"/>
  <c r="W230" i="13" s="1"/>
  <c r="J200" i="13"/>
  <c r="K178" i="13"/>
  <c r="K181" i="13" s="1"/>
  <c r="I235" i="13"/>
  <c r="I216" i="13"/>
  <c r="I230" i="13" s="1"/>
  <c r="L237" i="13"/>
  <c r="L177" i="13"/>
  <c r="L178" i="13" s="1"/>
  <c r="H193" i="13" l="1"/>
  <c r="H207" i="13" s="1"/>
  <c r="W165" i="19"/>
  <c r="J165" i="19" s="1" a="1"/>
  <c r="J165" i="19" s="1"/>
  <c r="J68" i="21" s="1"/>
  <c r="W100" i="19"/>
  <c r="V156" i="19"/>
  <c r="U157" i="19"/>
  <c r="U158" i="19" s="1"/>
  <c r="H156" i="19" a="1"/>
  <c r="H156" i="19" s="1"/>
  <c r="H59" i="21" s="1"/>
  <c r="Y85" i="19"/>
  <c r="Y86" i="19" s="1"/>
  <c r="Y168" i="19" s="1"/>
  <c r="L168" i="19" s="1" a="1"/>
  <c r="L168" i="19" s="1"/>
  <c r="L71" i="21" s="1"/>
  <c r="U139" i="19"/>
  <c r="V184" i="19"/>
  <c r="I184" i="19" s="1" a="1"/>
  <c r="I184" i="19" s="1"/>
  <c r="I87" i="21" s="1"/>
  <c r="U187" i="19"/>
  <c r="AL92" i="19"/>
  <c r="X96" i="19"/>
  <c r="X143" i="19" s="1"/>
  <c r="Y92" i="19"/>
  <c r="Y93" i="19" s="1"/>
  <c r="Y127" i="19" s="1"/>
  <c r="AH187" i="19"/>
  <c r="AJ103" i="19"/>
  <c r="AJ156" i="19" s="1"/>
  <c r="AJ157" i="19" s="1"/>
  <c r="AJ158" i="19" s="1"/>
  <c r="W103" i="19"/>
  <c r="W156" i="19" s="1"/>
  <c r="AI139" i="19"/>
  <c r="AI146" i="19" s="1"/>
  <c r="AI160" i="19" s="1"/>
  <c r="AJ184" i="19"/>
  <c r="AK133" i="19"/>
  <c r="AK134" i="19" s="1"/>
  <c r="AK149" i="19"/>
  <c r="AK153" i="19" s="1"/>
  <c r="AL82" i="19"/>
  <c r="AL83" i="19" s="1"/>
  <c r="AK85" i="19"/>
  <c r="AK86" i="19" s="1"/>
  <c r="AK168" i="19" s="1"/>
  <c r="AJ188" i="19"/>
  <c r="AJ169" i="19"/>
  <c r="AJ183" i="19" s="1"/>
  <c r="AL93" i="19"/>
  <c r="AL127" i="19" s="1"/>
  <c r="X133" i="19"/>
  <c r="W188" i="19"/>
  <c r="W169" i="19"/>
  <c r="W183" i="19" s="1"/>
  <c r="K306" i="16"/>
  <c r="K329" i="16" s="1"/>
  <c r="I181" i="19"/>
  <c r="H190" i="19"/>
  <c r="H130" i="19"/>
  <c r="I130" i="19"/>
  <c r="H181" i="19"/>
  <c r="J176" i="19"/>
  <c r="K215" i="16"/>
  <c r="L211" i="16" s="1"/>
  <c r="H140" i="16"/>
  <c r="J108" i="16" s="1"/>
  <c r="J268" i="16" s="1"/>
  <c r="J307" i="16" s="1"/>
  <c r="H280" i="16"/>
  <c r="I158" i="16"/>
  <c r="I159" i="16" s="1"/>
  <c r="H141" i="16"/>
  <c r="H142" i="16" s="1"/>
  <c r="H143" i="16" s="1"/>
  <c r="K105" i="16" s="1"/>
  <c r="L147" i="16"/>
  <c r="L149" i="16" s="1"/>
  <c r="L148" i="16"/>
  <c r="J103" i="16"/>
  <c r="J106" i="16" s="1"/>
  <c r="I291" i="16"/>
  <c r="J148" i="16"/>
  <c r="J147" i="16"/>
  <c r="J149" i="16" s="1"/>
  <c r="I330" i="16"/>
  <c r="I147" i="16"/>
  <c r="I149" i="16" s="1"/>
  <c r="I148" i="16"/>
  <c r="K148" i="16"/>
  <c r="K147" i="16"/>
  <c r="K149" i="16" s="1"/>
  <c r="I259" i="16"/>
  <c r="I261" i="16"/>
  <c r="I257" i="16"/>
  <c r="I254" i="16"/>
  <c r="I262" i="16"/>
  <c r="I260" i="16"/>
  <c r="I258" i="16"/>
  <c r="I253" i="16"/>
  <c r="I256" i="16"/>
  <c r="L261" i="16"/>
  <c r="L258" i="16"/>
  <c r="L259" i="16"/>
  <c r="L256" i="16"/>
  <c r="L253" i="16"/>
  <c r="L257" i="16"/>
  <c r="L254" i="16"/>
  <c r="L262" i="16"/>
  <c r="L260" i="16"/>
  <c r="J261" i="16"/>
  <c r="J259" i="16"/>
  <c r="J258" i="16"/>
  <c r="J253" i="16"/>
  <c r="J262" i="16"/>
  <c r="J260" i="16"/>
  <c r="J256" i="16"/>
  <c r="J254" i="16"/>
  <c r="J257" i="16"/>
  <c r="H262" i="16"/>
  <c r="H259" i="16"/>
  <c r="H254" i="16"/>
  <c r="H261" i="16"/>
  <c r="H253" i="16"/>
  <c r="H256" i="16"/>
  <c r="H257" i="16"/>
  <c r="H258" i="16"/>
  <c r="H260" i="16"/>
  <c r="K261" i="16"/>
  <c r="K258" i="16"/>
  <c r="K259" i="16"/>
  <c r="K253" i="16"/>
  <c r="K256" i="16"/>
  <c r="K257" i="16"/>
  <c r="K262" i="16"/>
  <c r="K260" i="16"/>
  <c r="K254" i="16"/>
  <c r="I90" i="15"/>
  <c r="J49" i="15"/>
  <c r="J63" i="15" s="1"/>
  <c r="L60" i="15"/>
  <c r="L61" i="15" s="1"/>
  <c r="K60" i="15"/>
  <c r="K61" i="15" s="1"/>
  <c r="K91" i="15"/>
  <c r="K72" i="15"/>
  <c r="K86" i="15" s="1"/>
  <c r="K88" i="15" s="1"/>
  <c r="AI186" i="13"/>
  <c r="AJ204" i="13"/>
  <c r="AJ205" i="13" s="1"/>
  <c r="J203" i="13" a="1"/>
  <c r="J203" i="13" s="1"/>
  <c r="AI193" i="13"/>
  <c r="AI207" i="13" s="1"/>
  <c r="I186" i="13" a="1"/>
  <c r="I186" i="13" s="1"/>
  <c r="AJ232" i="13"/>
  <c r="AK231" i="13" s="1"/>
  <c r="J231" i="13" a="1"/>
  <c r="J231" i="13" s="1"/>
  <c r="AL212" i="13"/>
  <c r="L212" i="13" s="1" a="1"/>
  <c r="L212" i="13" s="1"/>
  <c r="AK203" i="13"/>
  <c r="AL145" i="13"/>
  <c r="AL148" i="13" s="1"/>
  <c r="AL203" i="13" s="1"/>
  <c r="AI234" i="13"/>
  <c r="Y146" i="13"/>
  <c r="Y212" i="13"/>
  <c r="W231" i="13"/>
  <c r="W232" i="13" s="1"/>
  <c r="V186" i="13"/>
  <c r="V193" i="13" s="1"/>
  <c r="V207" i="13" s="1"/>
  <c r="X145" i="13"/>
  <c r="X148" i="13" s="1"/>
  <c r="W203" i="13"/>
  <c r="W204" i="13" s="1"/>
  <c r="W205" i="13" s="1"/>
  <c r="X235" i="13"/>
  <c r="X216" i="13"/>
  <c r="X230" i="13" s="1"/>
  <c r="I232" i="13"/>
  <c r="H234" i="13"/>
  <c r="I204" i="13"/>
  <c r="I205" i="13" s="1"/>
  <c r="J235" i="13"/>
  <c r="J216" i="13"/>
  <c r="J230" i="13" s="1"/>
  <c r="L181" i="13"/>
  <c r="K200" i="13"/>
  <c r="L200" i="13"/>
  <c r="H164" i="16" l="1"/>
  <c r="H165" i="16" s="1"/>
  <c r="H166" i="16" s="1"/>
  <c r="H167" i="16" s="1"/>
  <c r="I164" i="16"/>
  <c r="I165" i="16" s="1"/>
  <c r="K164" i="16"/>
  <c r="K165" i="16" s="1"/>
  <c r="K26" i="21"/>
  <c r="K27" i="21" s="1"/>
  <c r="J164" i="16"/>
  <c r="J165" i="16" s="1"/>
  <c r="J26" i="21"/>
  <c r="J27" i="21" s="1"/>
  <c r="H26" i="21"/>
  <c r="H27" i="21" s="1"/>
  <c r="L164" i="16"/>
  <c r="L165" i="16" s="1"/>
  <c r="L26" i="21"/>
  <c r="L27" i="21" s="1"/>
  <c r="I26" i="21"/>
  <c r="I27" i="21" s="1"/>
  <c r="AJ185" i="19"/>
  <c r="AK184" i="19" s="1"/>
  <c r="W157" i="19"/>
  <c r="W158" i="19" s="1"/>
  <c r="J156" i="19" a="1"/>
  <c r="J156" i="19" s="1"/>
  <c r="J59" i="21" s="1"/>
  <c r="X134" i="19"/>
  <c r="X165" i="19" s="1"/>
  <c r="K165" i="19" s="1" a="1"/>
  <c r="K165" i="19" s="1"/>
  <c r="K68" i="21" s="1"/>
  <c r="K133" i="19" a="1"/>
  <c r="K133" i="19" s="1"/>
  <c r="K36" i="21" s="1"/>
  <c r="V185" i="19"/>
  <c r="V157" i="19"/>
  <c r="V158" i="19" s="1"/>
  <c r="I156" i="19" a="1"/>
  <c r="I156" i="19" s="1"/>
  <c r="I59" i="21" s="1"/>
  <c r="U146" i="19"/>
  <c r="U160" i="19" s="1"/>
  <c r="H139" i="19" a="1"/>
  <c r="H139" i="19" s="1"/>
  <c r="H42" i="21" s="1"/>
  <c r="H34" i="23" s="1"/>
  <c r="H37" i="23" s="1"/>
  <c r="AK100" i="19"/>
  <c r="Y96" i="19"/>
  <c r="Y143" i="19" s="1"/>
  <c r="AI187" i="19"/>
  <c r="AL96" i="19"/>
  <c r="AL143" i="19" s="1"/>
  <c r="X100" i="19"/>
  <c r="AK101" i="19"/>
  <c r="AK165" i="19"/>
  <c r="AL166" i="19"/>
  <c r="AL189" i="19" s="1"/>
  <c r="AL130" i="19"/>
  <c r="AL131" i="19" s="1"/>
  <c r="AL149" i="19"/>
  <c r="AL153" i="19" s="1"/>
  <c r="AL85" i="19"/>
  <c r="AL86" i="19" s="1"/>
  <c r="AL168" i="19" s="1"/>
  <c r="Y130" i="19"/>
  <c r="Y131" i="19" s="1"/>
  <c r="Y166" i="19"/>
  <c r="Y189" i="19" s="1"/>
  <c r="J110" i="19"/>
  <c r="I110" i="19"/>
  <c r="H110" i="19"/>
  <c r="L110" i="19"/>
  <c r="K110" i="19"/>
  <c r="L176" i="19"/>
  <c r="K176" i="19"/>
  <c r="J181" i="19"/>
  <c r="J189" i="19"/>
  <c r="J130" i="19"/>
  <c r="J190" i="19"/>
  <c r="K283" i="16"/>
  <c r="L212" i="16"/>
  <c r="L267" i="16" s="1"/>
  <c r="J270" i="16"/>
  <c r="J319" i="16"/>
  <c r="J321" i="16" s="1"/>
  <c r="H282" i="16"/>
  <c r="I166" i="16"/>
  <c r="I167" i="16" s="1"/>
  <c r="I280" i="16"/>
  <c r="J158" i="16"/>
  <c r="J159" i="16" s="1"/>
  <c r="H144" i="16"/>
  <c r="K108" i="16" s="1"/>
  <c r="K268" i="16" s="1"/>
  <c r="K307" i="16" s="1"/>
  <c r="J330" i="16"/>
  <c r="H145" i="16"/>
  <c r="H146" i="16" s="1"/>
  <c r="K103" i="16"/>
  <c r="K106" i="16" s="1"/>
  <c r="J291" i="16"/>
  <c r="K263" i="16"/>
  <c r="I263" i="16"/>
  <c r="J263" i="16"/>
  <c r="L263" i="16"/>
  <c r="H263" i="16"/>
  <c r="K49" i="15"/>
  <c r="K63" i="15" s="1"/>
  <c r="J90" i="15"/>
  <c r="L91" i="15"/>
  <c r="L72" i="15"/>
  <c r="L86" i="15" s="1"/>
  <c r="L88" i="15" s="1"/>
  <c r="AL216" i="13"/>
  <c r="AL230" i="13" s="1"/>
  <c r="AL235" i="13"/>
  <c r="AJ186" i="13"/>
  <c r="AL204" i="13"/>
  <c r="AL205" i="13" s="1"/>
  <c r="L203" i="13" a="1"/>
  <c r="L203" i="13" s="1"/>
  <c r="AK232" i="13"/>
  <c r="K231" i="13" a="1"/>
  <c r="K231" i="13" s="1"/>
  <c r="AK204" i="13"/>
  <c r="AK205" i="13" s="1"/>
  <c r="K203" i="13" a="1"/>
  <c r="K203" i="13" s="1"/>
  <c r="AJ193" i="13"/>
  <c r="AJ207" i="13" s="1"/>
  <c r="J186" i="13" a="1"/>
  <c r="J186" i="13" s="1"/>
  <c r="AJ234" i="13"/>
  <c r="AL231" i="13"/>
  <c r="L231" i="13" s="1" a="1"/>
  <c r="L231" i="13" s="1"/>
  <c r="AK186" i="13"/>
  <c r="X231" i="13"/>
  <c r="X232" i="13" s="1"/>
  <c r="W186" i="13"/>
  <c r="W193" i="13" s="1"/>
  <c r="W207" i="13" s="1"/>
  <c r="Y145" i="13"/>
  <c r="Y148" i="13" s="1"/>
  <c r="Y203" i="13" s="1"/>
  <c r="Y204" i="13" s="1"/>
  <c r="Y205" i="13" s="1"/>
  <c r="X203" i="13"/>
  <c r="X204" i="13" s="1"/>
  <c r="X205" i="13" s="1"/>
  <c r="V234" i="13"/>
  <c r="Y235" i="13"/>
  <c r="Y216" i="13"/>
  <c r="Y230" i="13" s="1"/>
  <c r="I193" i="13"/>
  <c r="I207" i="13" s="1"/>
  <c r="J232" i="13"/>
  <c r="J204" i="13"/>
  <c r="J205" i="13" s="1"/>
  <c r="K235" i="13"/>
  <c r="K216" i="13"/>
  <c r="K230" i="13" s="1"/>
  <c r="H34" i="21" l="1"/>
  <c r="H32" i="20"/>
  <c r="I34" i="21"/>
  <c r="I32" i="20"/>
  <c r="L34" i="21"/>
  <c r="L32" i="20"/>
  <c r="J34" i="21"/>
  <c r="J32" i="20"/>
  <c r="K34" i="21"/>
  <c r="K32" i="20"/>
  <c r="X101" i="19"/>
  <c r="AJ139" i="19"/>
  <c r="AJ146" i="19" s="1"/>
  <c r="AJ160" i="19" s="1"/>
  <c r="AJ187" i="19"/>
  <c r="W184" i="19"/>
  <c r="V139" i="19"/>
  <c r="X103" i="19"/>
  <c r="X156" i="19" s="1"/>
  <c r="AK103" i="19"/>
  <c r="AL100" i="19" s="1"/>
  <c r="AK188" i="19"/>
  <c r="AK169" i="19"/>
  <c r="AK183" i="19" s="1"/>
  <c r="AK185" i="19" s="1"/>
  <c r="AL133" i="19"/>
  <c r="AL134" i="19" s="1"/>
  <c r="Y133" i="19"/>
  <c r="L133" i="19" s="1" a="1"/>
  <c r="L133" i="19" s="1"/>
  <c r="L36" i="21" s="1"/>
  <c r="Y100" i="19"/>
  <c r="X188" i="19"/>
  <c r="X169" i="19"/>
  <c r="X183" i="19" s="1"/>
  <c r="L306" i="16"/>
  <c r="L329" i="16" s="1"/>
  <c r="K190" i="19"/>
  <c r="K181" i="19"/>
  <c r="L215" i="16"/>
  <c r="L283" i="16" s="1"/>
  <c r="J166" i="16"/>
  <c r="J167" i="16" s="1"/>
  <c r="I282" i="16"/>
  <c r="J264" i="16"/>
  <c r="J172" i="16"/>
  <c r="J173" i="16" s="1"/>
  <c r="I264" i="16"/>
  <c r="I172" i="16"/>
  <c r="I173" i="16" s="1"/>
  <c r="J280" i="16"/>
  <c r="K158" i="16"/>
  <c r="K159" i="16" s="1"/>
  <c r="H264" i="16"/>
  <c r="H172" i="16"/>
  <c r="H173" i="16" s="1"/>
  <c r="H174" i="16" s="1"/>
  <c r="H175" i="16" s="1"/>
  <c r="L264" i="16"/>
  <c r="L28" i="20" s="1"/>
  <c r="L172" i="16"/>
  <c r="L173" i="16" s="1"/>
  <c r="K264" i="16"/>
  <c r="K28" i="20" s="1"/>
  <c r="K172" i="16"/>
  <c r="K173" i="16" s="1"/>
  <c r="K270" i="16"/>
  <c r="K319" i="16"/>
  <c r="K321" i="16" s="1"/>
  <c r="L103" i="16"/>
  <c r="K291" i="16"/>
  <c r="H148" i="16"/>
  <c r="L108" i="16" s="1"/>
  <c r="L268" i="16" s="1"/>
  <c r="H147" i="16"/>
  <c r="L105" i="16" s="1"/>
  <c r="K330" i="16"/>
  <c r="L49" i="15"/>
  <c r="L63" i="15" s="1"/>
  <c r="K90" i="15"/>
  <c r="AL232" i="13"/>
  <c r="AK193" i="13"/>
  <c r="AK207" i="13" s="1"/>
  <c r="K186" i="13" a="1"/>
  <c r="K186" i="13" s="1"/>
  <c r="AL186" i="13"/>
  <c r="AK234" i="13"/>
  <c r="Y231" i="13"/>
  <c r="Y232" i="13" s="1"/>
  <c r="X186" i="13"/>
  <c r="X193" i="13" s="1"/>
  <c r="W234" i="13"/>
  <c r="X207" i="13"/>
  <c r="I234" i="13"/>
  <c r="K232" i="13"/>
  <c r="J193" i="13"/>
  <c r="J207" i="13" s="1"/>
  <c r="L204" i="13"/>
  <c r="L205" i="13" s="1"/>
  <c r="K204" i="13"/>
  <c r="K205" i="13" s="1"/>
  <c r="L235" i="13"/>
  <c r="L216" i="13"/>
  <c r="L230" i="13" s="1"/>
  <c r="H271" i="16" l="1"/>
  <c r="H28" i="20"/>
  <c r="I271" i="16"/>
  <c r="I28" i="20"/>
  <c r="J271" i="16"/>
  <c r="J28" i="20"/>
  <c r="X157" i="19"/>
  <c r="X158" i="19" s="1"/>
  <c r="K156" i="19" a="1"/>
  <c r="K156" i="19" s="1"/>
  <c r="K59" i="21" s="1"/>
  <c r="Y134" i="19"/>
  <c r="Y101" i="19" s="1"/>
  <c r="Y103" i="19" s="1"/>
  <c r="Y156" i="19" s="1"/>
  <c r="V146" i="19"/>
  <c r="V160" i="19" s="1"/>
  <c r="I139" i="19" a="1"/>
  <c r="I139" i="19" s="1"/>
  <c r="I42" i="21" s="1"/>
  <c r="I34" i="23" s="1"/>
  <c r="I37" i="23" s="1"/>
  <c r="V187" i="19"/>
  <c r="J184" i="19" a="1"/>
  <c r="J184" i="19" s="1"/>
  <c r="J87" i="21" s="1"/>
  <c r="W185" i="19"/>
  <c r="AK156" i="19"/>
  <c r="AK157" i="19" s="1"/>
  <c r="AK158" i="19" s="1"/>
  <c r="AL101" i="19"/>
  <c r="AL103" i="19" s="1"/>
  <c r="AL156" i="19" s="1"/>
  <c r="AL157" i="19" s="1"/>
  <c r="AL158" i="19" s="1"/>
  <c r="AL165" i="19"/>
  <c r="AK139" i="19"/>
  <c r="AK146" i="19" s="1"/>
  <c r="AL184" i="19"/>
  <c r="AK187" i="19"/>
  <c r="H123" i="19"/>
  <c r="I123" i="19"/>
  <c r="K123" i="19"/>
  <c r="L123" i="19"/>
  <c r="J123" i="19"/>
  <c r="K189" i="19"/>
  <c r="K130" i="19"/>
  <c r="L190" i="19"/>
  <c r="L319" i="16"/>
  <c r="L321" i="16" s="1"/>
  <c r="K280" i="16"/>
  <c r="L158" i="16"/>
  <c r="L159" i="16" s="1"/>
  <c r="I174" i="16"/>
  <c r="I175" i="16" s="1"/>
  <c r="H289" i="16"/>
  <c r="H177" i="16"/>
  <c r="H178" i="16" s="1"/>
  <c r="H308" i="16" s="1"/>
  <c r="K271" i="16"/>
  <c r="K166" i="16"/>
  <c r="K167" i="16" s="1"/>
  <c r="J282" i="16"/>
  <c r="H149" i="16"/>
  <c r="L270" i="16"/>
  <c r="L271" i="16" s="1"/>
  <c r="L307" i="16"/>
  <c r="L106" i="16"/>
  <c r="L291" i="16" s="1"/>
  <c r="L90" i="15"/>
  <c r="AL193" i="13"/>
  <c r="AL207" i="13" s="1"/>
  <c r="L186" i="13" a="1"/>
  <c r="L186" i="13" s="1"/>
  <c r="AL234" i="13"/>
  <c r="Y186" i="13"/>
  <c r="Y193" i="13" s="1"/>
  <c r="Y207" i="13" s="1"/>
  <c r="X234" i="13"/>
  <c r="J234" i="13"/>
  <c r="K193" i="13"/>
  <c r="K207" i="13" s="1"/>
  <c r="L232" i="13"/>
  <c r="L273" i="16" l="1"/>
  <c r="L37" i="21" s="1"/>
  <c r="K273" i="16"/>
  <c r="K37" i="21" s="1"/>
  <c r="H293" i="16"/>
  <c r="H56" i="21"/>
  <c r="J273" i="16"/>
  <c r="J37" i="21" s="1"/>
  <c r="I273" i="16"/>
  <c r="I37" i="21" s="1"/>
  <c r="AK160" i="19"/>
  <c r="H273" i="16"/>
  <c r="H37" i="21" s="1"/>
  <c r="Y157" i="19"/>
  <c r="Y158" i="19" s="1"/>
  <c r="L156" i="19" a="1"/>
  <c r="L156" i="19" s="1"/>
  <c r="L59" i="21" s="1"/>
  <c r="W139" i="19"/>
  <c r="W187" i="19" s="1"/>
  <c r="X184" i="19"/>
  <c r="Y165" i="19"/>
  <c r="L165" i="19" s="1" a="1"/>
  <c r="L165" i="19" s="1"/>
  <c r="L68" i="21" s="1"/>
  <c r="AL188" i="19"/>
  <c r="AL169" i="19"/>
  <c r="AL183" i="19" s="1"/>
  <c r="AL185" i="19" s="1"/>
  <c r="L124" i="19"/>
  <c r="L29" i="20" s="1"/>
  <c r="L30" i="20" s="1"/>
  <c r="L33" i="20" s="1"/>
  <c r="K124" i="19"/>
  <c r="H124" i="19"/>
  <c r="J124" i="19"/>
  <c r="I124" i="19"/>
  <c r="L181" i="19"/>
  <c r="L166" i="16"/>
  <c r="L167" i="16" s="1"/>
  <c r="L282" i="16" s="1"/>
  <c r="K282" i="16"/>
  <c r="J174" i="16"/>
  <c r="J175" i="16" s="1"/>
  <c r="I289" i="16"/>
  <c r="I177" i="16"/>
  <c r="I178" i="16" s="1"/>
  <c r="I308" i="16" s="1"/>
  <c r="L280" i="16"/>
  <c r="L330" i="16"/>
  <c r="L193" i="13"/>
  <c r="L207" i="13" s="1"/>
  <c r="Y234" i="13"/>
  <c r="K234" i="13"/>
  <c r="L234" i="13"/>
  <c r="H274" i="16" l="1"/>
  <c r="Y169" i="19"/>
  <c r="Y183" i="19" s="1"/>
  <c r="Y188" i="19"/>
  <c r="H241" i="16"/>
  <c r="H243" i="16" s="1"/>
  <c r="H305" i="16"/>
  <c r="I293" i="16"/>
  <c r="I56" i="21"/>
  <c r="I274" i="16"/>
  <c r="J274" i="16"/>
  <c r="K274" i="16"/>
  <c r="L274" i="16"/>
  <c r="H131" i="19"/>
  <c r="H134" i="19" s="1"/>
  <c r="H29" i="20"/>
  <c r="H30" i="20" s="1"/>
  <c r="H33" i="20" s="1"/>
  <c r="I131" i="19"/>
  <c r="I134" i="19" s="1"/>
  <c r="I29" i="20"/>
  <c r="I30" i="20" s="1"/>
  <c r="I33" i="20" s="1"/>
  <c r="J131" i="19"/>
  <c r="J134" i="19" s="1"/>
  <c r="J29" i="20"/>
  <c r="J30" i="20" s="1"/>
  <c r="J33" i="20" s="1"/>
  <c r="K131" i="19"/>
  <c r="K134" i="19" s="1"/>
  <c r="K29" i="20"/>
  <c r="K30" i="20" s="1"/>
  <c r="K33" i="20" s="1"/>
  <c r="K184" i="19" a="1"/>
  <c r="K184" i="19" s="1"/>
  <c r="K87" i="21" s="1"/>
  <c r="X185" i="19"/>
  <c r="W146" i="19"/>
  <c r="W160" i="19" s="1"/>
  <c r="J139" i="19" a="1"/>
  <c r="J139" i="19" s="1"/>
  <c r="J42" i="21" s="1"/>
  <c r="J34" i="23" s="1"/>
  <c r="J37" i="23" s="1"/>
  <c r="AL139" i="19"/>
  <c r="AL146" i="19" s="1"/>
  <c r="AL160" i="19" s="1"/>
  <c r="L130" i="19"/>
  <c r="L131" i="19" s="1"/>
  <c r="L189" i="19"/>
  <c r="K174" i="16"/>
  <c r="K175" i="16" s="1"/>
  <c r="J289" i="16"/>
  <c r="J177" i="16"/>
  <c r="J178" i="16" s="1"/>
  <c r="J308" i="16" s="1"/>
  <c r="J241" i="16" l="1"/>
  <c r="J305" i="16"/>
  <c r="J309" i="16"/>
  <c r="J323" i="16" s="1"/>
  <c r="J293" i="16"/>
  <c r="J56" i="21"/>
  <c r="H328" i="16"/>
  <c r="H309" i="16"/>
  <c r="H323" i="16" s="1"/>
  <c r="H325" i="16" s="1"/>
  <c r="L241" i="16"/>
  <c r="L305" i="16"/>
  <c r="K241" i="16"/>
  <c r="K305" i="16"/>
  <c r="I305" i="16"/>
  <c r="I241" i="16"/>
  <c r="H296" i="16"/>
  <c r="I240" i="16"/>
  <c r="X139" i="19"/>
  <c r="Y184" i="19"/>
  <c r="X187" i="19"/>
  <c r="AL187" i="19"/>
  <c r="K188" i="19"/>
  <c r="H188" i="19"/>
  <c r="I188" i="19"/>
  <c r="J188" i="19"/>
  <c r="L134" i="19"/>
  <c r="H157" i="19"/>
  <c r="H153" i="19"/>
  <c r="H158" i="19" s="1"/>
  <c r="H169" i="19"/>
  <c r="H183" i="19" s="1"/>
  <c r="H185" i="19" s="1"/>
  <c r="H146" i="19" s="1"/>
  <c r="L174" i="16"/>
  <c r="L175" i="16" s="1"/>
  <c r="K289" i="16"/>
  <c r="K177" i="16"/>
  <c r="K178" i="16" s="1"/>
  <c r="K308" i="16" s="1"/>
  <c r="I243" i="16" l="1"/>
  <c r="L328" i="16"/>
  <c r="H72" i="21"/>
  <c r="H86" i="21" s="1"/>
  <c r="H88" i="21" s="1"/>
  <c r="H91" i="21"/>
  <c r="I328" i="16"/>
  <c r="I309" i="16"/>
  <c r="I323" i="16" s="1"/>
  <c r="K293" i="16"/>
  <c r="K56" i="21"/>
  <c r="K328" i="16"/>
  <c r="H279" i="16"/>
  <c r="H327" i="16"/>
  <c r="I324" i="16"/>
  <c r="K309" i="16"/>
  <c r="K323" i="16" s="1"/>
  <c r="I296" i="16"/>
  <c r="J240" i="16"/>
  <c r="J243" i="16" s="1"/>
  <c r="J328" i="16"/>
  <c r="H297" i="16"/>
  <c r="H298" i="16" s="1"/>
  <c r="H60" i="21"/>
  <c r="H61" i="21" s="1"/>
  <c r="L184" i="19" a="1"/>
  <c r="L184" i="19" s="1"/>
  <c r="L87" i="21" s="1"/>
  <c r="Y185" i="19"/>
  <c r="X146" i="19"/>
  <c r="X160" i="19" s="1"/>
  <c r="K139" i="19" a="1"/>
  <c r="K139" i="19" s="1"/>
  <c r="K42" i="21" s="1"/>
  <c r="K34" i="23" s="1"/>
  <c r="K37" i="23" s="1"/>
  <c r="L188" i="19"/>
  <c r="H160" i="19"/>
  <c r="I157" i="19"/>
  <c r="H187" i="19"/>
  <c r="I153" i="19"/>
  <c r="I158" i="19" s="1"/>
  <c r="I169" i="19"/>
  <c r="I183" i="19" s="1"/>
  <c r="L289" i="16"/>
  <c r="L177" i="16"/>
  <c r="L178" i="16" s="1"/>
  <c r="L308" i="16" s="1"/>
  <c r="H286" i="16" l="1"/>
  <c r="H49" i="21"/>
  <c r="H63" i="21" s="1"/>
  <c r="I72" i="21"/>
  <c r="I86" i="21" s="1"/>
  <c r="I88" i="21" s="1"/>
  <c r="I91" i="21"/>
  <c r="H90" i="21"/>
  <c r="K72" i="21"/>
  <c r="K86" i="21" s="1"/>
  <c r="K91" i="21"/>
  <c r="L309" i="16"/>
  <c r="L323" i="16" s="1"/>
  <c r="L72" i="21"/>
  <c r="L86" i="21" s="1"/>
  <c r="H300" i="16"/>
  <c r="L91" i="21"/>
  <c r="I325" i="16"/>
  <c r="L293" i="16"/>
  <c r="L56" i="21"/>
  <c r="J91" i="21"/>
  <c r="J72" i="21"/>
  <c r="J86" i="21" s="1"/>
  <c r="J296" i="16"/>
  <c r="K240" i="16"/>
  <c r="K243" i="16" s="1"/>
  <c r="I297" i="16"/>
  <c r="I298" i="16" s="1"/>
  <c r="I60" i="21"/>
  <c r="I61" i="21" s="1"/>
  <c r="Y139" i="19"/>
  <c r="Y187" i="19"/>
  <c r="J157" i="19"/>
  <c r="I185" i="19"/>
  <c r="J153" i="19"/>
  <c r="J169" i="19"/>
  <c r="J183" i="19" s="1"/>
  <c r="L240" i="16" l="1"/>
  <c r="L243" i="16" s="1"/>
  <c r="L296" i="16" s="1"/>
  <c r="K296" i="16"/>
  <c r="J297" i="16"/>
  <c r="J298" i="16" s="1"/>
  <c r="J60" i="21"/>
  <c r="J61" i="21" s="1"/>
  <c r="J324" i="16"/>
  <c r="I279" i="16"/>
  <c r="I327" i="16"/>
  <c r="Y146" i="19"/>
  <c r="Y160" i="19" s="1"/>
  <c r="L139" i="19" a="1"/>
  <c r="L139" i="19" s="1"/>
  <c r="L42" i="21" s="1"/>
  <c r="L34" i="23" s="1"/>
  <c r="L37" i="23" s="1"/>
  <c r="J158" i="19"/>
  <c r="I146" i="19"/>
  <c r="I160" i="19" s="1"/>
  <c r="L157" i="19"/>
  <c r="K157" i="19"/>
  <c r="I187" i="19"/>
  <c r="J185" i="19"/>
  <c r="K153" i="19"/>
  <c r="K158" i="19" s="1"/>
  <c r="K169" i="19"/>
  <c r="K183" i="19" s="1"/>
  <c r="J325" i="16" l="1"/>
  <c r="J88" i="21"/>
  <c r="K297" i="16"/>
  <c r="K298" i="16" s="1"/>
  <c r="K60" i="21"/>
  <c r="K61" i="21" s="1"/>
  <c r="I286" i="16"/>
  <c r="I300" i="16" s="1"/>
  <c r="L297" i="16"/>
  <c r="L298" i="16" s="1"/>
  <c r="L60" i="21"/>
  <c r="L61" i="21" s="1"/>
  <c r="K185" i="19"/>
  <c r="J146" i="19"/>
  <c r="J160" i="19" s="1"/>
  <c r="J187" i="19"/>
  <c r="L153" i="19"/>
  <c r="L158" i="19" s="1"/>
  <c r="L169" i="19"/>
  <c r="L183" i="19" s="1"/>
  <c r="I49" i="21" l="1"/>
  <c r="I63" i="21" s="1"/>
  <c r="I90" i="21"/>
  <c r="J279" i="16"/>
  <c r="K324" i="16"/>
  <c r="J327" i="16"/>
  <c r="L185" i="19"/>
  <c r="K146" i="19"/>
  <c r="K160" i="19" s="1"/>
  <c r="K187" i="19"/>
  <c r="K325" i="16" l="1"/>
  <c r="K88" i="21"/>
  <c r="J286" i="16"/>
  <c r="J300" i="16" s="1"/>
  <c r="L146" i="19"/>
  <c r="L160" i="19" s="1"/>
  <c r="J49" i="21" l="1"/>
  <c r="J63" i="21" s="1"/>
  <c r="J90" i="21"/>
  <c r="K279" i="16"/>
  <c r="L324" i="16"/>
  <c r="K327" i="16"/>
  <c r="L187" i="19"/>
  <c r="L325" i="16" l="1"/>
  <c r="L88" i="21"/>
  <c r="K286" i="16"/>
  <c r="K300" i="16" s="1"/>
  <c r="G196" i="12"/>
  <c r="F196" i="12"/>
  <c r="E196" i="12"/>
  <c r="G195" i="12"/>
  <c r="F195" i="12"/>
  <c r="E195" i="12"/>
  <c r="G187" i="12"/>
  <c r="F187" i="12"/>
  <c r="E187" i="12"/>
  <c r="L186" i="12"/>
  <c r="K186" i="12"/>
  <c r="J186" i="12"/>
  <c r="I186" i="12"/>
  <c r="H186" i="12"/>
  <c r="G182" i="12"/>
  <c r="F182" i="12"/>
  <c r="E182" i="12"/>
  <c r="L181" i="12"/>
  <c r="K181" i="12"/>
  <c r="J181" i="12"/>
  <c r="I181" i="12"/>
  <c r="H181" i="12"/>
  <c r="L179" i="12"/>
  <c r="K179" i="12"/>
  <c r="J179" i="12"/>
  <c r="I179" i="12"/>
  <c r="H179" i="12"/>
  <c r="G175" i="12"/>
  <c r="F175" i="12"/>
  <c r="E175" i="12"/>
  <c r="E189" i="12" s="1"/>
  <c r="E191" i="12" s="1"/>
  <c r="E169" i="12"/>
  <c r="G163" i="12"/>
  <c r="F163" i="12"/>
  <c r="E163" i="12"/>
  <c r="G159" i="12"/>
  <c r="F159" i="12"/>
  <c r="F164" i="12" s="1"/>
  <c r="E159" i="12"/>
  <c r="E164" i="12" s="1"/>
  <c r="H158" i="12"/>
  <c r="I158" i="12" s="1"/>
  <c r="J158" i="12" s="1"/>
  <c r="K158" i="12" s="1"/>
  <c r="L158" i="12" s="1"/>
  <c r="H156" i="12"/>
  <c r="I156" i="12" s="1"/>
  <c r="J156" i="12" s="1"/>
  <c r="K156" i="12" s="1"/>
  <c r="L156" i="12" s="1"/>
  <c r="G152" i="12"/>
  <c r="F152" i="12"/>
  <c r="E152" i="12"/>
  <c r="H151" i="12"/>
  <c r="I151" i="12" s="1"/>
  <c r="J151" i="12" s="1"/>
  <c r="K151" i="12" s="1"/>
  <c r="L151" i="12" s="1"/>
  <c r="H147" i="12"/>
  <c r="I147" i="12" s="1"/>
  <c r="J147" i="12" s="1"/>
  <c r="K147" i="12" s="1"/>
  <c r="L147" i="12" s="1"/>
  <c r="E143" i="12"/>
  <c r="G136" i="12"/>
  <c r="F136" i="12"/>
  <c r="E136" i="12"/>
  <c r="G129" i="12"/>
  <c r="G77" i="12" s="1"/>
  <c r="F129" i="12"/>
  <c r="F77" i="12" s="1"/>
  <c r="E129" i="12"/>
  <c r="G116" i="12"/>
  <c r="G130" i="12" s="1"/>
  <c r="F116" i="12"/>
  <c r="F130" i="12" s="1"/>
  <c r="E116" i="12"/>
  <c r="H114" i="12"/>
  <c r="I114" i="12" s="1"/>
  <c r="F112" i="12"/>
  <c r="E112" i="12"/>
  <c r="E107" i="12"/>
  <c r="F104" i="12" s="1"/>
  <c r="E102" i="12"/>
  <c r="F100" i="12" s="1"/>
  <c r="F102" i="12" s="1"/>
  <c r="G100" i="12" s="1"/>
  <c r="G102" i="12" s="1"/>
  <c r="H100" i="12" s="1"/>
  <c r="H102" i="12" s="1"/>
  <c r="E96" i="12"/>
  <c r="F94" i="12" s="1"/>
  <c r="F96" i="12" s="1"/>
  <c r="G94" i="12" s="1"/>
  <c r="G96" i="12" s="1"/>
  <c r="H94" i="12" s="1"/>
  <c r="H96" i="12" s="1"/>
  <c r="E90" i="12"/>
  <c r="F87" i="12" s="1"/>
  <c r="G89" i="12"/>
  <c r="F89" i="12"/>
  <c r="G88" i="12"/>
  <c r="F88" i="12"/>
  <c r="G80" i="12"/>
  <c r="H79" i="12" s="1"/>
  <c r="F80" i="12"/>
  <c r="E80" i="12"/>
  <c r="E78" i="12" s="1"/>
  <c r="G79" i="12"/>
  <c r="G78" i="12" s="1"/>
  <c r="G76" i="12" s="1"/>
  <c r="F79" i="12"/>
  <c r="F78" i="12" s="1"/>
  <c r="F76" i="12" s="1"/>
  <c r="E77" i="12"/>
  <c r="G72" i="12"/>
  <c r="H71" i="12" s="1"/>
  <c r="F72" i="12"/>
  <c r="G71" i="12" s="1"/>
  <c r="G70" i="12" s="1"/>
  <c r="E72" i="12"/>
  <c r="F71" i="12" s="1"/>
  <c r="F70" i="12" s="1"/>
  <c r="G69" i="12"/>
  <c r="F69" i="12"/>
  <c r="E69" i="12"/>
  <c r="G64" i="12"/>
  <c r="F64" i="12"/>
  <c r="E64" i="12"/>
  <c r="E62" i="12" s="1"/>
  <c r="H63" i="12"/>
  <c r="G63" i="12"/>
  <c r="G62" i="12"/>
  <c r="G61" i="12"/>
  <c r="F61" i="12"/>
  <c r="E61" i="12"/>
  <c r="G60" i="12"/>
  <c r="I54" i="12"/>
  <c r="I53" i="12"/>
  <c r="I52" i="12"/>
  <c r="I51" i="12"/>
  <c r="I50" i="12"/>
  <c r="I49" i="12"/>
  <c r="I48" i="12"/>
  <c r="I47" i="12"/>
  <c r="K46" i="12"/>
  <c r="J46" i="12"/>
  <c r="I46" i="12"/>
  <c r="G46" i="12"/>
  <c r="G47" i="12" s="1"/>
  <c r="K45" i="12"/>
  <c r="J45" i="12"/>
  <c r="I45" i="12"/>
  <c r="H45" i="12"/>
  <c r="L45" i="12" s="1"/>
  <c r="H46" i="12" s="1"/>
  <c r="F45" i="12"/>
  <c r="F46" i="12" s="1"/>
  <c r="F47" i="12" s="1"/>
  <c r="F48" i="12" s="1"/>
  <c r="F49" i="12" s="1"/>
  <c r="F50" i="12" s="1"/>
  <c r="F51" i="12" s="1"/>
  <c r="F52" i="12" s="1"/>
  <c r="F53" i="12" s="1"/>
  <c r="F54" i="12" s="1"/>
  <c r="G31" i="12"/>
  <c r="F31" i="12"/>
  <c r="E31" i="12"/>
  <c r="H31" i="12" s="1"/>
  <c r="G29" i="12"/>
  <c r="F29" i="12"/>
  <c r="E29" i="12"/>
  <c r="G26" i="12"/>
  <c r="F26" i="12"/>
  <c r="E26" i="12"/>
  <c r="H26" i="12" s="1"/>
  <c r="G25" i="12"/>
  <c r="F25" i="12"/>
  <c r="E25" i="12"/>
  <c r="G24" i="12"/>
  <c r="F24" i="12"/>
  <c r="E24" i="12"/>
  <c r="H24" i="12" s="1"/>
  <c r="G23" i="12"/>
  <c r="F23" i="12"/>
  <c r="E23" i="12"/>
  <c r="H23" i="12" s="1"/>
  <c r="G22" i="12"/>
  <c r="F22" i="12"/>
  <c r="E22" i="12"/>
  <c r="G21" i="12"/>
  <c r="F21" i="12"/>
  <c r="E21" i="12"/>
  <c r="H21" i="12" s="1"/>
  <c r="G20" i="12"/>
  <c r="F20" i="12"/>
  <c r="E20" i="12"/>
  <c r="H20" i="12" s="1"/>
  <c r="G19" i="12"/>
  <c r="F19" i="12"/>
  <c r="E19" i="12"/>
  <c r="H19" i="12" s="1"/>
  <c r="G18" i="12"/>
  <c r="F18" i="12"/>
  <c r="E18" i="12"/>
  <c r="H18" i="12" s="1"/>
  <c r="G17" i="12"/>
  <c r="F17" i="12"/>
  <c r="E17" i="12"/>
  <c r="H17" i="12" s="1"/>
  <c r="G14" i="12"/>
  <c r="F14" i="12"/>
  <c r="E14" i="12"/>
  <c r="G13" i="12"/>
  <c r="F13" i="12"/>
  <c r="F9" i="12"/>
  <c r="E9" i="12"/>
  <c r="F7" i="12"/>
  <c r="F169" i="12" s="1"/>
  <c r="K49" i="21" l="1"/>
  <c r="K63" i="21" s="1"/>
  <c r="K90" i="21"/>
  <c r="L279" i="16"/>
  <c r="L327" i="16"/>
  <c r="L46" i="12"/>
  <c r="H47" i="12" s="1"/>
  <c r="G189" i="12"/>
  <c r="F90" i="12"/>
  <c r="G87" i="12" s="1"/>
  <c r="F189" i="12"/>
  <c r="G164" i="12"/>
  <c r="F82" i="12"/>
  <c r="F166" i="12"/>
  <c r="E82" i="12"/>
  <c r="G82" i="12"/>
  <c r="G83" i="12" s="1"/>
  <c r="G166" i="12"/>
  <c r="E166" i="12"/>
  <c r="F137" i="12"/>
  <c r="G137" i="12"/>
  <c r="G90" i="12"/>
  <c r="H87" i="12" s="1"/>
  <c r="E76" i="12"/>
  <c r="H76" i="12" s="1"/>
  <c r="I76" i="12" s="1"/>
  <c r="J76" i="12" s="1"/>
  <c r="F68" i="12"/>
  <c r="E130" i="12"/>
  <c r="E137" i="12" s="1"/>
  <c r="E140" i="12" s="1"/>
  <c r="E194" i="12" s="1"/>
  <c r="G68" i="12"/>
  <c r="H25" i="12"/>
  <c r="I25" i="12" s="1"/>
  <c r="J25" i="12" s="1"/>
  <c r="E60" i="12"/>
  <c r="H60" i="12" s="1"/>
  <c r="H14" i="12"/>
  <c r="H29" i="12"/>
  <c r="H133" i="12" s="1"/>
  <c r="H22" i="12"/>
  <c r="I22" i="12" s="1"/>
  <c r="I124" i="12" s="1"/>
  <c r="H125" i="12"/>
  <c r="K19" i="12"/>
  <c r="H121" i="12"/>
  <c r="I23" i="12"/>
  <c r="J23" i="12" s="1"/>
  <c r="J125" i="12" s="1"/>
  <c r="I18" i="12"/>
  <c r="L47" i="12"/>
  <c r="H48" i="12" s="1"/>
  <c r="I20" i="12"/>
  <c r="E33" i="12"/>
  <c r="H135" i="12"/>
  <c r="H161" i="12"/>
  <c r="I100" i="12"/>
  <c r="I102" i="12" s="1"/>
  <c r="I24" i="12"/>
  <c r="H128" i="12"/>
  <c r="F33" i="12"/>
  <c r="F140" i="12"/>
  <c r="I31" i="12"/>
  <c r="J31" i="12" s="1"/>
  <c r="H150" i="12"/>
  <c r="I94" i="12"/>
  <c r="I96" i="12" s="1"/>
  <c r="I19" i="12"/>
  <c r="J114" i="12"/>
  <c r="I61" i="12"/>
  <c r="I26" i="12"/>
  <c r="G33" i="12"/>
  <c r="G140" i="12"/>
  <c r="I17" i="12"/>
  <c r="J17" i="12"/>
  <c r="J119" i="12" s="1"/>
  <c r="H120" i="12"/>
  <c r="H69" i="12" s="1"/>
  <c r="H126" i="12"/>
  <c r="H122" i="12"/>
  <c r="G48" i="12"/>
  <c r="K47" i="12"/>
  <c r="J47" i="12"/>
  <c r="H123" i="12"/>
  <c r="I21" i="12"/>
  <c r="H119" i="12"/>
  <c r="F190" i="12"/>
  <c r="F191" i="12" s="1"/>
  <c r="E193" i="12"/>
  <c r="J19" i="12"/>
  <c r="J121" i="12" s="1"/>
  <c r="H115" i="12"/>
  <c r="H116" i="12" s="1"/>
  <c r="I14" i="12"/>
  <c r="I29" i="12"/>
  <c r="E70" i="12"/>
  <c r="E68" i="12" s="1"/>
  <c r="F63" i="12"/>
  <c r="F62" i="12" s="1"/>
  <c r="F60" i="12" s="1"/>
  <c r="H61" i="12"/>
  <c r="G7" i="12"/>
  <c r="F143" i="12"/>
  <c r="K46" i="10"/>
  <c r="K47" i="10"/>
  <c r="K48" i="10"/>
  <c r="K49" i="10"/>
  <c r="K50" i="10"/>
  <c r="K51" i="10"/>
  <c r="K52" i="10"/>
  <c r="K53" i="10"/>
  <c r="K54" i="10"/>
  <c r="K45" i="10"/>
  <c r="J54" i="10"/>
  <c r="J53" i="10"/>
  <c r="J51" i="10"/>
  <c r="J50" i="10"/>
  <c r="J49" i="10"/>
  <c r="J48" i="10"/>
  <c r="J47" i="10"/>
  <c r="J46" i="10"/>
  <c r="J45" i="10"/>
  <c r="J52" i="10"/>
  <c r="G196" i="10"/>
  <c r="F196" i="10"/>
  <c r="E196" i="10"/>
  <c r="G195" i="10"/>
  <c r="F195" i="10"/>
  <c r="E195" i="10"/>
  <c r="G187" i="10"/>
  <c r="F187" i="10"/>
  <c r="E187" i="10"/>
  <c r="L186" i="10"/>
  <c r="K186" i="10"/>
  <c r="J186" i="10"/>
  <c r="I186" i="10"/>
  <c r="H186" i="10"/>
  <c r="G182" i="10"/>
  <c r="F182" i="10"/>
  <c r="E182" i="10"/>
  <c r="L181" i="10"/>
  <c r="K181" i="10"/>
  <c r="J181" i="10"/>
  <c r="I181" i="10"/>
  <c r="H181" i="10"/>
  <c r="L179" i="10"/>
  <c r="K179" i="10"/>
  <c r="J179" i="10"/>
  <c r="I179" i="10"/>
  <c r="H179" i="10"/>
  <c r="G175" i="10"/>
  <c r="F175" i="10"/>
  <c r="E175" i="10"/>
  <c r="E169" i="10"/>
  <c r="G163" i="10"/>
  <c r="F163" i="10"/>
  <c r="E163" i="10"/>
  <c r="G159" i="10"/>
  <c r="F159" i="10"/>
  <c r="F164" i="10" s="1"/>
  <c r="F166" i="10" s="1"/>
  <c r="E159" i="10"/>
  <c r="E164" i="10" s="1"/>
  <c r="E166" i="10" s="1"/>
  <c r="H158" i="10"/>
  <c r="I158" i="10" s="1"/>
  <c r="J158" i="10" s="1"/>
  <c r="K158" i="10" s="1"/>
  <c r="L158" i="10" s="1"/>
  <c r="H156" i="10"/>
  <c r="I156" i="10" s="1"/>
  <c r="J156" i="10" s="1"/>
  <c r="K156" i="10" s="1"/>
  <c r="L156" i="10" s="1"/>
  <c r="G152" i="10"/>
  <c r="F152" i="10"/>
  <c r="E152" i="10"/>
  <c r="H151" i="10"/>
  <c r="I151" i="10" s="1"/>
  <c r="J151" i="10" s="1"/>
  <c r="K151" i="10" s="1"/>
  <c r="L151" i="10" s="1"/>
  <c r="H147" i="10"/>
  <c r="I147" i="10" s="1"/>
  <c r="J147" i="10" s="1"/>
  <c r="K147" i="10" s="1"/>
  <c r="L147" i="10" s="1"/>
  <c r="E143" i="10"/>
  <c r="G136" i="10"/>
  <c r="F136" i="10"/>
  <c r="E136" i="10"/>
  <c r="G129" i="10"/>
  <c r="F129" i="10"/>
  <c r="F77" i="10" s="1"/>
  <c r="E129" i="10"/>
  <c r="G116" i="10"/>
  <c r="F116" i="10"/>
  <c r="F130" i="10" s="1"/>
  <c r="E116" i="10"/>
  <c r="E130" i="10" s="1"/>
  <c r="H114" i="10"/>
  <c r="I114" i="10" s="1"/>
  <c r="E112" i="10"/>
  <c r="E107" i="10"/>
  <c r="F104" i="10"/>
  <c r="E102" i="10"/>
  <c r="F100" i="10" s="1"/>
  <c r="F102" i="10" s="1"/>
  <c r="G100" i="10" s="1"/>
  <c r="G102" i="10" s="1"/>
  <c r="H100" i="10" s="1"/>
  <c r="H102" i="10" s="1"/>
  <c r="E96" i="10"/>
  <c r="F94" i="10" s="1"/>
  <c r="F96" i="10" s="1"/>
  <c r="G94" i="10" s="1"/>
  <c r="G96" i="10" s="1"/>
  <c r="H94" i="10" s="1"/>
  <c r="H96" i="10" s="1"/>
  <c r="E90" i="10"/>
  <c r="F87" i="10" s="1"/>
  <c r="G89" i="10"/>
  <c r="F89" i="10"/>
  <c r="G88" i="10"/>
  <c r="F88" i="10"/>
  <c r="G80" i="10"/>
  <c r="H79" i="10" s="1"/>
  <c r="F80" i="10"/>
  <c r="G79" i="10" s="1"/>
  <c r="G78" i="10" s="1"/>
  <c r="E80" i="10"/>
  <c r="F79" i="10"/>
  <c r="F78" i="10" s="1"/>
  <c r="F76" i="10" s="1"/>
  <c r="E78" i="10"/>
  <c r="E77" i="10"/>
  <c r="G72" i="10"/>
  <c r="F72" i="10"/>
  <c r="G71" i="10" s="1"/>
  <c r="G70" i="10" s="1"/>
  <c r="G68" i="10" s="1"/>
  <c r="E72" i="10"/>
  <c r="F71" i="10" s="1"/>
  <c r="H71" i="10"/>
  <c r="E70" i="10"/>
  <c r="E68" i="10" s="1"/>
  <c r="G69" i="10"/>
  <c r="F69" i="10"/>
  <c r="E69" i="10"/>
  <c r="G64" i="10"/>
  <c r="F64" i="10"/>
  <c r="E64" i="10"/>
  <c r="E62" i="10" s="1"/>
  <c r="G63" i="10"/>
  <c r="F63" i="10"/>
  <c r="F62" i="10" s="1"/>
  <c r="H61" i="10"/>
  <c r="G61" i="10"/>
  <c r="F61" i="10"/>
  <c r="E61" i="10"/>
  <c r="I54" i="10"/>
  <c r="I53" i="10"/>
  <c r="I52" i="10"/>
  <c r="I51" i="10"/>
  <c r="I50" i="10"/>
  <c r="I49" i="10"/>
  <c r="I48" i="10"/>
  <c r="I47" i="10"/>
  <c r="I46" i="10"/>
  <c r="G46" i="10"/>
  <c r="G47" i="10" s="1"/>
  <c r="I45" i="10"/>
  <c r="H45" i="10"/>
  <c r="F45" i="10"/>
  <c r="F46" i="10" s="1"/>
  <c r="F47" i="10" s="1"/>
  <c r="F48" i="10" s="1"/>
  <c r="F49" i="10" s="1"/>
  <c r="F50" i="10" s="1"/>
  <c r="F51" i="10" s="1"/>
  <c r="F52" i="10" s="1"/>
  <c r="F53" i="10" s="1"/>
  <c r="F54" i="10" s="1"/>
  <c r="G31" i="10"/>
  <c r="F31" i="10"/>
  <c r="E31" i="10"/>
  <c r="G29" i="10"/>
  <c r="F29" i="10"/>
  <c r="E29" i="10"/>
  <c r="G26" i="10"/>
  <c r="F26" i="10"/>
  <c r="E26" i="10"/>
  <c r="G25" i="10"/>
  <c r="F25" i="10"/>
  <c r="E25" i="10"/>
  <c r="G24" i="10"/>
  <c r="F24" i="10"/>
  <c r="E24" i="10"/>
  <c r="G23" i="10"/>
  <c r="F23" i="10"/>
  <c r="E23" i="10"/>
  <c r="G22" i="10"/>
  <c r="F22" i="10"/>
  <c r="E22" i="10"/>
  <c r="H22" i="10" s="1"/>
  <c r="G21" i="10"/>
  <c r="F21" i="10"/>
  <c r="E21" i="10"/>
  <c r="G20" i="10"/>
  <c r="F20" i="10"/>
  <c r="E20" i="10"/>
  <c r="H20" i="10" s="1"/>
  <c r="G19" i="10"/>
  <c r="F19" i="10"/>
  <c r="E19" i="10"/>
  <c r="G18" i="10"/>
  <c r="F18" i="10"/>
  <c r="E18" i="10"/>
  <c r="H18" i="10" s="1"/>
  <c r="G17" i="10"/>
  <c r="F17" i="10"/>
  <c r="E17" i="10"/>
  <c r="G14" i="10"/>
  <c r="F14" i="10"/>
  <c r="E14" i="10"/>
  <c r="G13" i="10"/>
  <c r="F13" i="10"/>
  <c r="F9" i="10"/>
  <c r="E9" i="10"/>
  <c r="F7" i="10"/>
  <c r="F169" i="10" s="1"/>
  <c r="L135" i="9"/>
  <c r="K135" i="9"/>
  <c r="J135" i="9"/>
  <c r="I135" i="9"/>
  <c r="H135" i="9"/>
  <c r="I133" i="9"/>
  <c r="J133" i="9"/>
  <c r="K133" i="9"/>
  <c r="L133" i="9"/>
  <c r="H133" i="9"/>
  <c r="H129" i="9"/>
  <c r="I129" i="9"/>
  <c r="J129" i="9"/>
  <c r="K129" i="9"/>
  <c r="L129" i="9"/>
  <c r="H120" i="9"/>
  <c r="I120" i="9"/>
  <c r="J120" i="9"/>
  <c r="K120" i="9"/>
  <c r="L120" i="9"/>
  <c r="H121" i="9"/>
  <c r="I121" i="9"/>
  <c r="J121" i="9"/>
  <c r="K121" i="9"/>
  <c r="L121" i="9"/>
  <c r="H122" i="9"/>
  <c r="I122" i="9"/>
  <c r="J122" i="9"/>
  <c r="K122" i="9"/>
  <c r="L122" i="9"/>
  <c r="H123" i="9"/>
  <c r="I123" i="9"/>
  <c r="J123" i="9"/>
  <c r="K123" i="9"/>
  <c r="L123" i="9"/>
  <c r="H124" i="9"/>
  <c r="I124" i="9"/>
  <c r="J124" i="9"/>
  <c r="K124" i="9"/>
  <c r="L124" i="9"/>
  <c r="H125" i="9"/>
  <c r="I125" i="9"/>
  <c r="J125" i="9"/>
  <c r="K125" i="9"/>
  <c r="L125" i="9"/>
  <c r="H126" i="9"/>
  <c r="I126" i="9"/>
  <c r="J126" i="9"/>
  <c r="K126" i="9"/>
  <c r="L126" i="9"/>
  <c r="H127" i="9"/>
  <c r="I127" i="9"/>
  <c r="J127" i="9"/>
  <c r="K127" i="9"/>
  <c r="L127" i="9"/>
  <c r="H128" i="9"/>
  <c r="I128" i="9"/>
  <c r="J128" i="9"/>
  <c r="K128" i="9"/>
  <c r="L128" i="9"/>
  <c r="I119" i="9"/>
  <c r="J119" i="9"/>
  <c r="K119" i="9"/>
  <c r="L119" i="9"/>
  <c r="H119" i="9"/>
  <c r="H31" i="9"/>
  <c r="F31" i="9"/>
  <c r="G31" i="9"/>
  <c r="E31" i="9"/>
  <c r="F29" i="9"/>
  <c r="G29" i="9"/>
  <c r="E29" i="9"/>
  <c r="E18" i="9"/>
  <c r="F18" i="9"/>
  <c r="G18" i="9"/>
  <c r="E19" i="9"/>
  <c r="F19" i="9"/>
  <c r="G19" i="9"/>
  <c r="E20" i="9"/>
  <c r="F20" i="9"/>
  <c r="G20" i="9"/>
  <c r="E21" i="9"/>
  <c r="F21" i="9"/>
  <c r="G21" i="9"/>
  <c r="E22" i="9"/>
  <c r="F22" i="9"/>
  <c r="G22" i="9"/>
  <c r="E23" i="9"/>
  <c r="F23" i="9"/>
  <c r="G23" i="9"/>
  <c r="E24" i="9"/>
  <c r="F24" i="9"/>
  <c r="G24" i="9"/>
  <c r="E25" i="9"/>
  <c r="F25" i="9"/>
  <c r="G25" i="9"/>
  <c r="E26" i="9"/>
  <c r="F26" i="9"/>
  <c r="G26" i="9"/>
  <c r="F17" i="9"/>
  <c r="G17" i="9"/>
  <c r="E17" i="9"/>
  <c r="I115" i="9"/>
  <c r="J115" i="9"/>
  <c r="K115" i="9"/>
  <c r="L115" i="9"/>
  <c r="H115" i="9"/>
  <c r="H14" i="9"/>
  <c r="F14" i="9"/>
  <c r="G14" i="9"/>
  <c r="E14" i="9"/>
  <c r="H114" i="9"/>
  <c r="I114" i="9" s="1"/>
  <c r="G13" i="9"/>
  <c r="F13" i="9"/>
  <c r="G196" i="9"/>
  <c r="F196" i="9"/>
  <c r="E196" i="9"/>
  <c r="G195" i="9"/>
  <c r="F195" i="9"/>
  <c r="E195" i="9"/>
  <c r="G187" i="9"/>
  <c r="F187" i="9"/>
  <c r="E187" i="9"/>
  <c r="L186" i="9"/>
  <c r="K186" i="9"/>
  <c r="J186" i="9"/>
  <c r="I186" i="9"/>
  <c r="H186" i="9"/>
  <c r="G182" i="9"/>
  <c r="G189" i="9" s="1"/>
  <c r="F182" i="9"/>
  <c r="E182" i="9"/>
  <c r="L181" i="9"/>
  <c r="K181" i="9"/>
  <c r="J181" i="9"/>
  <c r="I181" i="9"/>
  <c r="H181" i="9"/>
  <c r="L179" i="9"/>
  <c r="K179" i="9"/>
  <c r="J179" i="9"/>
  <c r="I179" i="9"/>
  <c r="H179" i="9"/>
  <c r="G175" i="9"/>
  <c r="F175" i="9"/>
  <c r="E175" i="9"/>
  <c r="E169" i="9"/>
  <c r="G163" i="9"/>
  <c r="F163" i="9"/>
  <c r="E163" i="9"/>
  <c r="G159" i="9"/>
  <c r="F159" i="9"/>
  <c r="E159" i="9"/>
  <c r="H158" i="9"/>
  <c r="I158" i="9" s="1"/>
  <c r="J158" i="9" s="1"/>
  <c r="K158" i="9" s="1"/>
  <c r="L158" i="9" s="1"/>
  <c r="H156" i="9"/>
  <c r="I156" i="9" s="1"/>
  <c r="J156" i="9" s="1"/>
  <c r="K156" i="9" s="1"/>
  <c r="L156" i="9" s="1"/>
  <c r="G152" i="9"/>
  <c r="F152" i="9"/>
  <c r="E152" i="9"/>
  <c r="H151" i="9"/>
  <c r="I151" i="9" s="1"/>
  <c r="J151" i="9" s="1"/>
  <c r="K151" i="9" s="1"/>
  <c r="L151" i="9" s="1"/>
  <c r="H147" i="9"/>
  <c r="I147" i="9" s="1"/>
  <c r="J147" i="9" s="1"/>
  <c r="K147" i="9" s="1"/>
  <c r="L147" i="9" s="1"/>
  <c r="E143" i="9"/>
  <c r="G136" i="9"/>
  <c r="F136" i="9"/>
  <c r="E136" i="9"/>
  <c r="G129" i="9"/>
  <c r="F129" i="9"/>
  <c r="F77" i="9" s="1"/>
  <c r="E129" i="9"/>
  <c r="H116" i="9"/>
  <c r="G116" i="9"/>
  <c r="F116" i="9"/>
  <c r="E116" i="9"/>
  <c r="E130" i="9" s="1"/>
  <c r="E112" i="9"/>
  <c r="E107" i="9"/>
  <c r="F104" i="9" s="1"/>
  <c r="E102" i="9"/>
  <c r="F100" i="9" s="1"/>
  <c r="F102" i="9" s="1"/>
  <c r="G100" i="9" s="1"/>
  <c r="G102" i="9" s="1"/>
  <c r="H100" i="9" s="1"/>
  <c r="H102" i="9" s="1"/>
  <c r="E96" i="9"/>
  <c r="F94" i="9" s="1"/>
  <c r="F96" i="9" s="1"/>
  <c r="G94" i="9" s="1"/>
  <c r="G96" i="9" s="1"/>
  <c r="H94" i="9" s="1"/>
  <c r="H96" i="9" s="1"/>
  <c r="E90" i="9"/>
  <c r="F87" i="9" s="1"/>
  <c r="G89" i="9"/>
  <c r="F89" i="9"/>
  <c r="G88" i="9"/>
  <c r="F88" i="9"/>
  <c r="G80" i="9"/>
  <c r="F80" i="9"/>
  <c r="G79" i="9" s="1"/>
  <c r="G78" i="9" s="1"/>
  <c r="E80" i="9"/>
  <c r="H79" i="9"/>
  <c r="F79" i="9"/>
  <c r="F78" i="9" s="1"/>
  <c r="E78" i="9"/>
  <c r="G77" i="9"/>
  <c r="E77" i="9"/>
  <c r="E76" i="9" s="1"/>
  <c r="G72" i="9"/>
  <c r="H71" i="9" s="1"/>
  <c r="F72" i="9"/>
  <c r="G71" i="9" s="1"/>
  <c r="E72" i="9"/>
  <c r="E70" i="9" s="1"/>
  <c r="G69" i="9"/>
  <c r="F69" i="9"/>
  <c r="E69" i="9"/>
  <c r="G64" i="9"/>
  <c r="F64" i="9"/>
  <c r="E64" i="9"/>
  <c r="F63" i="9"/>
  <c r="E62" i="9"/>
  <c r="H61" i="9"/>
  <c r="G61" i="9"/>
  <c r="F61" i="9"/>
  <c r="E61" i="9"/>
  <c r="I54" i="9"/>
  <c r="I53" i="9"/>
  <c r="I52" i="9"/>
  <c r="I51" i="9"/>
  <c r="I50" i="9"/>
  <c r="I49" i="9"/>
  <c r="I48" i="9"/>
  <c r="I47" i="9"/>
  <c r="I46" i="9"/>
  <c r="G46" i="9"/>
  <c r="G47" i="9" s="1"/>
  <c r="G48" i="9" s="1"/>
  <c r="K45" i="9"/>
  <c r="J45" i="9"/>
  <c r="I45" i="9"/>
  <c r="H45" i="9"/>
  <c r="L45" i="9" s="1"/>
  <c r="H46" i="9" s="1"/>
  <c r="F45" i="9"/>
  <c r="F46" i="9" s="1"/>
  <c r="F47" i="9" s="1"/>
  <c r="F48" i="9" s="1"/>
  <c r="F49" i="9" s="1"/>
  <c r="F50" i="9" s="1"/>
  <c r="F51" i="9" s="1"/>
  <c r="F52" i="9" s="1"/>
  <c r="F53" i="9" s="1"/>
  <c r="F54" i="9" s="1"/>
  <c r="E9" i="9"/>
  <c r="F7" i="9"/>
  <c r="F112" i="9" s="1"/>
  <c r="I184" i="7"/>
  <c r="J184" i="7"/>
  <c r="K184" i="7"/>
  <c r="L184" i="7"/>
  <c r="H184" i="7"/>
  <c r="I185" i="7"/>
  <c r="J185" i="7"/>
  <c r="K185" i="7"/>
  <c r="L185" i="7"/>
  <c r="H185" i="7"/>
  <c r="I178" i="7"/>
  <c r="J178" i="7"/>
  <c r="K178" i="7"/>
  <c r="L178" i="7"/>
  <c r="I180" i="7"/>
  <c r="J180" i="7"/>
  <c r="K180" i="7"/>
  <c r="L180" i="7"/>
  <c r="H180" i="7"/>
  <c r="H178" i="7"/>
  <c r="I177" i="7"/>
  <c r="J177" i="7"/>
  <c r="K177" i="7"/>
  <c r="L177" i="7"/>
  <c r="H177" i="7"/>
  <c r="I170" i="7"/>
  <c r="J170" i="7"/>
  <c r="K170" i="7"/>
  <c r="L170" i="7"/>
  <c r="I171" i="7"/>
  <c r="J171" i="7"/>
  <c r="K171" i="7"/>
  <c r="L171" i="7"/>
  <c r="I172" i="7"/>
  <c r="J172" i="7"/>
  <c r="K172" i="7"/>
  <c r="L172" i="7"/>
  <c r="I173" i="7"/>
  <c r="J173" i="7"/>
  <c r="K173" i="7"/>
  <c r="L173" i="7"/>
  <c r="H173" i="7"/>
  <c r="H172" i="7"/>
  <c r="H171" i="7"/>
  <c r="H170" i="7"/>
  <c r="I157" i="7"/>
  <c r="J157" i="7"/>
  <c r="K157" i="7" s="1"/>
  <c r="L157" i="7" s="1"/>
  <c r="H157" i="7"/>
  <c r="I155" i="7"/>
  <c r="J155" i="7"/>
  <c r="K155" i="7" s="1"/>
  <c r="L155" i="7" s="1"/>
  <c r="H155" i="7"/>
  <c r="I150" i="7"/>
  <c r="J150" i="7"/>
  <c r="K150" i="7"/>
  <c r="L150" i="7"/>
  <c r="H150" i="7"/>
  <c r="I146" i="7"/>
  <c r="J146" i="7" s="1"/>
  <c r="K146" i="7" s="1"/>
  <c r="L146" i="7" s="1"/>
  <c r="H146" i="7"/>
  <c r="I160" i="7"/>
  <c r="J160" i="7"/>
  <c r="K160" i="7"/>
  <c r="L160" i="7"/>
  <c r="I161" i="7"/>
  <c r="J161" i="7"/>
  <c r="K161" i="7"/>
  <c r="L161" i="7"/>
  <c r="H161" i="7"/>
  <c r="H160" i="7"/>
  <c r="G104" i="7"/>
  <c r="H104" i="7"/>
  <c r="I104" i="7"/>
  <c r="J104" i="7"/>
  <c r="K104" i="7"/>
  <c r="L104" i="7"/>
  <c r="F104" i="7"/>
  <c r="F106" i="7"/>
  <c r="G103" i="7" s="1"/>
  <c r="G106" i="7" s="1"/>
  <c r="H103" i="7" s="1"/>
  <c r="H106" i="7" s="1"/>
  <c r="I103" i="7" s="1"/>
  <c r="I106" i="7" s="1"/>
  <c r="J103" i="7" s="1"/>
  <c r="J106" i="7" s="1"/>
  <c r="K103" i="7" s="1"/>
  <c r="K106" i="7" s="1"/>
  <c r="L103" i="7" s="1"/>
  <c r="L106" i="7" s="1"/>
  <c r="F103" i="7"/>
  <c r="E106" i="7"/>
  <c r="G101" i="7"/>
  <c r="H99" i="7" s="1"/>
  <c r="H101" i="7" s="1"/>
  <c r="I99" i="7" s="1"/>
  <c r="I101" i="7" s="1"/>
  <c r="J99" i="7" s="1"/>
  <c r="J101" i="7" s="1"/>
  <c r="K99" i="7" s="1"/>
  <c r="K101" i="7" s="1"/>
  <c r="L99" i="7" s="1"/>
  <c r="L101" i="7" s="1"/>
  <c r="F101" i="7"/>
  <c r="G99" i="7" s="1"/>
  <c r="F99" i="7"/>
  <c r="E101" i="7"/>
  <c r="E95" i="7"/>
  <c r="F93" i="7" s="1"/>
  <c r="F95" i="7" s="1"/>
  <c r="G93" i="7" s="1"/>
  <c r="G95" i="7" s="1"/>
  <c r="H93" i="7" s="1"/>
  <c r="H95" i="7" s="1"/>
  <c r="G88" i="7"/>
  <c r="F88" i="7"/>
  <c r="G87" i="7"/>
  <c r="F87" i="7"/>
  <c r="E89" i="7"/>
  <c r="F86" i="7" s="1"/>
  <c r="F71" i="7"/>
  <c r="G70" i="7" s="1"/>
  <c r="G71" i="7"/>
  <c r="H70" i="7" s="1"/>
  <c r="E71" i="7"/>
  <c r="E69" i="7" s="1"/>
  <c r="F68" i="7"/>
  <c r="G68" i="7"/>
  <c r="E68" i="7"/>
  <c r="F79" i="7"/>
  <c r="G78" i="7" s="1"/>
  <c r="G79" i="7"/>
  <c r="H78" i="7" s="1"/>
  <c r="E79" i="7"/>
  <c r="E77" i="7" s="1"/>
  <c r="F63" i="7"/>
  <c r="G62" i="7" s="1"/>
  <c r="G63" i="7"/>
  <c r="H62" i="7" s="1"/>
  <c r="E63" i="7"/>
  <c r="F62" i="7" s="1"/>
  <c r="F60" i="7"/>
  <c r="G60" i="7"/>
  <c r="H60" i="7"/>
  <c r="I60" i="7"/>
  <c r="J60" i="7"/>
  <c r="K60" i="7"/>
  <c r="L60" i="7"/>
  <c r="E60" i="7"/>
  <c r="J44" i="7"/>
  <c r="K44" i="7"/>
  <c r="I45" i="7"/>
  <c r="I46" i="7"/>
  <c r="I47" i="7"/>
  <c r="I48" i="7"/>
  <c r="I49" i="7"/>
  <c r="I50" i="7"/>
  <c r="I51" i="7"/>
  <c r="I52" i="7"/>
  <c r="I53" i="7"/>
  <c r="I44" i="7"/>
  <c r="H44" i="7"/>
  <c r="G45" i="7"/>
  <c r="J45" i="7" s="1"/>
  <c r="F44" i="7"/>
  <c r="F45" i="7" s="1"/>
  <c r="F46" i="7" s="1"/>
  <c r="F47" i="7" s="1"/>
  <c r="F48" i="7" s="1"/>
  <c r="F49" i="7" s="1"/>
  <c r="F50" i="7" s="1"/>
  <c r="F51" i="7" s="1"/>
  <c r="F52" i="7" s="1"/>
  <c r="F53" i="7" s="1"/>
  <c r="E9" i="7"/>
  <c r="L286" i="16" l="1"/>
  <c r="L300" i="16" s="1"/>
  <c r="H68" i="12"/>
  <c r="F83" i="12"/>
  <c r="K31" i="12"/>
  <c r="K76" i="12"/>
  <c r="H127" i="12"/>
  <c r="J22" i="12"/>
  <c r="K22" i="12" s="1"/>
  <c r="K124" i="12" s="1"/>
  <c r="H124" i="12"/>
  <c r="H129" i="12"/>
  <c r="H77" i="12" s="1"/>
  <c r="H78" i="12" s="1"/>
  <c r="H80" i="12" s="1"/>
  <c r="H155" i="12" s="1"/>
  <c r="I79" i="12"/>
  <c r="I123" i="12"/>
  <c r="I119" i="12"/>
  <c r="H37" i="12"/>
  <c r="H88" i="12"/>
  <c r="H172" i="12"/>
  <c r="H195" i="12" s="1"/>
  <c r="G194" i="12"/>
  <c r="G105" i="12"/>
  <c r="L18" i="12"/>
  <c r="I120" i="12"/>
  <c r="I69" i="12" s="1"/>
  <c r="J20" i="12"/>
  <c r="J122" i="12" s="1"/>
  <c r="I128" i="12"/>
  <c r="I161" i="12"/>
  <c r="J100" i="12"/>
  <c r="J102" i="12" s="1"/>
  <c r="I68" i="12"/>
  <c r="I125" i="12"/>
  <c r="J26" i="12"/>
  <c r="I115" i="12"/>
  <c r="I116" i="12" s="1"/>
  <c r="K14" i="12"/>
  <c r="J21" i="12"/>
  <c r="J123" i="12" s="1"/>
  <c r="G169" i="12"/>
  <c r="G143" i="12"/>
  <c r="H7" i="12"/>
  <c r="G9" i="12"/>
  <c r="G112" i="12"/>
  <c r="K48" i="12"/>
  <c r="L48" i="12" s="1"/>
  <c r="H49" i="12" s="1"/>
  <c r="J48" i="12"/>
  <c r="G49" i="12"/>
  <c r="G190" i="12"/>
  <c r="G191" i="12" s="1"/>
  <c r="F193" i="12"/>
  <c r="I126" i="12"/>
  <c r="H62" i="12"/>
  <c r="H64" i="12" s="1"/>
  <c r="K114" i="12"/>
  <c r="J61" i="12"/>
  <c r="H130" i="12"/>
  <c r="L19" i="12"/>
  <c r="I121" i="12"/>
  <c r="I60" i="12"/>
  <c r="K24" i="12"/>
  <c r="K126" i="12" s="1"/>
  <c r="L76" i="12"/>
  <c r="J127" i="12"/>
  <c r="I133" i="12"/>
  <c r="J135" i="12"/>
  <c r="J18" i="12"/>
  <c r="J120" i="12" s="1"/>
  <c r="J69" i="12" s="1"/>
  <c r="I127" i="12"/>
  <c r="H70" i="12"/>
  <c r="H72" i="12" s="1"/>
  <c r="K23" i="12"/>
  <c r="I135" i="12"/>
  <c r="L31" i="12"/>
  <c r="I122" i="12"/>
  <c r="K18" i="12"/>
  <c r="K120" i="12" s="1"/>
  <c r="K69" i="12" s="1"/>
  <c r="J124" i="12"/>
  <c r="K25" i="12"/>
  <c r="L25" i="12" s="1"/>
  <c r="J94" i="12"/>
  <c r="J96" i="12" s="1"/>
  <c r="I150" i="12"/>
  <c r="J14" i="12"/>
  <c r="K17" i="12"/>
  <c r="L17" i="12" s="1"/>
  <c r="F194" i="12"/>
  <c r="F105" i="12"/>
  <c r="F107" i="12" s="1"/>
  <c r="G104" i="12" s="1"/>
  <c r="J24" i="12"/>
  <c r="J126" i="12" s="1"/>
  <c r="J29" i="12"/>
  <c r="L45" i="10"/>
  <c r="H46" i="10" s="1"/>
  <c r="F189" i="10"/>
  <c r="F90" i="10"/>
  <c r="G87" i="10" s="1"/>
  <c r="G189" i="10"/>
  <c r="E189" i="10"/>
  <c r="E191" i="10" s="1"/>
  <c r="F190" i="10" s="1"/>
  <c r="G164" i="10"/>
  <c r="E76" i="10"/>
  <c r="G82" i="10"/>
  <c r="F70" i="10"/>
  <c r="F68" i="10" s="1"/>
  <c r="G62" i="10"/>
  <c r="H63" i="10"/>
  <c r="E82" i="10"/>
  <c r="G166" i="10"/>
  <c r="E137" i="10"/>
  <c r="F137" i="10"/>
  <c r="G90" i="10"/>
  <c r="H87" i="10" s="1"/>
  <c r="H24" i="10"/>
  <c r="G60" i="10"/>
  <c r="F60" i="10"/>
  <c r="E60" i="10"/>
  <c r="H60" i="10" s="1"/>
  <c r="G130" i="10"/>
  <c r="G137" i="10" s="1"/>
  <c r="G140" i="10" s="1"/>
  <c r="I24" i="10"/>
  <c r="G48" i="10"/>
  <c r="I20" i="10"/>
  <c r="J114" i="10"/>
  <c r="I61" i="10"/>
  <c r="I18" i="10"/>
  <c r="H150" i="10"/>
  <c r="I94" i="10"/>
  <c r="I96" i="10" s="1"/>
  <c r="E140" i="10"/>
  <c r="E194" i="10" s="1"/>
  <c r="E33" i="10"/>
  <c r="H120" i="10"/>
  <c r="H69" i="10" s="1"/>
  <c r="H68" i="10"/>
  <c r="I68" i="10" s="1"/>
  <c r="J68" i="10" s="1"/>
  <c r="H161" i="10"/>
  <c r="I100" i="10"/>
  <c r="I102" i="10" s="1"/>
  <c r="H122" i="10"/>
  <c r="F140" i="10"/>
  <c r="F33" i="10"/>
  <c r="H124" i="10"/>
  <c r="I22" i="10"/>
  <c r="J22" i="10" s="1"/>
  <c r="H126" i="10"/>
  <c r="F82" i="10"/>
  <c r="F83" i="10" s="1"/>
  <c r="F112" i="10"/>
  <c r="H17" i="10"/>
  <c r="I17" i="10" s="1"/>
  <c r="H19" i="10"/>
  <c r="H21" i="10"/>
  <c r="I21" i="10" s="1"/>
  <c r="H23" i="10"/>
  <c r="H25" i="10"/>
  <c r="H29" i="10"/>
  <c r="I29" i="10" s="1"/>
  <c r="G77" i="10"/>
  <c r="G76" i="10" s="1"/>
  <c r="G7" i="10"/>
  <c r="F143" i="10"/>
  <c r="H14" i="10"/>
  <c r="I14" i="10" s="1"/>
  <c r="H26" i="10"/>
  <c r="H31" i="10"/>
  <c r="I31" i="10" s="1"/>
  <c r="I31" i="9"/>
  <c r="J31" i="9"/>
  <c r="I14" i="9"/>
  <c r="J14" i="9"/>
  <c r="J114" i="9"/>
  <c r="I116" i="9"/>
  <c r="I61" i="9"/>
  <c r="J46" i="9"/>
  <c r="E164" i="9"/>
  <c r="K46" i="9"/>
  <c r="L46" i="9" s="1"/>
  <c r="H47" i="9" s="1"/>
  <c r="L47" i="9" s="1"/>
  <c r="H48" i="9" s="1"/>
  <c r="F164" i="9"/>
  <c r="F166" i="9" s="1"/>
  <c r="F90" i="9"/>
  <c r="G87" i="9" s="1"/>
  <c r="G90" i="9" s="1"/>
  <c r="H87" i="9" s="1"/>
  <c r="E68" i="9"/>
  <c r="K114" i="9"/>
  <c r="E189" i="9"/>
  <c r="E191" i="9" s="1"/>
  <c r="E193" i="9" s="1"/>
  <c r="F189" i="9"/>
  <c r="G164" i="9"/>
  <c r="G166" i="9" s="1"/>
  <c r="F82" i="9"/>
  <c r="F83" i="9" s="1"/>
  <c r="E166" i="9"/>
  <c r="F62" i="9"/>
  <c r="F60" i="9" s="1"/>
  <c r="G63" i="9"/>
  <c r="G62" i="9" s="1"/>
  <c r="E82" i="9"/>
  <c r="E60" i="9"/>
  <c r="G82" i="9"/>
  <c r="E137" i="9"/>
  <c r="E33" i="9" s="1"/>
  <c r="F130" i="9"/>
  <c r="F137" i="9" s="1"/>
  <c r="F76" i="9"/>
  <c r="G76" i="9"/>
  <c r="H76" i="9"/>
  <c r="G60" i="9"/>
  <c r="H60" i="9" s="1"/>
  <c r="F33" i="9"/>
  <c r="F140" i="9"/>
  <c r="I100" i="9"/>
  <c r="I102" i="9" s="1"/>
  <c r="H161" i="9"/>
  <c r="H150" i="9"/>
  <c r="I94" i="9"/>
  <c r="I96" i="9" s="1"/>
  <c r="G49" i="9"/>
  <c r="K48" i="9"/>
  <c r="J48" i="9"/>
  <c r="H21" i="9"/>
  <c r="H23" i="9"/>
  <c r="H63" i="9"/>
  <c r="J47" i="9"/>
  <c r="G70" i="9"/>
  <c r="G68" i="9" s="1"/>
  <c r="K47" i="9"/>
  <c r="F71" i="9"/>
  <c r="F70" i="9" s="1"/>
  <c r="F68" i="9" s="1"/>
  <c r="F9" i="9"/>
  <c r="G130" i="9"/>
  <c r="G137" i="9" s="1"/>
  <c r="G7" i="9"/>
  <c r="F143" i="9"/>
  <c r="F169" i="9"/>
  <c r="E67" i="7"/>
  <c r="F89" i="7"/>
  <c r="G86" i="7" s="1"/>
  <c r="G89" i="7" s="1"/>
  <c r="H86" i="7" s="1"/>
  <c r="I93" i="7"/>
  <c r="I95" i="7" s="1"/>
  <c r="H149" i="7"/>
  <c r="F61" i="7"/>
  <c r="F59" i="7" s="1"/>
  <c r="F70" i="7"/>
  <c r="F69" i="7" s="1"/>
  <c r="F67" i="7" s="1"/>
  <c r="G77" i="7"/>
  <c r="G69" i="7"/>
  <c r="G67" i="7" s="1"/>
  <c r="E81" i="7"/>
  <c r="G81" i="7"/>
  <c r="F81" i="7"/>
  <c r="E61" i="7"/>
  <c r="E59" i="7" s="1"/>
  <c r="G61" i="7"/>
  <c r="G59" i="7" s="1"/>
  <c r="F78" i="7"/>
  <c r="F77" i="7" s="1"/>
  <c r="K45" i="7"/>
  <c r="L44" i="7"/>
  <c r="H45" i="7" s="1"/>
  <c r="G46" i="7"/>
  <c r="E168" i="7"/>
  <c r="E142" i="7"/>
  <c r="H186" i="7"/>
  <c r="I186" i="7"/>
  <c r="J186" i="7"/>
  <c r="K186" i="7"/>
  <c r="L186" i="7"/>
  <c r="H181" i="7"/>
  <c r="I181" i="7"/>
  <c r="J181" i="7"/>
  <c r="K181" i="7"/>
  <c r="L181" i="7"/>
  <c r="H174" i="7"/>
  <c r="I174" i="7"/>
  <c r="J174" i="7"/>
  <c r="K174" i="7"/>
  <c r="L174" i="7"/>
  <c r="H162" i="7"/>
  <c r="I162" i="7"/>
  <c r="J162" i="7"/>
  <c r="K162" i="7"/>
  <c r="L162" i="7"/>
  <c r="H115" i="7"/>
  <c r="I115" i="7"/>
  <c r="J115" i="7"/>
  <c r="K115" i="7"/>
  <c r="L115" i="7"/>
  <c r="E111" i="7"/>
  <c r="F7" i="7"/>
  <c r="G195" i="7"/>
  <c r="F195" i="7"/>
  <c r="E195" i="7"/>
  <c r="G194" i="7"/>
  <c r="F194" i="7"/>
  <c r="E194" i="7"/>
  <c r="G186" i="7"/>
  <c r="F186" i="7"/>
  <c r="E186" i="7"/>
  <c r="G181" i="7"/>
  <c r="F181" i="7"/>
  <c r="E181" i="7"/>
  <c r="G174" i="7"/>
  <c r="F174" i="7"/>
  <c r="E174" i="7"/>
  <c r="G162" i="7"/>
  <c r="F162" i="7"/>
  <c r="E162" i="7"/>
  <c r="G158" i="7"/>
  <c r="F158" i="7"/>
  <c r="E158" i="7"/>
  <c r="G151" i="7"/>
  <c r="F151" i="7"/>
  <c r="E151" i="7"/>
  <c r="G135" i="7"/>
  <c r="F135" i="7"/>
  <c r="E135" i="7"/>
  <c r="G128" i="7"/>
  <c r="G76" i="7" s="1"/>
  <c r="F128" i="7"/>
  <c r="F76" i="7" s="1"/>
  <c r="E128" i="7"/>
  <c r="E76" i="7" s="1"/>
  <c r="E75" i="7" s="1"/>
  <c r="G115" i="7"/>
  <c r="F115" i="7"/>
  <c r="E115" i="7"/>
  <c r="L49" i="21" l="1"/>
  <c r="L63" i="21" s="1"/>
  <c r="L90" i="21"/>
  <c r="K125" i="12"/>
  <c r="L24" i="12"/>
  <c r="L23" i="12"/>
  <c r="K119" i="12"/>
  <c r="L14" i="12"/>
  <c r="K21" i="12"/>
  <c r="K123" i="12" s="1"/>
  <c r="L22" i="12"/>
  <c r="I62" i="12"/>
  <c r="I70" i="12"/>
  <c r="I129" i="12"/>
  <c r="I77" i="12" s="1"/>
  <c r="I78" i="12" s="1"/>
  <c r="I80" i="12" s="1"/>
  <c r="L120" i="12"/>
  <c r="L69" i="12" s="1"/>
  <c r="H190" i="12"/>
  <c r="G193" i="12"/>
  <c r="G50" i="12"/>
  <c r="K49" i="12"/>
  <c r="L49" i="12" s="1"/>
  <c r="H50" i="12" s="1"/>
  <c r="J49" i="12"/>
  <c r="J115" i="12"/>
  <c r="J116" i="12" s="1"/>
  <c r="H169" i="12"/>
  <c r="I7" i="12"/>
  <c r="H143" i="12"/>
  <c r="H39" i="12"/>
  <c r="H185" i="12" s="1"/>
  <c r="H187" i="12" s="1"/>
  <c r="H9" i="12"/>
  <c r="H42" i="12"/>
  <c r="H134" i="12" s="1"/>
  <c r="H112" i="12"/>
  <c r="L21" i="12"/>
  <c r="L123" i="12" s="1"/>
  <c r="J133" i="12"/>
  <c r="K29" i="12"/>
  <c r="K133" i="12" s="1"/>
  <c r="G107" i="12"/>
  <c r="H104" i="12" s="1"/>
  <c r="J161" i="12"/>
  <c r="K100" i="12"/>
  <c r="K102" i="12" s="1"/>
  <c r="J150" i="12"/>
  <c r="K94" i="12"/>
  <c r="K96" i="12" s="1"/>
  <c r="L114" i="12"/>
  <c r="L135" i="12" s="1"/>
  <c r="K61" i="12"/>
  <c r="K115" i="12"/>
  <c r="K116" i="12" s="1"/>
  <c r="I63" i="12"/>
  <c r="H146" i="12"/>
  <c r="H82" i="12"/>
  <c r="H83" i="12" s="1"/>
  <c r="H174" i="12" s="1"/>
  <c r="H89" i="12"/>
  <c r="H178" i="12" s="1"/>
  <c r="H182" i="12" s="1"/>
  <c r="H90" i="12"/>
  <c r="H148" i="12"/>
  <c r="I71" i="12"/>
  <c r="I88" i="12"/>
  <c r="I89" i="12" s="1"/>
  <c r="I178" i="12" s="1"/>
  <c r="I182" i="12" s="1"/>
  <c r="I172" i="12"/>
  <c r="I195" i="12" s="1"/>
  <c r="J60" i="12"/>
  <c r="J62" i="12" s="1"/>
  <c r="K121" i="12"/>
  <c r="K20" i="12"/>
  <c r="J128" i="12"/>
  <c r="J129" i="12" s="1"/>
  <c r="J77" i="12" s="1"/>
  <c r="J78" i="12" s="1"/>
  <c r="K26" i="12"/>
  <c r="K128" i="12" s="1"/>
  <c r="L121" i="12"/>
  <c r="L127" i="12"/>
  <c r="K127" i="12"/>
  <c r="K135" i="12"/>
  <c r="J68" i="12"/>
  <c r="J70" i="12" s="1"/>
  <c r="L46" i="10"/>
  <c r="H47" i="10" s="1"/>
  <c r="L47" i="10" s="1"/>
  <c r="H48" i="10" s="1"/>
  <c r="H37" i="10" s="1"/>
  <c r="F191" i="10"/>
  <c r="G190" i="10" s="1"/>
  <c r="G191" i="10" s="1"/>
  <c r="E193" i="10"/>
  <c r="G83" i="10"/>
  <c r="G33" i="10"/>
  <c r="K22" i="10"/>
  <c r="J124" i="10"/>
  <c r="I135" i="10"/>
  <c r="I115" i="10"/>
  <c r="I116" i="10" s="1"/>
  <c r="G49" i="10"/>
  <c r="H128" i="10"/>
  <c r="I126" i="10"/>
  <c r="I123" i="10"/>
  <c r="J14" i="10"/>
  <c r="K14" i="10" s="1"/>
  <c r="L14" i="10" s="1"/>
  <c r="I26" i="10"/>
  <c r="I122" i="10"/>
  <c r="H62" i="10"/>
  <c r="H64" i="10" s="1"/>
  <c r="F194" i="10"/>
  <c r="F105" i="10"/>
  <c r="F107" i="10" s="1"/>
  <c r="G104" i="10" s="1"/>
  <c r="H133" i="10"/>
  <c r="J29" i="10"/>
  <c r="J133" i="10" s="1"/>
  <c r="J20" i="10"/>
  <c r="J122" i="10" s="1"/>
  <c r="I161" i="10"/>
  <c r="J100" i="10"/>
  <c r="J102" i="10" s="1"/>
  <c r="G194" i="10"/>
  <c r="G105" i="10"/>
  <c r="I76" i="10"/>
  <c r="I133" i="10"/>
  <c r="I150" i="10"/>
  <c r="J94" i="10"/>
  <c r="J96" i="10" s="1"/>
  <c r="H125" i="10"/>
  <c r="J21" i="10"/>
  <c r="J123" i="10" s="1"/>
  <c r="H123" i="10"/>
  <c r="K68" i="10"/>
  <c r="L68" i="10" s="1"/>
  <c r="H70" i="10"/>
  <c r="H72" i="10" s="1"/>
  <c r="I120" i="10"/>
  <c r="I69" i="10" s="1"/>
  <c r="I70" i="10" s="1"/>
  <c r="H127" i="10"/>
  <c r="H121" i="10"/>
  <c r="I23" i="10"/>
  <c r="J23" i="10" s="1"/>
  <c r="J125" i="10" s="1"/>
  <c r="I19" i="10"/>
  <c r="H119" i="10"/>
  <c r="J17" i="10"/>
  <c r="J119" i="10" s="1"/>
  <c r="I25" i="10"/>
  <c r="J25" i="10" s="1"/>
  <c r="J127" i="10" s="1"/>
  <c r="J18" i="10"/>
  <c r="G169" i="10"/>
  <c r="G143" i="10"/>
  <c r="H7" i="10"/>
  <c r="G112" i="10"/>
  <c r="G9" i="10"/>
  <c r="I60" i="10"/>
  <c r="J60" i="10" s="1"/>
  <c r="I124" i="10"/>
  <c r="L22" i="10"/>
  <c r="J24" i="10"/>
  <c r="J126" i="10" s="1"/>
  <c r="H135" i="10"/>
  <c r="H115" i="10"/>
  <c r="H116" i="10" s="1"/>
  <c r="I119" i="10"/>
  <c r="H76" i="10"/>
  <c r="K114" i="10"/>
  <c r="K124" i="10" s="1"/>
  <c r="J61" i="10"/>
  <c r="J31" i="10"/>
  <c r="J135" i="10" s="1"/>
  <c r="K31" i="9"/>
  <c r="L31" i="9" s="1"/>
  <c r="K14" i="9"/>
  <c r="L14" i="9" s="1"/>
  <c r="I60" i="9"/>
  <c r="G83" i="9"/>
  <c r="E140" i="9"/>
  <c r="E194" i="9" s="1"/>
  <c r="I76" i="9"/>
  <c r="H29" i="9"/>
  <c r="J61" i="9"/>
  <c r="J116" i="9"/>
  <c r="L114" i="9"/>
  <c r="K116" i="9"/>
  <c r="K61" i="9"/>
  <c r="F190" i="9"/>
  <c r="F191" i="9" s="1"/>
  <c r="J76" i="9"/>
  <c r="K76" i="9" s="1"/>
  <c r="H68" i="9"/>
  <c r="I68" i="9" s="1"/>
  <c r="H25" i="9"/>
  <c r="F193" i="9"/>
  <c r="G190" i="9"/>
  <c r="G191" i="9" s="1"/>
  <c r="J100" i="9"/>
  <c r="J102" i="9" s="1"/>
  <c r="I161" i="9"/>
  <c r="H26" i="9"/>
  <c r="H77" i="9"/>
  <c r="H78" i="9" s="1"/>
  <c r="H80" i="9" s="1"/>
  <c r="H130" i="9"/>
  <c r="G33" i="9"/>
  <c r="G140" i="9"/>
  <c r="I62" i="9"/>
  <c r="H37" i="9"/>
  <c r="L48" i="9"/>
  <c r="H49" i="9" s="1"/>
  <c r="I23" i="9"/>
  <c r="I21" i="9"/>
  <c r="H19" i="9"/>
  <c r="I19" i="9" s="1"/>
  <c r="I150" i="9"/>
  <c r="J94" i="9"/>
  <c r="J96" i="9" s="1"/>
  <c r="J60" i="9"/>
  <c r="J62" i="9" s="1"/>
  <c r="F105" i="9"/>
  <c r="F107" i="9" s="1"/>
  <c r="G104" i="9" s="1"/>
  <c r="F194" i="9"/>
  <c r="H22" i="9"/>
  <c r="I22" i="9" s="1"/>
  <c r="J22" i="9" s="1"/>
  <c r="H20" i="9"/>
  <c r="I20" i="9" s="1"/>
  <c r="H18" i="9"/>
  <c r="K49" i="9"/>
  <c r="G50" i="9"/>
  <c r="J49" i="9"/>
  <c r="H24" i="9"/>
  <c r="G112" i="9"/>
  <c r="G169" i="9"/>
  <c r="G143" i="9"/>
  <c r="G9" i="9"/>
  <c r="H7" i="9"/>
  <c r="H62" i="9"/>
  <c r="H64" i="9" s="1"/>
  <c r="H17" i="9"/>
  <c r="J93" i="7"/>
  <c r="J95" i="7" s="1"/>
  <c r="I149" i="7"/>
  <c r="H67" i="7"/>
  <c r="I67" i="7" s="1"/>
  <c r="J67" i="7" s="1"/>
  <c r="G75" i="7"/>
  <c r="F82" i="7"/>
  <c r="G82" i="7"/>
  <c r="H59" i="7"/>
  <c r="H61" i="7" s="1"/>
  <c r="H63" i="7" s="1"/>
  <c r="F75" i="7"/>
  <c r="L45" i="7"/>
  <c r="H46" i="7" s="1"/>
  <c r="K46" i="7"/>
  <c r="G47" i="7"/>
  <c r="J46" i="7"/>
  <c r="G17" i="7"/>
  <c r="G25" i="7"/>
  <c r="H128" i="7"/>
  <c r="G19" i="7"/>
  <c r="G30" i="7"/>
  <c r="G20" i="7"/>
  <c r="G18" i="7"/>
  <c r="G16" i="7"/>
  <c r="G24" i="7"/>
  <c r="G21" i="7"/>
  <c r="G13" i="7"/>
  <c r="G23" i="7"/>
  <c r="G22" i="7"/>
  <c r="G28" i="7"/>
  <c r="F25" i="7"/>
  <c r="F21" i="7"/>
  <c r="F24" i="7"/>
  <c r="F20" i="7"/>
  <c r="F22" i="7"/>
  <c r="F16" i="7"/>
  <c r="F30" i="7"/>
  <c r="F13" i="7"/>
  <c r="F18" i="7"/>
  <c r="F17" i="7"/>
  <c r="F23" i="7"/>
  <c r="F28" i="7"/>
  <c r="F19" i="7"/>
  <c r="E20" i="7"/>
  <c r="E18" i="7"/>
  <c r="E21" i="7"/>
  <c r="E16" i="7"/>
  <c r="E30" i="7"/>
  <c r="E25" i="7"/>
  <c r="E28" i="7"/>
  <c r="E22" i="7"/>
  <c r="E17" i="7"/>
  <c r="E24" i="7"/>
  <c r="E23" i="7"/>
  <c r="E19" i="7"/>
  <c r="F142" i="7"/>
  <c r="F9" i="7"/>
  <c r="L188" i="7"/>
  <c r="F188" i="7"/>
  <c r="K188" i="7"/>
  <c r="J188" i="7"/>
  <c r="I188" i="7"/>
  <c r="H188" i="7"/>
  <c r="F129" i="7"/>
  <c r="F136" i="7" s="1"/>
  <c r="G129" i="7"/>
  <c r="G136" i="7" s="1"/>
  <c r="E188" i="7"/>
  <c r="E190" i="7" s="1"/>
  <c r="F189" i="7" s="1"/>
  <c r="F111" i="7"/>
  <c r="F168" i="7"/>
  <c r="G7" i="7"/>
  <c r="G9" i="7" s="1"/>
  <c r="G188" i="7"/>
  <c r="E163" i="7"/>
  <c r="E165" i="7" s="1"/>
  <c r="F163" i="7"/>
  <c r="F165" i="7" s="1"/>
  <c r="G163" i="7"/>
  <c r="G165" i="7" s="1"/>
  <c r="E129" i="7"/>
  <c r="E136" i="7" s="1"/>
  <c r="I72" i="12" l="1"/>
  <c r="I130" i="12"/>
  <c r="L29" i="12"/>
  <c r="H173" i="12"/>
  <c r="H196" i="12" s="1"/>
  <c r="H136" i="12"/>
  <c r="H137" i="12" s="1"/>
  <c r="L126" i="12"/>
  <c r="H40" i="12"/>
  <c r="I155" i="12"/>
  <c r="J79" i="12"/>
  <c r="J80" i="12" s="1"/>
  <c r="I64" i="12"/>
  <c r="K122" i="12"/>
  <c r="K129" i="12" s="1"/>
  <c r="L20" i="12"/>
  <c r="L122" i="12" s="1"/>
  <c r="L61" i="12"/>
  <c r="L115" i="12"/>
  <c r="L116" i="12" s="1"/>
  <c r="L124" i="12"/>
  <c r="K68" i="12"/>
  <c r="K150" i="12"/>
  <c r="L94" i="12"/>
  <c r="L96" i="12" s="1"/>
  <c r="L150" i="12" s="1"/>
  <c r="L125" i="12"/>
  <c r="L26" i="12"/>
  <c r="L128" i="12" s="1"/>
  <c r="I143" i="12"/>
  <c r="J7" i="12"/>
  <c r="I39" i="12"/>
  <c r="I185" i="12" s="1"/>
  <c r="I187" i="12" s="1"/>
  <c r="I9" i="12"/>
  <c r="I112" i="12"/>
  <c r="I42" i="12"/>
  <c r="I134" i="12" s="1"/>
  <c r="I169" i="12"/>
  <c r="J130" i="12"/>
  <c r="L133" i="12"/>
  <c r="H149" i="12"/>
  <c r="I87" i="12"/>
  <c r="I90" i="12" s="1"/>
  <c r="K88" i="12"/>
  <c r="K89" i="12" s="1"/>
  <c r="K178" i="12" s="1"/>
  <c r="K182" i="12" s="1"/>
  <c r="K172" i="12"/>
  <c r="K195" i="12" s="1"/>
  <c r="J50" i="12"/>
  <c r="G51" i="12"/>
  <c r="K50" i="12"/>
  <c r="L50" i="12" s="1"/>
  <c r="H51" i="12" s="1"/>
  <c r="I148" i="12"/>
  <c r="J71" i="12"/>
  <c r="J72" i="12" s="1"/>
  <c r="K161" i="12"/>
  <c r="L100" i="12"/>
  <c r="L102" i="12" s="1"/>
  <c r="L161" i="12" s="1"/>
  <c r="K60" i="12"/>
  <c r="K62" i="12" s="1"/>
  <c r="J88" i="12"/>
  <c r="J89" i="12" s="1"/>
  <c r="J178" i="12" s="1"/>
  <c r="J182" i="12" s="1"/>
  <c r="J172" i="12"/>
  <c r="J195" i="12" s="1"/>
  <c r="L119" i="12"/>
  <c r="L48" i="10"/>
  <c r="H49" i="10" s="1"/>
  <c r="F193" i="10"/>
  <c r="J76" i="10"/>
  <c r="K20" i="10"/>
  <c r="G107" i="10"/>
  <c r="H104" i="10" s="1"/>
  <c r="J62" i="10"/>
  <c r="J115" i="10"/>
  <c r="J116" i="10" s="1"/>
  <c r="J88" i="10"/>
  <c r="J89" i="10" s="1"/>
  <c r="J178" i="10" s="1"/>
  <c r="J182" i="10" s="1"/>
  <c r="J172" i="10"/>
  <c r="J195" i="10" s="1"/>
  <c r="J19" i="10"/>
  <c r="J121" i="10" s="1"/>
  <c r="G50" i="10"/>
  <c r="L49" i="10"/>
  <c r="H50" i="10" s="1"/>
  <c r="K29" i="10"/>
  <c r="K133" i="10" s="1"/>
  <c r="I125" i="10"/>
  <c r="I129" i="10" s="1"/>
  <c r="L23" i="10"/>
  <c r="L125" i="10" s="1"/>
  <c r="H190" i="10"/>
  <c r="G193" i="10"/>
  <c r="I63" i="10"/>
  <c r="H146" i="10"/>
  <c r="I128" i="10"/>
  <c r="K25" i="10"/>
  <c r="K127" i="10" s="1"/>
  <c r="K60" i="10"/>
  <c r="H78" i="10"/>
  <c r="H80" i="10" s="1"/>
  <c r="H82" i="10" s="1"/>
  <c r="H83" i="10" s="1"/>
  <c r="H174" i="10" s="1"/>
  <c r="K76" i="10"/>
  <c r="I71" i="10"/>
  <c r="I72" i="10" s="1"/>
  <c r="H148" i="10"/>
  <c r="I121" i="10"/>
  <c r="I88" i="10"/>
  <c r="I89" i="10" s="1"/>
  <c r="I178" i="10" s="1"/>
  <c r="I182" i="10" s="1"/>
  <c r="I172" i="10"/>
  <c r="I195" i="10" s="1"/>
  <c r="L114" i="10"/>
  <c r="K61" i="10"/>
  <c r="K115" i="10"/>
  <c r="K116" i="10" s="1"/>
  <c r="K122" i="10"/>
  <c r="K17" i="10"/>
  <c r="J161" i="10"/>
  <c r="K100" i="10"/>
  <c r="K102" i="10" s="1"/>
  <c r="K23" i="10"/>
  <c r="K125" i="10" s="1"/>
  <c r="J150" i="10"/>
  <c r="K94" i="10"/>
  <c r="K96" i="10" s="1"/>
  <c r="I62" i="10"/>
  <c r="H169" i="10"/>
  <c r="H143" i="10"/>
  <c r="I7" i="10"/>
  <c r="H39" i="10"/>
  <c r="H112" i="10"/>
  <c r="H42" i="10"/>
  <c r="H134" i="10" s="1"/>
  <c r="H173" i="10" s="1"/>
  <c r="H196" i="10" s="1"/>
  <c r="H9" i="10"/>
  <c r="L76" i="10"/>
  <c r="L20" i="10"/>
  <c r="H129" i="10"/>
  <c r="H77" i="10" s="1"/>
  <c r="K21" i="10"/>
  <c r="K123" i="10" s="1"/>
  <c r="H88" i="10"/>
  <c r="H172" i="10"/>
  <c r="H195" i="10" s="1"/>
  <c r="J120" i="10"/>
  <c r="J69" i="10" s="1"/>
  <c r="J70" i="10" s="1"/>
  <c r="K18" i="10"/>
  <c r="L25" i="10"/>
  <c r="I127" i="10"/>
  <c r="K31" i="10"/>
  <c r="K135" i="10" s="1"/>
  <c r="J26" i="10"/>
  <c r="K24" i="10"/>
  <c r="K126" i="10" s="1"/>
  <c r="L49" i="9"/>
  <c r="H50" i="9" s="1"/>
  <c r="I25" i="9"/>
  <c r="I29" i="9"/>
  <c r="L116" i="9"/>
  <c r="L61" i="9"/>
  <c r="J68" i="9"/>
  <c r="K68" i="9" s="1"/>
  <c r="J21" i="9"/>
  <c r="J26" i="9"/>
  <c r="G105" i="9"/>
  <c r="G107" i="9" s="1"/>
  <c r="H104" i="9" s="1"/>
  <c r="G194" i="9"/>
  <c r="H169" i="9"/>
  <c r="H42" i="9"/>
  <c r="H134" i="9" s="1"/>
  <c r="H173" i="9" s="1"/>
  <c r="H196" i="9" s="1"/>
  <c r="H143" i="9"/>
  <c r="H112" i="9"/>
  <c r="H9" i="9"/>
  <c r="I7" i="9"/>
  <c r="H39" i="9"/>
  <c r="I24" i="9"/>
  <c r="I26" i="9"/>
  <c r="H146" i="9"/>
  <c r="I63" i="9"/>
  <c r="I17" i="9"/>
  <c r="K60" i="9"/>
  <c r="K62" i="9" s="1"/>
  <c r="L76" i="9"/>
  <c r="K94" i="9"/>
  <c r="K96" i="9" s="1"/>
  <c r="J150" i="9"/>
  <c r="H172" i="9"/>
  <c r="H195" i="9" s="1"/>
  <c r="H88" i="9"/>
  <c r="J20" i="9"/>
  <c r="K20" i="9" s="1"/>
  <c r="I130" i="9"/>
  <c r="I77" i="9"/>
  <c r="I78" i="9" s="1"/>
  <c r="J19" i="9"/>
  <c r="H190" i="9"/>
  <c r="G193" i="9"/>
  <c r="J23" i="9"/>
  <c r="I64" i="9"/>
  <c r="K100" i="9"/>
  <c r="K102" i="9" s="1"/>
  <c r="J161" i="9"/>
  <c r="G51" i="9"/>
  <c r="K50" i="9"/>
  <c r="L50" i="9" s="1"/>
  <c r="H51" i="9" s="1"/>
  <c r="J50" i="9"/>
  <c r="H69" i="9"/>
  <c r="H70" i="9" s="1"/>
  <c r="H72" i="9" s="1"/>
  <c r="I18" i="9"/>
  <c r="J29" i="9"/>
  <c r="K22" i="9"/>
  <c r="J25" i="9"/>
  <c r="H155" i="9"/>
  <c r="I79" i="9"/>
  <c r="K93" i="7"/>
  <c r="K95" i="7" s="1"/>
  <c r="J149" i="7"/>
  <c r="I62" i="7"/>
  <c r="K67" i="7"/>
  <c r="I59" i="7"/>
  <c r="I61" i="7" s="1"/>
  <c r="H145" i="7"/>
  <c r="H129" i="7"/>
  <c r="H76" i="7"/>
  <c r="H75" i="7"/>
  <c r="L46" i="7"/>
  <c r="H47" i="7" s="1"/>
  <c r="H36" i="7" s="1"/>
  <c r="H16" i="7"/>
  <c r="H118" i="7" s="1"/>
  <c r="G48" i="7"/>
  <c r="K47" i="7"/>
  <c r="J47" i="7"/>
  <c r="H18" i="7"/>
  <c r="H120" i="7" s="1"/>
  <c r="H20" i="7"/>
  <c r="I20" i="7" s="1"/>
  <c r="G139" i="7"/>
  <c r="G193" i="7" s="1"/>
  <c r="G32" i="7"/>
  <c r="F139" i="7"/>
  <c r="F193" i="7" s="1"/>
  <c r="F32" i="7"/>
  <c r="H21" i="7"/>
  <c r="I21" i="7" s="1"/>
  <c r="E139" i="7"/>
  <c r="E193" i="7" s="1"/>
  <c r="E32" i="7"/>
  <c r="H23" i="7"/>
  <c r="I23" i="7" s="1"/>
  <c r="H24" i="7"/>
  <c r="H134" i="7"/>
  <c r="I128" i="7"/>
  <c r="I76" i="7" s="1"/>
  <c r="H19" i="7"/>
  <c r="H28" i="7"/>
  <c r="H132" i="7" s="1"/>
  <c r="H87" i="7" s="1"/>
  <c r="H17" i="7"/>
  <c r="H22" i="7"/>
  <c r="I22" i="7" s="1"/>
  <c r="H25" i="7"/>
  <c r="I25" i="7" s="1"/>
  <c r="F190" i="7"/>
  <c r="F192" i="7" s="1"/>
  <c r="E192" i="7"/>
  <c r="H7" i="7"/>
  <c r="G111" i="7"/>
  <c r="G142" i="7"/>
  <c r="G168" i="7"/>
  <c r="L60" i="12" l="1"/>
  <c r="L62" i="12" s="1"/>
  <c r="K79" i="12"/>
  <c r="J155" i="12"/>
  <c r="K77" i="12"/>
  <c r="K78" i="12" s="1"/>
  <c r="K80" i="12" s="1"/>
  <c r="K130" i="12"/>
  <c r="K71" i="12"/>
  <c r="J148" i="12"/>
  <c r="J63" i="12"/>
  <c r="J64" i="12" s="1"/>
  <c r="I146" i="12"/>
  <c r="I82" i="12"/>
  <c r="I83" i="12" s="1"/>
  <c r="I174" i="12" s="1"/>
  <c r="G52" i="12"/>
  <c r="K51" i="12"/>
  <c r="L51" i="12" s="1"/>
  <c r="H52" i="12" s="1"/>
  <c r="J51" i="12"/>
  <c r="L129" i="12"/>
  <c r="L77" i="12" s="1"/>
  <c r="L78" i="12" s="1"/>
  <c r="H157" i="12"/>
  <c r="H159" i="12" s="1"/>
  <c r="I37" i="12"/>
  <c r="I40" i="12" s="1"/>
  <c r="I149" i="12"/>
  <c r="J87" i="12"/>
  <c r="J90" i="12" s="1"/>
  <c r="K70" i="12"/>
  <c r="L68" i="12"/>
  <c r="L70" i="12" s="1"/>
  <c r="K7" i="12"/>
  <c r="J39" i="12"/>
  <c r="J185" i="12" s="1"/>
  <c r="J187" i="12" s="1"/>
  <c r="J169" i="12"/>
  <c r="J112" i="12"/>
  <c r="J42" i="12"/>
  <c r="J134" i="12" s="1"/>
  <c r="J9" i="12"/>
  <c r="J143" i="12"/>
  <c r="I173" i="12"/>
  <c r="I196" i="12" s="1"/>
  <c r="I136" i="12"/>
  <c r="I137" i="12" s="1"/>
  <c r="H139" i="12"/>
  <c r="H140" i="12" s="1"/>
  <c r="L88" i="12"/>
  <c r="L89" i="12" s="1"/>
  <c r="L178" i="12" s="1"/>
  <c r="L182" i="12" s="1"/>
  <c r="L172" i="12"/>
  <c r="L195" i="12" s="1"/>
  <c r="H185" i="10"/>
  <c r="H187" i="10" s="1"/>
  <c r="H130" i="10"/>
  <c r="L127" i="10"/>
  <c r="I64" i="10"/>
  <c r="J63" i="10" s="1"/>
  <c r="J64" i="10" s="1"/>
  <c r="K62" i="10"/>
  <c r="L21" i="10"/>
  <c r="L123" i="10" s="1"/>
  <c r="I77" i="10"/>
  <c r="I78" i="10" s="1"/>
  <c r="I130" i="10"/>
  <c r="J71" i="10"/>
  <c r="J72" i="10" s="1"/>
  <c r="I148" i="10"/>
  <c r="K161" i="10"/>
  <c r="L100" i="10"/>
  <c r="L102" i="10" s="1"/>
  <c r="L161" i="10" s="1"/>
  <c r="K120" i="10"/>
  <c r="K69" i="10" s="1"/>
  <c r="K70" i="10" s="1"/>
  <c r="L18" i="10"/>
  <c r="L120" i="10" s="1"/>
  <c r="L69" i="10" s="1"/>
  <c r="L70" i="10" s="1"/>
  <c r="K88" i="10"/>
  <c r="K89" i="10" s="1"/>
  <c r="K178" i="10" s="1"/>
  <c r="K182" i="10" s="1"/>
  <c r="K172" i="10"/>
  <c r="K195" i="10" s="1"/>
  <c r="H89" i="10"/>
  <c r="H178" i="10" s="1"/>
  <c r="H182" i="10" s="1"/>
  <c r="K119" i="10"/>
  <c r="L17" i="10"/>
  <c r="L119" i="10" s="1"/>
  <c r="H136" i="10"/>
  <c r="H137" i="10" s="1"/>
  <c r="L60" i="10"/>
  <c r="L62" i="10" s="1"/>
  <c r="L31" i="10"/>
  <c r="L135" i="10" s="1"/>
  <c r="K150" i="10"/>
  <c r="L94" i="10"/>
  <c r="L96" i="10" s="1"/>
  <c r="L150" i="10" s="1"/>
  <c r="K19" i="10"/>
  <c r="K121" i="10" s="1"/>
  <c r="H155" i="10"/>
  <c r="I79" i="10"/>
  <c r="L50" i="10"/>
  <c r="H51" i="10" s="1"/>
  <c r="G51" i="10"/>
  <c r="L61" i="10"/>
  <c r="L115" i="10"/>
  <c r="L116" i="10" s="1"/>
  <c r="L24" i="10"/>
  <c r="L126" i="10" s="1"/>
  <c r="L124" i="10"/>
  <c r="L29" i="10"/>
  <c r="L133" i="10" s="1"/>
  <c r="I143" i="10"/>
  <c r="J7" i="10"/>
  <c r="I39" i="10"/>
  <c r="I112" i="10"/>
  <c r="I42" i="10"/>
  <c r="I134" i="10" s="1"/>
  <c r="I9" i="10"/>
  <c r="I169" i="10"/>
  <c r="J128" i="10"/>
  <c r="J129" i="10" s="1"/>
  <c r="K26" i="10"/>
  <c r="L122" i="10"/>
  <c r="H40" i="10"/>
  <c r="H185" i="9"/>
  <c r="H187" i="9" s="1"/>
  <c r="K25" i="9"/>
  <c r="L68" i="9"/>
  <c r="L25" i="9"/>
  <c r="H136" i="9"/>
  <c r="H137" i="9" s="1"/>
  <c r="K23" i="9"/>
  <c r="I69" i="9"/>
  <c r="I70" i="9" s="1"/>
  <c r="I72" i="9" s="1"/>
  <c r="J18" i="9"/>
  <c r="J69" i="9" s="1"/>
  <c r="J70" i="9" s="1"/>
  <c r="I143" i="9"/>
  <c r="I42" i="9"/>
  <c r="I134" i="9" s="1"/>
  <c r="I173" i="9" s="1"/>
  <c r="I196" i="9" s="1"/>
  <c r="I9" i="9"/>
  <c r="I169" i="9"/>
  <c r="I112" i="9"/>
  <c r="I39" i="9"/>
  <c r="J7" i="9"/>
  <c r="L100" i="9"/>
  <c r="L102" i="9" s="1"/>
  <c r="L161" i="9" s="1"/>
  <c r="K161" i="9"/>
  <c r="I80" i="9"/>
  <c r="J17" i="9"/>
  <c r="K150" i="9"/>
  <c r="L94" i="9"/>
  <c r="L96" i="9" s="1"/>
  <c r="L150" i="9" s="1"/>
  <c r="L60" i="9"/>
  <c r="L62" i="9" s="1"/>
  <c r="J77" i="9"/>
  <c r="J78" i="9" s="1"/>
  <c r="J130" i="9"/>
  <c r="K24" i="9"/>
  <c r="K29" i="9"/>
  <c r="K21" i="9"/>
  <c r="I172" i="9"/>
  <c r="I195" i="9" s="1"/>
  <c r="I88" i="9"/>
  <c r="I89" i="9" s="1"/>
  <c r="I178" i="9" s="1"/>
  <c r="I182" i="9" s="1"/>
  <c r="J172" i="9"/>
  <c r="J195" i="9" s="1"/>
  <c r="J88" i="9"/>
  <c r="J89" i="9" s="1"/>
  <c r="J178" i="9" s="1"/>
  <c r="J182" i="9" s="1"/>
  <c r="I71" i="9"/>
  <c r="H148" i="9"/>
  <c r="J24" i="9"/>
  <c r="G52" i="9"/>
  <c r="K51" i="9"/>
  <c r="L51" i="9" s="1"/>
  <c r="H52" i="9" s="1"/>
  <c r="J51" i="9"/>
  <c r="K19" i="9"/>
  <c r="L20" i="9"/>
  <c r="L22" i="9"/>
  <c r="K26" i="9"/>
  <c r="I146" i="9"/>
  <c r="J63" i="9"/>
  <c r="J64" i="9" s="1"/>
  <c r="H82" i="9"/>
  <c r="H83" i="9" s="1"/>
  <c r="H174" i="9" s="1"/>
  <c r="H89" i="9"/>
  <c r="H178" i="9" s="1"/>
  <c r="H182" i="9" s="1"/>
  <c r="H40" i="9"/>
  <c r="H88" i="7"/>
  <c r="H89" i="7" s="1"/>
  <c r="L93" i="7"/>
  <c r="L95" i="7" s="1"/>
  <c r="L149" i="7" s="1"/>
  <c r="K149" i="7"/>
  <c r="I63" i="7"/>
  <c r="I145" i="7" s="1"/>
  <c r="L67" i="7"/>
  <c r="J59" i="7"/>
  <c r="J61" i="7" s="1"/>
  <c r="H77" i="7"/>
  <c r="H79" i="7" s="1"/>
  <c r="I75" i="7"/>
  <c r="L47" i="7"/>
  <c r="H48" i="7" s="1"/>
  <c r="I28" i="7"/>
  <c r="J28" i="7" s="1"/>
  <c r="I16" i="7"/>
  <c r="I118" i="7" s="1"/>
  <c r="I18" i="7"/>
  <c r="J18" i="7" s="1"/>
  <c r="H9" i="7"/>
  <c r="H38" i="7"/>
  <c r="H39" i="7" s="1"/>
  <c r="H41" i="7"/>
  <c r="H133" i="7" s="1"/>
  <c r="H195" i="7" s="1"/>
  <c r="G49" i="7"/>
  <c r="K48" i="7"/>
  <c r="J48" i="7"/>
  <c r="I125" i="7"/>
  <c r="I122" i="7"/>
  <c r="I19" i="7"/>
  <c r="H122" i="7"/>
  <c r="J21" i="7"/>
  <c r="K21" i="7" s="1"/>
  <c r="L21" i="7" s="1"/>
  <c r="I123" i="7"/>
  <c r="J25" i="7"/>
  <c r="K25" i="7" s="1"/>
  <c r="I127" i="7"/>
  <c r="J22" i="7"/>
  <c r="I124" i="7"/>
  <c r="H126" i="7"/>
  <c r="H123" i="7"/>
  <c r="I24" i="7"/>
  <c r="H127" i="7"/>
  <c r="J23" i="7"/>
  <c r="K23" i="7" s="1"/>
  <c r="H125" i="7"/>
  <c r="H121" i="7"/>
  <c r="J128" i="7"/>
  <c r="J76" i="7" s="1"/>
  <c r="I134" i="7"/>
  <c r="I129" i="7"/>
  <c r="H124" i="7"/>
  <c r="I17" i="7"/>
  <c r="H119" i="7"/>
  <c r="H68" i="7" s="1"/>
  <c r="H69" i="7" s="1"/>
  <c r="H71" i="7" s="1"/>
  <c r="H194" i="7"/>
  <c r="J20" i="7"/>
  <c r="G189" i="7"/>
  <c r="G190" i="7" s="1"/>
  <c r="G192" i="7" s="1"/>
  <c r="I7" i="7"/>
  <c r="H142" i="7"/>
  <c r="H111" i="7"/>
  <c r="H168" i="7"/>
  <c r="K72" i="12" l="1"/>
  <c r="J173" i="12"/>
  <c r="J196" i="12" s="1"/>
  <c r="J136" i="12"/>
  <c r="J137" i="12" s="1"/>
  <c r="K52" i="12"/>
  <c r="L52" i="12" s="1"/>
  <c r="H53" i="12" s="1"/>
  <c r="J52" i="12"/>
  <c r="G53" i="12"/>
  <c r="L79" i="12"/>
  <c r="L80" i="12" s="1"/>
  <c r="L155" i="12" s="1"/>
  <c r="K155" i="12"/>
  <c r="I157" i="12"/>
  <c r="I159" i="12" s="1"/>
  <c r="J37" i="12"/>
  <c r="J40" i="12" s="1"/>
  <c r="K63" i="12"/>
  <c r="K64" i="12" s="1"/>
  <c r="J146" i="12"/>
  <c r="J82" i="12"/>
  <c r="J83" i="12" s="1"/>
  <c r="J174" i="12" s="1"/>
  <c r="L71" i="12"/>
  <c r="L72" i="12" s="1"/>
  <c r="L148" i="12" s="1"/>
  <c r="K148" i="12"/>
  <c r="L7" i="12"/>
  <c r="K39" i="12"/>
  <c r="K112" i="12"/>
  <c r="K42" i="12"/>
  <c r="K134" i="12" s="1"/>
  <c r="K9" i="12"/>
  <c r="K169" i="12"/>
  <c r="K143" i="12"/>
  <c r="J149" i="12"/>
  <c r="K87" i="12"/>
  <c r="K90" i="12" s="1"/>
  <c r="H105" i="12"/>
  <c r="H107" i="12" s="1"/>
  <c r="H171" i="12"/>
  <c r="I139" i="12"/>
  <c r="I140" i="12" s="1"/>
  <c r="L130" i="12"/>
  <c r="I185" i="10"/>
  <c r="I187" i="10" s="1"/>
  <c r="I146" i="10"/>
  <c r="J148" i="10"/>
  <c r="K71" i="10"/>
  <c r="K72" i="10" s="1"/>
  <c r="H139" i="10"/>
  <c r="H140" i="10" s="1"/>
  <c r="K128" i="10"/>
  <c r="K129" i="10" s="1"/>
  <c r="L26" i="10"/>
  <c r="L128" i="10" s="1"/>
  <c r="G52" i="10"/>
  <c r="L51" i="10"/>
  <c r="H52" i="10" s="1"/>
  <c r="J169" i="10"/>
  <c r="K7" i="10"/>
  <c r="J39" i="10"/>
  <c r="J112" i="10"/>
  <c r="J42" i="10"/>
  <c r="J134" i="10" s="1"/>
  <c r="J9" i="10"/>
  <c r="J143" i="10"/>
  <c r="L88" i="10"/>
  <c r="L89" i="10" s="1"/>
  <c r="L178" i="10" s="1"/>
  <c r="L182" i="10" s="1"/>
  <c r="L172" i="10"/>
  <c r="L195" i="10" s="1"/>
  <c r="L19" i="10"/>
  <c r="L121" i="10" s="1"/>
  <c r="K63" i="10"/>
  <c r="K64" i="10" s="1"/>
  <c r="J146" i="10"/>
  <c r="H157" i="10"/>
  <c r="H159" i="10" s="1"/>
  <c r="I37" i="10"/>
  <c r="I40" i="10" s="1"/>
  <c r="J77" i="10"/>
  <c r="J78" i="10" s="1"/>
  <c r="J130" i="10"/>
  <c r="I173" i="10"/>
  <c r="I196" i="10" s="1"/>
  <c r="I136" i="10"/>
  <c r="I137" i="10" s="1"/>
  <c r="H90" i="10"/>
  <c r="I80" i="10"/>
  <c r="L19" i="9"/>
  <c r="H90" i="9"/>
  <c r="I87" i="9" s="1"/>
  <c r="I90" i="9" s="1"/>
  <c r="L29" i="9"/>
  <c r="I136" i="9"/>
  <c r="I137" i="9" s="1"/>
  <c r="J71" i="9"/>
  <c r="J72" i="9" s="1"/>
  <c r="I148" i="9"/>
  <c r="L21" i="9"/>
  <c r="L26" i="9"/>
  <c r="I37" i="9"/>
  <c r="I40" i="9" s="1"/>
  <c r="H157" i="9"/>
  <c r="H159" i="9" s="1"/>
  <c r="K18" i="9"/>
  <c r="K69" i="9" s="1"/>
  <c r="K70" i="9" s="1"/>
  <c r="L23" i="9"/>
  <c r="I185" i="9"/>
  <c r="I187" i="9" s="1"/>
  <c r="K17" i="9"/>
  <c r="I155" i="9"/>
  <c r="J79" i="9"/>
  <c r="H149" i="9"/>
  <c r="K172" i="9"/>
  <c r="K195" i="9" s="1"/>
  <c r="K88" i="9"/>
  <c r="K89" i="9" s="1"/>
  <c r="K178" i="9" s="1"/>
  <c r="K182" i="9" s="1"/>
  <c r="G53" i="9"/>
  <c r="K52" i="9"/>
  <c r="L52" i="9" s="1"/>
  <c r="H53" i="9" s="1"/>
  <c r="J52" i="9"/>
  <c r="L24" i="9"/>
  <c r="K77" i="9"/>
  <c r="K78" i="9" s="1"/>
  <c r="K130" i="9"/>
  <c r="H139" i="9"/>
  <c r="H140" i="9" s="1"/>
  <c r="L17" i="9"/>
  <c r="J146" i="9"/>
  <c r="K63" i="9"/>
  <c r="K64" i="9" s="1"/>
  <c r="I82" i="9"/>
  <c r="I83" i="9" s="1"/>
  <c r="I174" i="9" s="1"/>
  <c r="J80" i="9"/>
  <c r="J9" i="9"/>
  <c r="J169" i="9"/>
  <c r="J39" i="9"/>
  <c r="J143" i="9"/>
  <c r="K7" i="9"/>
  <c r="J42" i="9"/>
  <c r="J134" i="9" s="1"/>
  <c r="J112" i="9"/>
  <c r="J62" i="7"/>
  <c r="J63" i="7" s="1"/>
  <c r="J145" i="7" s="1"/>
  <c r="I86" i="7"/>
  <c r="H148" i="7"/>
  <c r="I70" i="7"/>
  <c r="H147" i="7"/>
  <c r="H81" i="7"/>
  <c r="H82" i="7" s="1"/>
  <c r="K59" i="7"/>
  <c r="K61" i="7" s="1"/>
  <c r="I78" i="7"/>
  <c r="H154" i="7"/>
  <c r="I77" i="7"/>
  <c r="J75" i="7"/>
  <c r="J77" i="7" s="1"/>
  <c r="J16" i="7"/>
  <c r="K16" i="7" s="1"/>
  <c r="L48" i="7"/>
  <c r="H49" i="7" s="1"/>
  <c r="I120" i="7"/>
  <c r="I132" i="7"/>
  <c r="I9" i="7"/>
  <c r="I38" i="7"/>
  <c r="I41" i="7"/>
  <c r="I133" i="7" s="1"/>
  <c r="I195" i="7" s="1"/>
  <c r="I36" i="7"/>
  <c r="H156" i="7"/>
  <c r="H135" i="7"/>
  <c r="H136" i="7" s="1"/>
  <c r="H138" i="7" s="1"/>
  <c r="H139" i="7" s="1"/>
  <c r="H193" i="7" s="1"/>
  <c r="G50" i="7"/>
  <c r="K49" i="7"/>
  <c r="J49" i="7"/>
  <c r="I121" i="7"/>
  <c r="J19" i="7"/>
  <c r="J121" i="7" s="1"/>
  <c r="L25" i="7"/>
  <c r="J122" i="7"/>
  <c r="K20" i="7"/>
  <c r="K128" i="7"/>
  <c r="J134" i="7"/>
  <c r="J129" i="7"/>
  <c r="L23" i="7"/>
  <c r="K28" i="7"/>
  <c r="L28" i="7" s="1"/>
  <c r="J132" i="7"/>
  <c r="J87" i="7" s="1"/>
  <c r="J88" i="7" s="1"/>
  <c r="J123" i="7"/>
  <c r="J124" i="7"/>
  <c r="J127" i="7"/>
  <c r="J125" i="7"/>
  <c r="I126" i="7"/>
  <c r="J24" i="7"/>
  <c r="I119" i="7"/>
  <c r="I68" i="7" s="1"/>
  <c r="I69" i="7" s="1"/>
  <c r="J17" i="7"/>
  <c r="K18" i="7"/>
  <c r="J120" i="7"/>
  <c r="K22" i="7"/>
  <c r="H189" i="7"/>
  <c r="H190" i="7" s="1"/>
  <c r="J7" i="7"/>
  <c r="I111" i="7"/>
  <c r="I142" i="7"/>
  <c r="I168" i="7"/>
  <c r="I105" i="12" l="1"/>
  <c r="I171" i="12"/>
  <c r="L63" i="12"/>
  <c r="L64" i="12" s="1"/>
  <c r="K146" i="12"/>
  <c r="K82" i="12"/>
  <c r="K83" i="12" s="1"/>
  <c r="K174" i="12" s="1"/>
  <c r="H162" i="12"/>
  <c r="H163" i="12" s="1"/>
  <c r="H164" i="12" s="1"/>
  <c r="I104" i="12"/>
  <c r="I107" i="12" s="1"/>
  <c r="K173" i="12"/>
  <c r="K196" i="12" s="1"/>
  <c r="K136" i="12"/>
  <c r="K137" i="12" s="1"/>
  <c r="K149" i="12"/>
  <c r="L87" i="12"/>
  <c r="L90" i="12" s="1"/>
  <c r="L149" i="12" s="1"/>
  <c r="G54" i="12"/>
  <c r="K53" i="12"/>
  <c r="L53" i="12" s="1"/>
  <c r="H54" i="12" s="1"/>
  <c r="J53" i="12"/>
  <c r="J139" i="12"/>
  <c r="J140" i="12" s="1"/>
  <c r="H194" i="12"/>
  <c r="H175" i="12"/>
  <c r="H189" i="12" s="1"/>
  <c r="H191" i="12" s="1"/>
  <c r="J157" i="12"/>
  <c r="J159" i="12" s="1"/>
  <c r="K37" i="12"/>
  <c r="K40" i="12" s="1"/>
  <c r="K185" i="12"/>
  <c r="K187" i="12" s="1"/>
  <c r="L39" i="12"/>
  <c r="L185" i="12" s="1"/>
  <c r="L187" i="12" s="1"/>
  <c r="L112" i="12"/>
  <c r="L169" i="12"/>
  <c r="L42" i="12"/>
  <c r="L134" i="12" s="1"/>
  <c r="L9" i="12"/>
  <c r="L143" i="12"/>
  <c r="L129" i="10"/>
  <c r="I139" i="10"/>
  <c r="I140" i="10"/>
  <c r="L77" i="10"/>
  <c r="L78" i="10" s="1"/>
  <c r="L130" i="10"/>
  <c r="K77" i="10"/>
  <c r="K78" i="10" s="1"/>
  <c r="K130" i="10"/>
  <c r="L63" i="10"/>
  <c r="L64" i="10" s="1"/>
  <c r="K146" i="10"/>
  <c r="H149" i="10"/>
  <c r="I87" i="10"/>
  <c r="I90" i="10" s="1"/>
  <c r="L52" i="10"/>
  <c r="H53" i="10" s="1"/>
  <c r="G53" i="10"/>
  <c r="I155" i="10"/>
  <c r="J79" i="10"/>
  <c r="J80" i="10" s="1"/>
  <c r="I82" i="10"/>
  <c r="I83" i="10" s="1"/>
  <c r="I174" i="10" s="1"/>
  <c r="H105" i="10"/>
  <c r="H107" i="10" s="1"/>
  <c r="H171" i="10"/>
  <c r="L7" i="10"/>
  <c r="K39" i="10"/>
  <c r="K112" i="10"/>
  <c r="K143" i="10"/>
  <c r="K42" i="10"/>
  <c r="K134" i="10" s="1"/>
  <c r="K9" i="10"/>
  <c r="K169" i="10"/>
  <c r="K148" i="10"/>
  <c r="L71" i="10"/>
  <c r="L72" i="10" s="1"/>
  <c r="L148" i="10" s="1"/>
  <c r="J173" i="10"/>
  <c r="J196" i="10" s="1"/>
  <c r="J136" i="10"/>
  <c r="J137" i="10" s="1"/>
  <c r="I157" i="10"/>
  <c r="J37" i="10"/>
  <c r="J40" i="10" s="1"/>
  <c r="J185" i="10"/>
  <c r="J187" i="10" s="1"/>
  <c r="J185" i="9"/>
  <c r="J187" i="9" s="1"/>
  <c r="J155" i="9"/>
  <c r="K79" i="9"/>
  <c r="K71" i="9"/>
  <c r="J148" i="9"/>
  <c r="J82" i="9"/>
  <c r="J83" i="9" s="1"/>
  <c r="J174" i="9" s="1"/>
  <c r="K146" i="9"/>
  <c r="L63" i="9"/>
  <c r="L64" i="9" s="1"/>
  <c r="J173" i="9"/>
  <c r="J196" i="9" s="1"/>
  <c r="J136" i="9"/>
  <c r="J137" i="9" s="1"/>
  <c r="J37" i="9"/>
  <c r="J40" i="9" s="1"/>
  <c r="I157" i="9"/>
  <c r="I159" i="9" s="1"/>
  <c r="I149" i="9"/>
  <c r="J87" i="9"/>
  <c r="J90" i="9" s="1"/>
  <c r="H171" i="9"/>
  <c r="H105" i="9"/>
  <c r="H107" i="9" s="1"/>
  <c r="K9" i="9"/>
  <c r="K42" i="9"/>
  <c r="K134" i="9" s="1"/>
  <c r="K143" i="9"/>
  <c r="K39" i="9"/>
  <c r="L7" i="9"/>
  <c r="K112" i="9"/>
  <c r="K169" i="9"/>
  <c r="K80" i="9"/>
  <c r="I139" i="9"/>
  <c r="I140" i="9" s="1"/>
  <c r="K72" i="9"/>
  <c r="K82" i="9" s="1"/>
  <c r="K83" i="9" s="1"/>
  <c r="K174" i="9" s="1"/>
  <c r="K53" i="9"/>
  <c r="L53" i="9" s="1"/>
  <c r="H54" i="9" s="1"/>
  <c r="J53" i="9"/>
  <c r="G54" i="9"/>
  <c r="L172" i="9"/>
  <c r="L195" i="9" s="1"/>
  <c r="L88" i="9"/>
  <c r="L89" i="9" s="1"/>
  <c r="L178" i="9" s="1"/>
  <c r="L182" i="9" s="1"/>
  <c r="L18" i="9"/>
  <c r="L69" i="9" s="1"/>
  <c r="L70" i="9" s="1"/>
  <c r="L77" i="9"/>
  <c r="L78" i="9" s="1"/>
  <c r="L130" i="9"/>
  <c r="H144" i="7"/>
  <c r="H192" i="7" s="1"/>
  <c r="L59" i="7"/>
  <c r="L61" i="7" s="1"/>
  <c r="I194" i="7"/>
  <c r="I87" i="7"/>
  <c r="I88" i="7" s="1"/>
  <c r="K62" i="7"/>
  <c r="K63" i="7" s="1"/>
  <c r="L62" i="7" s="1"/>
  <c r="I71" i="7"/>
  <c r="I79" i="7"/>
  <c r="J78" i="7" s="1"/>
  <c r="J79" i="7" s="1"/>
  <c r="K75" i="7"/>
  <c r="L75" i="7" s="1"/>
  <c r="K123" i="7"/>
  <c r="K76" i="7"/>
  <c r="H158" i="7"/>
  <c r="H163" i="7" s="1"/>
  <c r="J118" i="7"/>
  <c r="L49" i="7"/>
  <c r="H50" i="7" s="1"/>
  <c r="I39" i="7"/>
  <c r="J36" i="7" s="1"/>
  <c r="I135" i="7"/>
  <c r="I136" i="7" s="1"/>
  <c r="I138" i="7" s="1"/>
  <c r="I139" i="7" s="1"/>
  <c r="I193" i="7" s="1"/>
  <c r="J9" i="7"/>
  <c r="J38" i="7"/>
  <c r="J41" i="7"/>
  <c r="J133" i="7" s="1"/>
  <c r="J195" i="7" s="1"/>
  <c r="G51" i="7"/>
  <c r="K50" i="7"/>
  <c r="J50" i="7"/>
  <c r="K125" i="7"/>
  <c r="K132" i="7"/>
  <c r="K19" i="7"/>
  <c r="L19" i="7" s="1"/>
  <c r="L18" i="7"/>
  <c r="K120" i="7"/>
  <c r="J119" i="7"/>
  <c r="J68" i="7" s="1"/>
  <c r="J69" i="7" s="1"/>
  <c r="K17" i="7"/>
  <c r="J194" i="7"/>
  <c r="J126" i="7"/>
  <c r="K24" i="7"/>
  <c r="K126" i="7" s="1"/>
  <c r="L128" i="7"/>
  <c r="K134" i="7"/>
  <c r="K129" i="7"/>
  <c r="L20" i="7"/>
  <c r="K122" i="7"/>
  <c r="K124" i="7"/>
  <c r="L22" i="7"/>
  <c r="K127" i="7"/>
  <c r="K118" i="7"/>
  <c r="L16" i="7"/>
  <c r="I189" i="7"/>
  <c r="I190" i="7" s="1"/>
  <c r="K7" i="7"/>
  <c r="J111" i="7"/>
  <c r="J168" i="7"/>
  <c r="J142" i="7"/>
  <c r="J105" i="12" l="1"/>
  <c r="J171" i="12"/>
  <c r="K54" i="12"/>
  <c r="L54" i="12" s="1"/>
  <c r="J54" i="12"/>
  <c r="K139" i="12"/>
  <c r="K140" i="12" s="1"/>
  <c r="H166" i="12"/>
  <c r="L173" i="12"/>
  <c r="L196" i="12" s="1"/>
  <c r="L136" i="12"/>
  <c r="L137" i="12" s="1"/>
  <c r="K157" i="12"/>
  <c r="K159" i="12" s="1"/>
  <c r="L37" i="12"/>
  <c r="L40" i="12" s="1"/>
  <c r="L157" i="12" s="1"/>
  <c r="L159" i="12" s="1"/>
  <c r="L146" i="12"/>
  <c r="L82" i="12"/>
  <c r="L83" i="12" s="1"/>
  <c r="L174" i="12" s="1"/>
  <c r="I194" i="12"/>
  <c r="I175" i="12"/>
  <c r="I189" i="12" s="1"/>
  <c r="J104" i="12"/>
  <c r="J107" i="12" s="1"/>
  <c r="I162" i="12"/>
  <c r="I163" i="12" s="1"/>
  <c r="I164" i="12" s="1"/>
  <c r="H145" i="12"/>
  <c r="H152" i="12" s="1"/>
  <c r="I190" i="12"/>
  <c r="H193" i="12"/>
  <c r="J139" i="10"/>
  <c r="J140" i="10"/>
  <c r="K173" i="10"/>
  <c r="K196" i="10" s="1"/>
  <c r="K136" i="10"/>
  <c r="K137" i="10" s="1"/>
  <c r="G54" i="10"/>
  <c r="L53" i="10"/>
  <c r="H54" i="10" s="1"/>
  <c r="H194" i="10"/>
  <c r="H175" i="10"/>
  <c r="H189" i="10" s="1"/>
  <c r="H191" i="10" s="1"/>
  <c r="L146" i="10"/>
  <c r="H162" i="10"/>
  <c r="H163" i="10" s="1"/>
  <c r="H164" i="10" s="1"/>
  <c r="I104" i="10"/>
  <c r="I107" i="10" s="1"/>
  <c r="L39" i="10"/>
  <c r="L112" i="10"/>
  <c r="L42" i="10"/>
  <c r="L134" i="10" s="1"/>
  <c r="L9" i="10"/>
  <c r="L169" i="10"/>
  <c r="L143" i="10"/>
  <c r="J157" i="10"/>
  <c r="K37" i="10"/>
  <c r="K40" i="10" s="1"/>
  <c r="K79" i="10"/>
  <c r="K80" i="10" s="1"/>
  <c r="J155" i="10"/>
  <c r="J159" i="10" s="1"/>
  <c r="J82" i="10"/>
  <c r="J83" i="10" s="1"/>
  <c r="J174" i="10" s="1"/>
  <c r="I105" i="10"/>
  <c r="I171" i="10"/>
  <c r="I149" i="10"/>
  <c r="J87" i="10"/>
  <c r="J90" i="10" s="1"/>
  <c r="K185" i="10"/>
  <c r="K187" i="10" s="1"/>
  <c r="I159" i="10"/>
  <c r="K185" i="9"/>
  <c r="K187" i="9" s="1"/>
  <c r="J157" i="9"/>
  <c r="K37" i="9"/>
  <c r="K40" i="9" s="1"/>
  <c r="K54" i="9"/>
  <c r="L54" i="9" s="1"/>
  <c r="J54" i="9"/>
  <c r="L9" i="9"/>
  <c r="L39" i="9"/>
  <c r="L112" i="9"/>
  <c r="L169" i="9"/>
  <c r="L143" i="9"/>
  <c r="L42" i="9"/>
  <c r="L134" i="9" s="1"/>
  <c r="J149" i="9"/>
  <c r="K87" i="9"/>
  <c r="K90" i="9" s="1"/>
  <c r="J139" i="9"/>
  <c r="J140" i="9" s="1"/>
  <c r="K155" i="9"/>
  <c r="L79" i="9"/>
  <c r="L80" i="9" s="1"/>
  <c r="L155" i="9" s="1"/>
  <c r="I105" i="9"/>
  <c r="I171" i="9"/>
  <c r="L71" i="9"/>
  <c r="L72" i="9" s="1"/>
  <c r="K148" i="9"/>
  <c r="K173" i="9"/>
  <c r="K196" i="9" s="1"/>
  <c r="K136" i="9"/>
  <c r="K137" i="9" s="1"/>
  <c r="H162" i="9"/>
  <c r="H163" i="9" s="1"/>
  <c r="H164" i="9" s="1"/>
  <c r="I104" i="9"/>
  <c r="J159" i="9"/>
  <c r="L146" i="9"/>
  <c r="H194" i="9"/>
  <c r="H175" i="9"/>
  <c r="H189" i="9" s="1"/>
  <c r="H191" i="9" s="1"/>
  <c r="H151" i="7"/>
  <c r="J189" i="7"/>
  <c r="J190" i="7" s="1"/>
  <c r="J144" i="7" s="1"/>
  <c r="I144" i="7"/>
  <c r="H165" i="7"/>
  <c r="L63" i="7"/>
  <c r="L145" i="7" s="1"/>
  <c r="I89" i="7"/>
  <c r="J86" i="7" s="1"/>
  <c r="J89" i="7" s="1"/>
  <c r="K194" i="7"/>
  <c r="K87" i="7"/>
  <c r="K88" i="7" s="1"/>
  <c r="K145" i="7"/>
  <c r="J70" i="7"/>
  <c r="J71" i="7" s="1"/>
  <c r="I147" i="7"/>
  <c r="I81" i="7"/>
  <c r="I82" i="7" s="1"/>
  <c r="K77" i="7"/>
  <c r="I154" i="7"/>
  <c r="L132" i="7"/>
  <c r="L76" i="7"/>
  <c r="L77" i="7" s="1"/>
  <c r="K78" i="7"/>
  <c r="J154" i="7"/>
  <c r="L50" i="7"/>
  <c r="H51" i="7" s="1"/>
  <c r="J39" i="7"/>
  <c r="J156" i="7" s="1"/>
  <c r="I156" i="7"/>
  <c r="G52" i="7"/>
  <c r="K51" i="7"/>
  <c r="J51" i="7"/>
  <c r="K9" i="7"/>
  <c r="K38" i="7"/>
  <c r="K41" i="7"/>
  <c r="K133" i="7" s="1"/>
  <c r="K195" i="7" s="1"/>
  <c r="J135" i="7"/>
  <c r="J136" i="7" s="1"/>
  <c r="J138" i="7" s="1"/>
  <c r="J139" i="7" s="1"/>
  <c r="J193" i="7" s="1"/>
  <c r="K121" i="7"/>
  <c r="L127" i="7"/>
  <c r="L125" i="7"/>
  <c r="L118" i="7"/>
  <c r="L122" i="7"/>
  <c r="L24" i="7"/>
  <c r="L126" i="7" s="1"/>
  <c r="L124" i="7"/>
  <c r="L17" i="7"/>
  <c r="L119" i="7" s="1"/>
  <c r="L68" i="7" s="1"/>
  <c r="L69" i="7" s="1"/>
  <c r="K119" i="7"/>
  <c r="K68" i="7" s="1"/>
  <c r="K69" i="7" s="1"/>
  <c r="L134" i="7"/>
  <c r="L129" i="7"/>
  <c r="L123" i="7"/>
  <c r="L121" i="7"/>
  <c r="L120" i="7"/>
  <c r="I192" i="7"/>
  <c r="L7" i="7"/>
  <c r="K111" i="7"/>
  <c r="K142" i="7"/>
  <c r="K168" i="7"/>
  <c r="K105" i="12" l="1"/>
  <c r="K171" i="12"/>
  <c r="J194" i="12"/>
  <c r="J175" i="12"/>
  <c r="J189" i="12" s="1"/>
  <c r="K104" i="12"/>
  <c r="K107" i="12" s="1"/>
  <c r="J162" i="12"/>
  <c r="J163" i="12" s="1"/>
  <c r="J164" i="12" s="1"/>
  <c r="L139" i="12"/>
  <c r="L140" i="12" s="1"/>
  <c r="I191" i="12"/>
  <c r="K155" i="10"/>
  <c r="L79" i="10"/>
  <c r="L80" i="10" s="1"/>
  <c r="K82" i="10"/>
  <c r="K83" i="10" s="1"/>
  <c r="K174" i="10" s="1"/>
  <c r="K139" i="10"/>
  <c r="K140" i="10" s="1"/>
  <c r="I162" i="10"/>
  <c r="I163" i="10" s="1"/>
  <c r="I164" i="10" s="1"/>
  <c r="J104" i="10"/>
  <c r="I190" i="10"/>
  <c r="H145" i="10"/>
  <c r="H152" i="10" s="1"/>
  <c r="H166" i="10" s="1"/>
  <c r="K157" i="10"/>
  <c r="L37" i="10"/>
  <c r="L40" i="10" s="1"/>
  <c r="L157" i="10" s="1"/>
  <c r="L54" i="10"/>
  <c r="L173" i="10"/>
  <c r="L196" i="10" s="1"/>
  <c r="L136" i="10"/>
  <c r="L137" i="10" s="1"/>
  <c r="L185" i="10"/>
  <c r="L187" i="10" s="1"/>
  <c r="J105" i="10"/>
  <c r="J171" i="10"/>
  <c r="I194" i="10"/>
  <c r="I175" i="10"/>
  <c r="I189" i="10" s="1"/>
  <c r="J149" i="10"/>
  <c r="K87" i="10"/>
  <c r="K90" i="10" s="1"/>
  <c r="I107" i="9"/>
  <c r="J104" i="9" s="1"/>
  <c r="L148" i="9"/>
  <c r="L82" i="9"/>
  <c r="L83" i="9" s="1"/>
  <c r="L174" i="9" s="1"/>
  <c r="L173" i="9"/>
  <c r="L196" i="9" s="1"/>
  <c r="L136" i="9"/>
  <c r="L137" i="9" s="1"/>
  <c r="K139" i="9"/>
  <c r="K140" i="9" s="1"/>
  <c r="L185" i="9"/>
  <c r="L187" i="9" s="1"/>
  <c r="K149" i="9"/>
  <c r="L87" i="9"/>
  <c r="L90" i="9" s="1"/>
  <c r="L149" i="9" s="1"/>
  <c r="I194" i="9"/>
  <c r="I175" i="9"/>
  <c r="I189" i="9" s="1"/>
  <c r="K157" i="9"/>
  <c r="L37" i="9"/>
  <c r="L40" i="9" s="1"/>
  <c r="L157" i="9" s="1"/>
  <c r="L159" i="9" s="1"/>
  <c r="K159" i="9"/>
  <c r="I190" i="9"/>
  <c r="H145" i="9"/>
  <c r="H152" i="9" s="1"/>
  <c r="H166" i="9" s="1"/>
  <c r="J171" i="9"/>
  <c r="J105" i="9"/>
  <c r="J192" i="7"/>
  <c r="K189" i="7"/>
  <c r="K190" i="7" s="1"/>
  <c r="K144" i="7" s="1"/>
  <c r="I148" i="7"/>
  <c r="I151" i="7" s="1"/>
  <c r="L194" i="7"/>
  <c r="L87" i="7"/>
  <c r="L88" i="7" s="1"/>
  <c r="K86" i="7"/>
  <c r="K89" i="7" s="1"/>
  <c r="J148" i="7"/>
  <c r="K70" i="7"/>
  <c r="K71" i="7" s="1"/>
  <c r="J147" i="7"/>
  <c r="J81" i="7"/>
  <c r="J82" i="7" s="1"/>
  <c r="I158" i="7"/>
  <c r="I163" i="7" s="1"/>
  <c r="K79" i="7"/>
  <c r="K154" i="7" s="1"/>
  <c r="J158" i="7"/>
  <c r="J163" i="7" s="1"/>
  <c r="L51" i="7"/>
  <c r="H52" i="7" s="1"/>
  <c r="K36" i="7"/>
  <c r="K39" i="7" s="1"/>
  <c r="K135" i="7"/>
  <c r="K136" i="7" s="1"/>
  <c r="K138" i="7" s="1"/>
  <c r="K139" i="7" s="1"/>
  <c r="K193" i="7" s="1"/>
  <c r="L9" i="7"/>
  <c r="L41" i="7"/>
  <c r="L133" i="7" s="1"/>
  <c r="L195" i="7" s="1"/>
  <c r="L38" i="7"/>
  <c r="G53" i="7"/>
  <c r="K52" i="7"/>
  <c r="J52" i="7"/>
  <c r="L189" i="7"/>
  <c r="L190" i="7" s="1"/>
  <c r="K192" i="7"/>
  <c r="L168" i="7"/>
  <c r="L111" i="7"/>
  <c r="L142" i="7"/>
  <c r="L105" i="12" l="1"/>
  <c r="L171" i="12"/>
  <c r="I145" i="12"/>
  <c r="I152" i="12" s="1"/>
  <c r="I166" i="12" s="1"/>
  <c r="I193" i="12"/>
  <c r="J190" i="12"/>
  <c r="L104" i="12"/>
  <c r="L107" i="12" s="1"/>
  <c r="L162" i="12" s="1"/>
  <c r="L163" i="12" s="1"/>
  <c r="L164" i="12" s="1"/>
  <c r="K162" i="12"/>
  <c r="K163" i="12" s="1"/>
  <c r="K164" i="12" s="1"/>
  <c r="J191" i="12"/>
  <c r="K194" i="12"/>
  <c r="K175" i="12"/>
  <c r="K189" i="12" s="1"/>
  <c r="J107" i="10"/>
  <c r="J162" i="10" s="1"/>
  <c r="J163" i="10" s="1"/>
  <c r="J164" i="10" s="1"/>
  <c r="K105" i="10"/>
  <c r="K171" i="10"/>
  <c r="H193" i="10"/>
  <c r="I191" i="10"/>
  <c r="L139" i="10"/>
  <c r="L140" i="10" s="1"/>
  <c r="L155" i="10"/>
  <c r="L159" i="10" s="1"/>
  <c r="L82" i="10"/>
  <c r="L83" i="10" s="1"/>
  <c r="L174" i="10" s="1"/>
  <c r="K149" i="10"/>
  <c r="L87" i="10"/>
  <c r="L90" i="10" s="1"/>
  <c r="L149" i="10" s="1"/>
  <c r="J194" i="10"/>
  <c r="J175" i="10"/>
  <c r="J189" i="10" s="1"/>
  <c r="K159" i="10"/>
  <c r="J107" i="9"/>
  <c r="I162" i="9"/>
  <c r="I163" i="9" s="1"/>
  <c r="I164" i="9" s="1"/>
  <c r="I191" i="9"/>
  <c r="J190" i="9" s="1"/>
  <c r="K171" i="9"/>
  <c r="K105" i="9"/>
  <c r="J194" i="9"/>
  <c r="J175" i="9"/>
  <c r="J189" i="9" s="1"/>
  <c r="K104" i="9"/>
  <c r="K107" i="9" s="1"/>
  <c r="J162" i="9"/>
  <c r="J163" i="9" s="1"/>
  <c r="J164" i="9" s="1"/>
  <c r="L139" i="9"/>
  <c r="L140" i="9" s="1"/>
  <c r="H193" i="9"/>
  <c r="L144" i="7"/>
  <c r="L192" i="7" s="1"/>
  <c r="L78" i="7"/>
  <c r="L79" i="7" s="1"/>
  <c r="L154" i="7" s="1"/>
  <c r="I165" i="7"/>
  <c r="J151" i="7"/>
  <c r="J165" i="7" s="1"/>
  <c r="L86" i="7"/>
  <c r="L89" i="7" s="1"/>
  <c r="L148" i="7" s="1"/>
  <c r="K148" i="7"/>
  <c r="L70" i="7"/>
  <c r="L71" i="7" s="1"/>
  <c r="K147" i="7"/>
  <c r="K81" i="7"/>
  <c r="K82" i="7" s="1"/>
  <c r="L52" i="7"/>
  <c r="H53" i="7" s="1"/>
  <c r="L135" i="7"/>
  <c r="L136" i="7" s="1"/>
  <c r="L138" i="7" s="1"/>
  <c r="L139" i="7" s="1"/>
  <c r="L193" i="7" s="1"/>
  <c r="K53" i="7"/>
  <c r="J53" i="7"/>
  <c r="L36" i="7"/>
  <c r="L39" i="7" s="1"/>
  <c r="L156" i="7" s="1"/>
  <c r="K156" i="7"/>
  <c r="K158" i="7" s="1"/>
  <c r="K163" i="7" s="1"/>
  <c r="K190" i="12" l="1"/>
  <c r="K191" i="12" s="1"/>
  <c r="J145" i="12"/>
  <c r="J152" i="12" s="1"/>
  <c r="J166" i="12" s="1"/>
  <c r="L194" i="12"/>
  <c r="L175" i="12"/>
  <c r="L189" i="12" s="1"/>
  <c r="K104" i="10"/>
  <c r="K107" i="10" s="1"/>
  <c r="L105" i="10"/>
  <c r="L171" i="10"/>
  <c r="L104" i="10"/>
  <c r="K162" i="10"/>
  <c r="K163" i="10" s="1"/>
  <c r="K164" i="10" s="1"/>
  <c r="K194" i="10"/>
  <c r="K175" i="10"/>
  <c r="K189" i="10" s="1"/>
  <c r="J190" i="10"/>
  <c r="J191" i="10" s="1"/>
  <c r="I145" i="10"/>
  <c r="I152" i="10" s="1"/>
  <c r="I166" i="10" s="1"/>
  <c r="I145" i="9"/>
  <c r="I152" i="9" s="1"/>
  <c r="I166" i="9" s="1"/>
  <c r="J191" i="9"/>
  <c r="K190" i="9" s="1"/>
  <c r="L171" i="9"/>
  <c r="L105" i="9"/>
  <c r="L104" i="9"/>
  <c r="L107" i="9" s="1"/>
  <c r="L162" i="9" s="1"/>
  <c r="L163" i="9" s="1"/>
  <c r="L164" i="9" s="1"/>
  <c r="K162" i="9"/>
  <c r="K163" i="9" s="1"/>
  <c r="K164" i="9" s="1"/>
  <c r="K194" i="9"/>
  <c r="K175" i="9"/>
  <c r="K189" i="9" s="1"/>
  <c r="L158" i="7"/>
  <c r="L163" i="7" s="1"/>
  <c r="K151" i="7"/>
  <c r="K165" i="7" s="1"/>
  <c r="L147" i="7"/>
  <c r="L151" i="7" s="1"/>
  <c r="L81" i="7"/>
  <c r="L82" i="7" s="1"/>
  <c r="L53" i="7"/>
  <c r="L190" i="12" l="1"/>
  <c r="K145" i="12"/>
  <c r="K152" i="12" s="1"/>
  <c r="K166" i="12" s="1"/>
  <c r="L191" i="12"/>
  <c r="J193" i="12"/>
  <c r="L107" i="10"/>
  <c r="L162" i="10" s="1"/>
  <c r="L163" i="10" s="1"/>
  <c r="L164" i="10" s="1"/>
  <c r="K190" i="10"/>
  <c r="J145" i="10"/>
  <c r="J152" i="10" s="1"/>
  <c r="J166" i="10" s="1"/>
  <c r="I193" i="10"/>
  <c r="L194" i="10"/>
  <c r="L175" i="10"/>
  <c r="L189" i="10" s="1"/>
  <c r="K191" i="10"/>
  <c r="I193" i="9"/>
  <c r="J145" i="9"/>
  <c r="J152" i="9" s="1"/>
  <c r="J166" i="9" s="1"/>
  <c r="K191" i="9"/>
  <c r="J193" i="9"/>
  <c r="L194" i="9"/>
  <c r="L175" i="9"/>
  <c r="L189" i="9" s="1"/>
  <c r="L165" i="7"/>
  <c r="L145" i="12" l="1"/>
  <c r="L152" i="12" s="1"/>
  <c r="L166" i="12" s="1"/>
  <c r="K193" i="12"/>
  <c r="L190" i="10"/>
  <c r="L191" i="10" s="1"/>
  <c r="K145" i="10"/>
  <c r="K152" i="10" s="1"/>
  <c r="K166" i="10" s="1"/>
  <c r="J193" i="10"/>
  <c r="L190" i="9"/>
  <c r="L191" i="9" s="1"/>
  <c r="K145" i="9"/>
  <c r="K152" i="9" s="1"/>
  <c r="K166" i="9" s="1"/>
  <c r="L193" i="12" l="1"/>
  <c r="L145" i="10"/>
  <c r="L152" i="10" s="1"/>
  <c r="L166" i="10" s="1"/>
  <c r="K193" i="10"/>
  <c r="L145" i="9"/>
  <c r="L152" i="9" s="1"/>
  <c r="L166" i="9" s="1"/>
  <c r="K193" i="9"/>
  <c r="L193" i="10" l="1"/>
  <c r="L193" i="9"/>
  <c r="D79" i="5" l="1"/>
  <c r="E79" i="5"/>
  <c r="C79" i="5"/>
  <c r="D56" i="5"/>
  <c r="E56" i="5"/>
  <c r="C56" i="5"/>
  <c r="D73" i="2"/>
  <c r="E73" i="2"/>
  <c r="C73" i="2"/>
  <c r="E93" i="5"/>
  <c r="D93" i="5"/>
  <c r="C93" i="5"/>
  <c r="E92" i="5"/>
  <c r="D92" i="5"/>
  <c r="C92" i="5"/>
  <c r="E84" i="5"/>
  <c r="D84" i="5"/>
  <c r="C84" i="5"/>
  <c r="E72" i="5"/>
  <c r="D72" i="5"/>
  <c r="C72" i="5"/>
  <c r="E60" i="5"/>
  <c r="D60" i="5"/>
  <c r="C60" i="5"/>
  <c r="E49" i="5"/>
  <c r="D49" i="5"/>
  <c r="C49" i="5"/>
  <c r="E33" i="5"/>
  <c r="D33" i="5"/>
  <c r="C33" i="5"/>
  <c r="E26" i="5"/>
  <c r="D26" i="5"/>
  <c r="C26" i="5"/>
  <c r="E13" i="5"/>
  <c r="D13" i="5"/>
  <c r="C13" i="5"/>
  <c r="E79" i="4"/>
  <c r="D79" i="4"/>
  <c r="C79" i="4"/>
  <c r="E71" i="4"/>
  <c r="D71" i="4"/>
  <c r="C71" i="4"/>
  <c r="E67" i="4"/>
  <c r="D67" i="4"/>
  <c r="C67" i="4"/>
  <c r="E56" i="4"/>
  <c r="D56" i="4"/>
  <c r="C56" i="4"/>
  <c r="E52" i="4"/>
  <c r="D52" i="4"/>
  <c r="C52" i="4"/>
  <c r="E48" i="4"/>
  <c r="D48" i="4"/>
  <c r="C48" i="4"/>
  <c r="E35" i="4"/>
  <c r="D35" i="4"/>
  <c r="C35" i="4"/>
  <c r="E28" i="4"/>
  <c r="D28" i="4"/>
  <c r="C28" i="4"/>
  <c r="E17" i="4"/>
  <c r="D17" i="4"/>
  <c r="C17" i="4"/>
  <c r="E86" i="3"/>
  <c r="D86" i="3"/>
  <c r="C86" i="3"/>
  <c r="E85" i="3"/>
  <c r="D85" i="3"/>
  <c r="C85" i="3"/>
  <c r="E77" i="3"/>
  <c r="D77" i="3"/>
  <c r="C77" i="3"/>
  <c r="E72" i="3"/>
  <c r="D72" i="3"/>
  <c r="C72" i="3"/>
  <c r="E68" i="3"/>
  <c r="D68" i="3"/>
  <c r="C68" i="3"/>
  <c r="E56" i="3"/>
  <c r="D56" i="3"/>
  <c r="C56" i="3"/>
  <c r="E52" i="3"/>
  <c r="D52" i="3"/>
  <c r="C52" i="3"/>
  <c r="E46" i="3"/>
  <c r="D46" i="3"/>
  <c r="C46" i="3"/>
  <c r="E32" i="3"/>
  <c r="D32" i="3"/>
  <c r="C32" i="3"/>
  <c r="E25" i="3"/>
  <c r="D25" i="3"/>
  <c r="C25" i="3"/>
  <c r="E12" i="3"/>
  <c r="D12" i="3"/>
  <c r="D26" i="3" s="1"/>
  <c r="D33" i="3" s="1"/>
  <c r="D36" i="3" s="1"/>
  <c r="D84" i="3" s="1"/>
  <c r="C12" i="3"/>
  <c r="E87" i="2"/>
  <c r="D87" i="2"/>
  <c r="C87" i="2"/>
  <c r="E86" i="2"/>
  <c r="D86" i="2"/>
  <c r="C86" i="2"/>
  <c r="E78" i="2"/>
  <c r="D78" i="2"/>
  <c r="C78" i="2"/>
  <c r="E68" i="2"/>
  <c r="D68" i="2"/>
  <c r="C68" i="2"/>
  <c r="E56" i="2"/>
  <c r="D56" i="2"/>
  <c r="C56" i="2"/>
  <c r="E52" i="2"/>
  <c r="D52" i="2"/>
  <c r="C52" i="2"/>
  <c r="E46" i="2"/>
  <c r="D46" i="2"/>
  <c r="C46" i="2"/>
  <c r="E32" i="2"/>
  <c r="D32" i="2"/>
  <c r="C32" i="2"/>
  <c r="E25" i="2"/>
  <c r="D25" i="2"/>
  <c r="C25" i="2"/>
  <c r="E12" i="2"/>
  <c r="D12" i="2"/>
  <c r="C12" i="2"/>
  <c r="E87" i="1"/>
  <c r="D87" i="1"/>
  <c r="C87" i="1"/>
  <c r="E86" i="1"/>
  <c r="D86" i="1"/>
  <c r="C86" i="1"/>
  <c r="E78" i="1"/>
  <c r="D78" i="1"/>
  <c r="C78" i="1"/>
  <c r="E73" i="1"/>
  <c r="D73" i="1"/>
  <c r="C73" i="1"/>
  <c r="E68" i="1"/>
  <c r="D68" i="1"/>
  <c r="C68" i="1"/>
  <c r="E56" i="1"/>
  <c r="D56" i="1"/>
  <c r="C56" i="1"/>
  <c r="E52" i="1"/>
  <c r="D52" i="1"/>
  <c r="C52" i="1"/>
  <c r="E46" i="1"/>
  <c r="D46" i="1"/>
  <c r="C46" i="1"/>
  <c r="E32" i="1"/>
  <c r="D32" i="1"/>
  <c r="C32" i="1"/>
  <c r="E25" i="1"/>
  <c r="D25" i="1"/>
  <c r="C25" i="1"/>
  <c r="E12" i="1"/>
  <c r="D12" i="1"/>
  <c r="C12" i="1"/>
  <c r="E73" i="4" l="1"/>
  <c r="C61" i="5"/>
  <c r="C63" i="5" s="1"/>
  <c r="C26" i="3"/>
  <c r="D26" i="1"/>
  <c r="D33" i="1" s="1"/>
  <c r="D36" i="1" s="1"/>
  <c r="D85" i="1" s="1"/>
  <c r="D73" i="4"/>
  <c r="C26" i="1"/>
  <c r="C33" i="1" s="1"/>
  <c r="C36" i="1" s="1"/>
  <c r="C85" i="1" s="1"/>
  <c r="E57" i="2"/>
  <c r="D57" i="3"/>
  <c r="D59" i="3" s="1"/>
  <c r="C57" i="4"/>
  <c r="C59" i="4" s="1"/>
  <c r="C86" i="5"/>
  <c r="C88" i="5" s="1"/>
  <c r="C90" i="5" s="1"/>
  <c r="C33" i="3"/>
  <c r="C36" i="3" s="1"/>
  <c r="C84" i="3" s="1"/>
  <c r="E26" i="3"/>
  <c r="E33" i="3" s="1"/>
  <c r="E36" i="3" s="1"/>
  <c r="E84" i="3" s="1"/>
  <c r="C73" i="4"/>
  <c r="C75" i="4" s="1"/>
  <c r="D74" i="4" s="1"/>
  <c r="E79" i="3"/>
  <c r="D57" i="1"/>
  <c r="D59" i="1" s="1"/>
  <c r="E57" i="1"/>
  <c r="E59" i="1" s="1"/>
  <c r="D57" i="2"/>
  <c r="D59" i="2" s="1"/>
  <c r="D57" i="4"/>
  <c r="D59" i="4" s="1"/>
  <c r="E57" i="4"/>
  <c r="E59" i="4" s="1"/>
  <c r="D29" i="4"/>
  <c r="D36" i="4" s="1"/>
  <c r="D39" i="4" s="1"/>
  <c r="D78" i="4" s="1"/>
  <c r="C79" i="3"/>
  <c r="C81" i="3" s="1"/>
  <c r="D80" i="3" s="1"/>
  <c r="C57" i="3"/>
  <c r="C59" i="3" s="1"/>
  <c r="E59" i="2"/>
  <c r="C80" i="1"/>
  <c r="C82" i="1" s="1"/>
  <c r="D81" i="1" s="1"/>
  <c r="D80" i="1"/>
  <c r="D86" i="5"/>
  <c r="D61" i="5"/>
  <c r="D63" i="5" s="1"/>
  <c r="C27" i="5"/>
  <c r="C34" i="5" s="1"/>
  <c r="C37" i="5" s="1"/>
  <c r="C91" i="5" s="1"/>
  <c r="D27" i="5"/>
  <c r="D34" i="5" s="1"/>
  <c r="D37" i="5" s="1"/>
  <c r="D91" i="5" s="1"/>
  <c r="E27" i="5"/>
  <c r="E34" i="5" s="1"/>
  <c r="E37" i="5" s="1"/>
  <c r="E91" i="5" s="1"/>
  <c r="E61" i="5"/>
  <c r="E63" i="5" s="1"/>
  <c r="E29" i="4"/>
  <c r="E36" i="4" s="1"/>
  <c r="E39" i="4" s="1"/>
  <c r="E78" i="4" s="1"/>
  <c r="E57" i="3"/>
  <c r="E59" i="3" s="1"/>
  <c r="D79" i="3"/>
  <c r="D80" i="2"/>
  <c r="C57" i="2"/>
  <c r="C26" i="2"/>
  <c r="C33" i="2" s="1"/>
  <c r="C36" i="2" s="1"/>
  <c r="C85" i="2" s="1"/>
  <c r="D26" i="2"/>
  <c r="C59" i="2"/>
  <c r="E80" i="2"/>
  <c r="C80" i="2"/>
  <c r="C82" i="2" s="1"/>
  <c r="D81" i="2" s="1"/>
  <c r="D33" i="2"/>
  <c r="D36" i="2" s="1"/>
  <c r="D85" i="2" s="1"/>
  <c r="C57" i="1"/>
  <c r="C59" i="1" s="1"/>
  <c r="E26" i="1"/>
  <c r="E33" i="1" s="1"/>
  <c r="E36" i="1" s="1"/>
  <c r="E85" i="1" s="1"/>
  <c r="E86" i="5"/>
  <c r="E80" i="1"/>
  <c r="E26" i="2"/>
  <c r="E33" i="2" s="1"/>
  <c r="E36" i="2" s="1"/>
  <c r="E85" i="2" s="1"/>
  <c r="C29" i="4"/>
  <c r="C36" i="4" s="1"/>
  <c r="C39" i="4" s="1"/>
  <c r="C78" i="4" s="1"/>
  <c r="D75" i="4" l="1"/>
  <c r="D77" i="4" s="1"/>
  <c r="D87" i="5"/>
  <c r="D88" i="5" s="1"/>
  <c r="C83" i="3"/>
  <c r="D82" i="1"/>
  <c r="E81" i="1" s="1"/>
  <c r="E82" i="1" s="1"/>
  <c r="E84" i="1" s="1"/>
  <c r="C77" i="4"/>
  <c r="D81" i="3"/>
  <c r="C84" i="1"/>
  <c r="D82" i="2"/>
  <c r="D84" i="2" s="1"/>
  <c r="C84" i="2"/>
  <c r="E80" i="3"/>
  <c r="E81" i="3" s="1"/>
  <c r="E83" i="3" s="1"/>
  <c r="D83" i="3"/>
  <c r="E74" i="4" l="1"/>
  <c r="E75" i="4" s="1"/>
  <c r="E77" i="4" s="1"/>
  <c r="D84" i="1"/>
  <c r="D90" i="5"/>
  <c r="E87" i="5"/>
  <c r="E88" i="5" s="1"/>
  <c r="E90" i="5" s="1"/>
  <c r="E81" i="2"/>
  <c r="E82" i="2" s="1"/>
  <c r="E8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<sst xmlns="http://schemas.openxmlformats.org/spreadsheetml/2006/main" count="2670" uniqueCount="355">
  <si>
    <t>FY2020</t>
  </si>
  <si>
    <t>FY2021</t>
  </si>
  <si>
    <t>FY2022</t>
  </si>
  <si>
    <t>Income Statement</t>
  </si>
  <si>
    <t>Reveneue</t>
  </si>
  <si>
    <t>Cost of Sales</t>
  </si>
  <si>
    <t>Gross Profit</t>
  </si>
  <si>
    <t>Expenses</t>
  </si>
  <si>
    <t>Salaries and Benefits</t>
  </si>
  <si>
    <t>Supplies</t>
  </si>
  <si>
    <t>Hired Services</t>
  </si>
  <si>
    <t>Repairs and Maintenance</t>
  </si>
  <si>
    <t>Facility Leases</t>
  </si>
  <si>
    <t>Equipment Rent</t>
  </si>
  <si>
    <t>Insurance</t>
  </si>
  <si>
    <t>Advertising and Marketing</t>
  </si>
  <si>
    <t>Utilities</t>
  </si>
  <si>
    <t>Other</t>
  </si>
  <si>
    <t>Total Operating Expenses</t>
  </si>
  <si>
    <t>Otner non-operating expenses</t>
  </si>
  <si>
    <t>EBITDA</t>
  </si>
  <si>
    <t>Depreciation &amp; Amortization</t>
  </si>
  <si>
    <t>Interest</t>
  </si>
  <si>
    <t>Total Non-Operating Expenses</t>
  </si>
  <si>
    <t>Earnings Before Tax</t>
  </si>
  <si>
    <t>Taxes</t>
  </si>
  <si>
    <t>Net Earnings</t>
  </si>
  <si>
    <t>Balance Sheet</t>
  </si>
  <si>
    <t>Assets</t>
  </si>
  <si>
    <t>Cash &amp; Cash equivalents</t>
  </si>
  <si>
    <t>Accounts Receivable</t>
  </si>
  <si>
    <t>Intercompany Receivables</t>
  </si>
  <si>
    <t>Inventory</t>
  </si>
  <si>
    <t>Property, Plant &amp; Equipment</t>
  </si>
  <si>
    <t>Total Assets</t>
  </si>
  <si>
    <t>Liabilities</t>
  </si>
  <si>
    <t>Accounts Payable</t>
  </si>
  <si>
    <t>Intercompany Payables</t>
  </si>
  <si>
    <t>Debt</t>
  </si>
  <si>
    <t>Total Liabilities</t>
  </si>
  <si>
    <t>Shareholder's Equity</t>
  </si>
  <si>
    <t>Equity Capital</t>
  </si>
  <si>
    <t>Retained Earnings</t>
  </si>
  <si>
    <t>Total Liabilities &amp; Shareholder's Equity</t>
  </si>
  <si>
    <t>Check</t>
  </si>
  <si>
    <t>Cash Flow Statement</t>
  </si>
  <si>
    <t>Operating Cash Flow</t>
  </si>
  <si>
    <t>Plus: Depreciation &amp; Amortization</t>
  </si>
  <si>
    <t>Plus: Interest</t>
  </si>
  <si>
    <t>Less: Changes in Working Capital</t>
  </si>
  <si>
    <t>Cash from Operations</t>
  </si>
  <si>
    <t>Investing Cash Flow</t>
  </si>
  <si>
    <t>Investments in Property &amp; Equipment</t>
  </si>
  <si>
    <t>Dividend payments</t>
  </si>
  <si>
    <t>Cash from Investing</t>
  </si>
  <si>
    <t>Financing Cash Flow</t>
  </si>
  <si>
    <t>Issuance (repayment) of debt</t>
  </si>
  <si>
    <t>Issuance (repayment) of equity</t>
  </si>
  <si>
    <t>Cash from Financing</t>
  </si>
  <si>
    <t>Net Increase (decrease) in Cash</t>
  </si>
  <si>
    <t>Opening Cash Balance</t>
  </si>
  <si>
    <t>Closing Cash Balance</t>
  </si>
  <si>
    <t>Check Cash</t>
  </si>
  <si>
    <t>Check NI</t>
  </si>
  <si>
    <t>Check DA</t>
  </si>
  <si>
    <t>Check Interest</t>
  </si>
  <si>
    <t>Minty Pipeline</t>
  </si>
  <si>
    <t>Minty Solids</t>
  </si>
  <si>
    <t>Materials</t>
  </si>
  <si>
    <t>External Services</t>
  </si>
  <si>
    <t>Maintenance</t>
  </si>
  <si>
    <t>Rent Expenses</t>
  </si>
  <si>
    <t>Utilities &amp; Servicing</t>
  </si>
  <si>
    <t>Other Expenses</t>
  </si>
  <si>
    <t>Minty Holding</t>
  </si>
  <si>
    <t>Otner non-operating income</t>
  </si>
  <si>
    <t>Goodwill</t>
  </si>
  <si>
    <t>Investments</t>
  </si>
  <si>
    <t>Acquisition of Goodwill</t>
  </si>
  <si>
    <t>Investment in subs</t>
  </si>
  <si>
    <t>USD'000</t>
  </si>
  <si>
    <t>RockCode Distributions</t>
  </si>
  <si>
    <t>Minty Group Entity</t>
  </si>
  <si>
    <t>Target Acquisition</t>
  </si>
  <si>
    <t>Minty Dev</t>
  </si>
  <si>
    <t>EBITDA Margin %</t>
  </si>
  <si>
    <t>Profit Margin %</t>
  </si>
  <si>
    <t>Other Liabilities</t>
  </si>
  <si>
    <t>Dividends Income / (Payment)</t>
  </si>
  <si>
    <t>Purchase Price</t>
  </si>
  <si>
    <t>At Close</t>
  </si>
  <si>
    <t>Deferred Purchase Price</t>
  </si>
  <si>
    <t>$10m in each of CY2024, CY2025 &amp; CY2026</t>
  </si>
  <si>
    <t>Corporate</t>
  </si>
  <si>
    <t>Minty</t>
  </si>
  <si>
    <t>ACTUAL</t>
  </si>
  <si>
    <t>FORECAST</t>
  </si>
  <si>
    <t>Notes</t>
  </si>
  <si>
    <t>Assumptions</t>
  </si>
  <si>
    <t>Income Statement Drivers</t>
  </si>
  <si>
    <t>Operating Expenses</t>
  </si>
  <si>
    <t>Growth %</t>
  </si>
  <si>
    <t>% of Operating Expenses</t>
  </si>
  <si>
    <t>Moving average (3)</t>
  </si>
  <si>
    <t>Non-operating Expenses</t>
  </si>
  <si>
    <t>Otner non-operating expense/(income)</t>
  </si>
  <si>
    <t>Debt Schedule</t>
  </si>
  <si>
    <t>% of Pre-tax income</t>
  </si>
  <si>
    <t>Opening Balance</t>
  </si>
  <si>
    <t>New Debt</t>
  </si>
  <si>
    <t>Debt Amortization</t>
  </si>
  <si>
    <t>Closing Balance</t>
  </si>
  <si>
    <t>Interest Expense</t>
  </si>
  <si>
    <t>Debt Repayment Schedule</t>
  </si>
  <si>
    <t>Principal Starting Balance</t>
  </si>
  <si>
    <t>Term (years)</t>
  </si>
  <si>
    <t>Start Date</t>
  </si>
  <si>
    <t>Year</t>
  </si>
  <si>
    <t>Period</t>
  </si>
  <si>
    <t>OB</t>
  </si>
  <si>
    <t>Repayment</t>
  </si>
  <si>
    <t>Principal</t>
  </si>
  <si>
    <t>CB</t>
  </si>
  <si>
    <t>New Debt Assumptions here</t>
  </si>
  <si>
    <t>Changelog</t>
  </si>
  <si>
    <t>Date</t>
  </si>
  <si>
    <t>Cash Conversion Cycle</t>
  </si>
  <si>
    <t>Days</t>
  </si>
  <si>
    <t>Accounts Receivable Days</t>
  </si>
  <si>
    <t>Revenue</t>
  </si>
  <si>
    <t>Average Balance</t>
  </si>
  <si>
    <t>Accounts Payable Days</t>
  </si>
  <si>
    <t>Operating Expenses (IS)</t>
  </si>
  <si>
    <t>Inventory Days</t>
  </si>
  <si>
    <t>Supplies (IS)</t>
  </si>
  <si>
    <t>Net Working Capital</t>
  </si>
  <si>
    <t>Change in Net Working Capital</t>
  </si>
  <si>
    <t>PPE Opening Balance</t>
  </si>
  <si>
    <t>Depreciation</t>
  </si>
  <si>
    <t>CAPEX</t>
  </si>
  <si>
    <t>PPE Closing Balance</t>
  </si>
  <si>
    <t>Goodwill OB</t>
  </si>
  <si>
    <t>Acquisitions</t>
  </si>
  <si>
    <t>Goodwill Closing Balance</t>
  </si>
  <si>
    <t>Equity Schedule</t>
  </si>
  <si>
    <t>Equity OB</t>
  </si>
  <si>
    <t>Issued Equity</t>
  </si>
  <si>
    <t>Equity CB</t>
  </si>
  <si>
    <t>Retained Earnings OB</t>
  </si>
  <si>
    <t>Current Result</t>
  </si>
  <si>
    <t>Dividend Payments</t>
  </si>
  <si>
    <t>Retained Earnings CB</t>
  </si>
  <si>
    <t>Remains the same</t>
  </si>
  <si>
    <t>PPE Schedule</t>
  </si>
  <si>
    <t>Goodwill Schedule</t>
  </si>
  <si>
    <t>Finalized Corporate model</t>
  </si>
  <si>
    <t>% of Revenue</t>
  </si>
  <si>
    <t>RockCode (Acquisition)</t>
  </si>
  <si>
    <t>Acquisition</t>
  </si>
  <si>
    <t>Total Purchase Price</t>
  </si>
  <si>
    <t>Purchase Price at Closing</t>
  </si>
  <si>
    <t>Amount to Fund via Debt (PP at Closing)</t>
  </si>
  <si>
    <t>Acquisition Price Split</t>
  </si>
  <si>
    <t>Assumed Split between PPE and Goodwill</t>
  </si>
  <si>
    <t>PPE</t>
  </si>
  <si>
    <t>Recognized investment</t>
  </si>
  <si>
    <t>Acquisition cost to split</t>
  </si>
  <si>
    <t>Cash Flow Statement Effect</t>
  </si>
  <si>
    <t>Payments during period</t>
  </si>
  <si>
    <t>Acquisition of PPE (cash)</t>
  </si>
  <si>
    <t>Acquisition of Goodwill (cash)</t>
  </si>
  <si>
    <t>Acquisition Summary</t>
  </si>
  <si>
    <t>Recognized Deferred Purchase Price</t>
  </si>
  <si>
    <t>Paid Deferred Purchase Price</t>
  </si>
  <si>
    <t>PPE Schedule, Acquisition Price Split</t>
  </si>
  <si>
    <t>Proforma View</t>
  </si>
  <si>
    <t>From Date of Acquisition View</t>
  </si>
  <si>
    <t>Settings</t>
  </si>
  <si>
    <t>Options:</t>
  </si>
  <si>
    <t>Date of Acquisition View</t>
  </si>
  <si>
    <t>Selected Option:</t>
  </si>
  <si>
    <t>Config</t>
  </si>
  <si>
    <t>Model Items</t>
  </si>
  <si>
    <t>Minty Holding (Corporate)</t>
  </si>
  <si>
    <t>on</t>
  </si>
  <si>
    <t>Core Business View</t>
  </si>
  <si>
    <t>Minty Dev, Minty Pipeline, Minty Solids</t>
  </si>
  <si>
    <t>Acquisitions Pipeline</t>
  </si>
  <si>
    <t>ASSUMPTIONS</t>
  </si>
  <si>
    <t>Ownership Assumptions</t>
  </si>
  <si>
    <t>Percentage of Partial Ownerships</t>
  </si>
  <si>
    <t>Ownership %</t>
  </si>
  <si>
    <t>New acquisitions</t>
  </si>
  <si>
    <t>Total acquisitions</t>
  </si>
  <si>
    <t>Average Annual Revenue</t>
  </si>
  <si>
    <t>Acquired Companies</t>
  </si>
  <si>
    <t>Companies in Year 1</t>
  </si>
  <si>
    <t>Companies in Year 2</t>
  </si>
  <si>
    <t>Companies in Year 3</t>
  </si>
  <si>
    <t>Companies in Year 4</t>
  </si>
  <si>
    <t>Companies in Year 5</t>
  </si>
  <si>
    <t>Companies in Year 6</t>
  </si>
  <si>
    <t>Companies in Year 7</t>
  </si>
  <si>
    <t>Revenue Growth</t>
  </si>
  <si>
    <t>Common Size</t>
  </si>
  <si>
    <t>Cost of Sales Assumptions</t>
  </si>
  <si>
    <t>Cost of Sales Common Size</t>
  </si>
  <si>
    <t>EBITDA Margin Growth</t>
  </si>
  <si>
    <t>Year 1</t>
  </si>
  <si>
    <t>Year 2</t>
  </si>
  <si>
    <t>Year 3</t>
  </si>
  <si>
    <t>Year 4</t>
  </si>
  <si>
    <t>Year 5</t>
  </si>
  <si>
    <t>EBITDA %</t>
  </si>
  <si>
    <t>Calculate Operating Expenses (prior to Transaction Costs)</t>
  </si>
  <si>
    <t>Operating Expenses (prior to Transaction Costs)</t>
  </si>
  <si>
    <t>Operating Expenses Assumptions</t>
  </si>
  <si>
    <t>Valuation Assumptions</t>
  </si>
  <si>
    <t>Average EBITDA per company</t>
  </si>
  <si>
    <t>EBITDA Multiple</t>
  </si>
  <si>
    <t>Purchase Price per company</t>
  </si>
  <si>
    <t>Purchase Price adjustment for Partial Ownerships</t>
  </si>
  <si>
    <t>Total purcahse price</t>
  </si>
  <si>
    <t>Debt Raised for Acquisitions</t>
  </si>
  <si>
    <t>EBITDA Multiple at Close</t>
  </si>
  <si>
    <t>At Close (to fund via debt)</t>
  </si>
  <si>
    <t>Transaction Expenses</t>
  </si>
  <si>
    <t>% of Total Purchase Price</t>
  </si>
  <si>
    <t>Deferred Consideration</t>
  </si>
  <si>
    <t>Years to split over</t>
  </si>
  <si>
    <t>Total New Deferred Consideration</t>
  </si>
  <si>
    <t>Deferred consideration paid out</t>
  </si>
  <si>
    <t>Acquisition Debt Schedule</t>
  </si>
  <si>
    <t>Term in years</t>
  </si>
  <si>
    <t>Amortization Percentage</t>
  </si>
  <si>
    <t>Annual Interest Rate</t>
  </si>
  <si>
    <t>Amortization % cascade</t>
  </si>
  <si>
    <t>Year 2023</t>
  </si>
  <si>
    <t>Year 2024</t>
  </si>
  <si>
    <t>Year 2025</t>
  </si>
  <si>
    <t>Year 2026</t>
  </si>
  <si>
    <t>Year 2027</t>
  </si>
  <si>
    <t>Interest % cascade</t>
  </si>
  <si>
    <t>Repayment Schedule Calculation</t>
  </si>
  <si>
    <t>Beginning Balance</t>
  </si>
  <si>
    <t>Amortization</t>
  </si>
  <si>
    <t>Ending Balance</t>
  </si>
  <si>
    <t>Cash Conversion Cycle Assumptions</t>
  </si>
  <si>
    <t>Receivables</t>
  </si>
  <si>
    <t>Payables</t>
  </si>
  <si>
    <t>Total Acquisition Cost</t>
  </si>
  <si>
    <t>CAPEX in Acquired companies (Growth)</t>
  </si>
  <si>
    <t>CAPEX per year</t>
  </si>
  <si>
    <t>Total CAPEX</t>
  </si>
  <si>
    <t>Average Depreciation Percentage</t>
  </si>
  <si>
    <t>Payments during the period</t>
  </si>
  <si>
    <t>Acquisition of PPE</t>
  </si>
  <si>
    <t>Goodwill CB</t>
  </si>
  <si>
    <t>Minty Tools</t>
  </si>
  <si>
    <t>Revenue (Core Business)</t>
  </si>
  <si>
    <t>RockCode Revenue</t>
  </si>
  <si>
    <t>Year 1 share of Revenue</t>
  </si>
  <si>
    <t>Ramp:</t>
  </si>
  <si>
    <t>Internal market share (mix)</t>
  </si>
  <si>
    <t>$ per client uplift %</t>
  </si>
  <si>
    <t>Total Mix and $ per client uplift</t>
  </si>
  <si>
    <t>Revenue Uplift</t>
  </si>
  <si>
    <t>EBITDA Margin % on Uplift</t>
  </si>
  <si>
    <t>EBITDA Uplift</t>
  </si>
  <si>
    <t>Calculate Operating Expenses</t>
  </si>
  <si>
    <t xml:space="preserve">Selected Scenario: </t>
  </si>
  <si>
    <t>Optimistic</t>
  </si>
  <si>
    <t>Realistic</t>
  </si>
  <si>
    <t>Revenue &amp; Margins</t>
  </si>
  <si>
    <t>Total Revenue</t>
  </si>
  <si>
    <t>RockCode:</t>
  </si>
  <si>
    <t>Minty Tools:</t>
  </si>
  <si>
    <t>Consolidated View</t>
  </si>
  <si>
    <t>Difference</t>
  </si>
  <si>
    <t>Total EBITDA</t>
  </si>
  <si>
    <t>Eliminations</t>
  </si>
  <si>
    <t>Intercompany Receivables (Corporate)</t>
  </si>
  <si>
    <t>Valuation</t>
  </si>
  <si>
    <t>Minty Group Business Valuation</t>
  </si>
  <si>
    <t>Core Business + Acquisitions</t>
  </si>
  <si>
    <t>Implied Enterprise Value</t>
  </si>
  <si>
    <t>Revenue Multiple</t>
  </si>
  <si>
    <t>Total Implied Enterprise Value</t>
  </si>
  <si>
    <t>Cash</t>
  </si>
  <si>
    <t>Total Implied Equity Value</t>
  </si>
  <si>
    <t>Revenue Step-up Chart</t>
  </si>
  <si>
    <t>Step</t>
  </si>
  <si>
    <t>Amount</t>
  </si>
  <si>
    <t>Blank</t>
  </si>
  <si>
    <t>Ends</t>
  </si>
  <si>
    <t>Up</t>
  </si>
  <si>
    <t>Totals</t>
  </si>
  <si>
    <t>Run rate CY2022</t>
  </si>
  <si>
    <t>Core Business Growth</t>
  </si>
  <si>
    <t>RockCode Acquisition</t>
  </si>
  <si>
    <t>Run rate CY2023</t>
  </si>
  <si>
    <t>Run rate CY2024</t>
  </si>
  <si>
    <t>Income Statement Assumptions</t>
  </si>
  <si>
    <t>Create a Debt schedule</t>
  </si>
  <si>
    <t>Create a Cash Conversion Cycle calculation (AR, INV, AP) + Net WC change</t>
  </si>
  <si>
    <t>Implemented overall 3-statement view</t>
  </si>
  <si>
    <t>Create PPE Schedule</t>
  </si>
  <si>
    <t>Goodwill &amp; Equity</t>
  </si>
  <si>
    <t>Link Cash Flow Statement to IS and BS + schedules</t>
  </si>
  <si>
    <r>
      <t xml:space="preserve">Replicate </t>
    </r>
    <r>
      <rPr>
        <b/>
        <u/>
        <sz val="8"/>
        <color rgb="FF000000"/>
        <rFont val="Arial"/>
        <family val="2"/>
      </rPr>
      <t>Corporate</t>
    </r>
    <r>
      <rPr>
        <sz val="8"/>
        <color rgb="FF000000"/>
        <rFont val="Arial"/>
        <family val="2"/>
      </rPr>
      <t xml:space="preserve"> model to </t>
    </r>
    <r>
      <rPr>
        <b/>
        <u/>
        <sz val="8"/>
        <color rgb="FF000000"/>
        <rFont val="Arial"/>
        <family val="2"/>
      </rPr>
      <t>Dev</t>
    </r>
    <r>
      <rPr>
        <sz val="8"/>
        <color rgb="FF000000"/>
        <rFont val="Arial"/>
        <family val="2"/>
      </rPr>
      <t xml:space="preserve"> model</t>
    </r>
  </si>
  <si>
    <t>Paste in historical financials</t>
  </si>
  <si>
    <t>Adjust Assumptions</t>
  </si>
  <si>
    <r>
      <t xml:space="preserve">Review and finalize </t>
    </r>
    <r>
      <rPr>
        <b/>
        <u/>
        <sz val="8"/>
        <color rgb="FF000000"/>
        <rFont val="Arial"/>
        <family val="2"/>
      </rPr>
      <t>Dev</t>
    </r>
    <r>
      <rPr>
        <sz val="8"/>
        <color rgb="FF000000"/>
        <rFont val="Arial"/>
        <family val="2"/>
      </rPr>
      <t xml:space="preserve"> model</t>
    </r>
  </si>
  <si>
    <r>
      <t xml:space="preserve">Replicate </t>
    </r>
    <r>
      <rPr>
        <b/>
        <u/>
        <sz val="8"/>
        <color rgb="FF000000"/>
        <rFont val="Arial"/>
        <family val="2"/>
      </rPr>
      <t>Dev</t>
    </r>
    <r>
      <rPr>
        <sz val="8"/>
        <color rgb="FF000000"/>
        <rFont val="Arial"/>
        <family val="2"/>
      </rPr>
      <t xml:space="preserve"> model to </t>
    </r>
    <r>
      <rPr>
        <b/>
        <u/>
        <sz val="8"/>
        <color rgb="FF000000"/>
        <rFont val="Arial"/>
        <family val="2"/>
      </rPr>
      <t>Pipeline</t>
    </r>
    <r>
      <rPr>
        <sz val="8"/>
        <color rgb="FF000000"/>
        <rFont val="Arial"/>
        <family val="2"/>
      </rPr>
      <t xml:space="preserve"> model</t>
    </r>
  </si>
  <si>
    <r>
      <t xml:space="preserve">Review and finalize </t>
    </r>
    <r>
      <rPr>
        <b/>
        <u/>
        <sz val="8"/>
        <color rgb="FF000000"/>
        <rFont val="Arial"/>
        <family val="2"/>
      </rPr>
      <t>Pipeline</t>
    </r>
    <r>
      <rPr>
        <sz val="8"/>
        <color rgb="FF000000"/>
        <rFont val="Arial"/>
        <family val="2"/>
      </rPr>
      <t xml:space="preserve"> model</t>
    </r>
  </si>
  <si>
    <r>
      <t xml:space="preserve">Replicate </t>
    </r>
    <r>
      <rPr>
        <b/>
        <u/>
        <sz val="8"/>
        <color rgb="FF000000"/>
        <rFont val="Arial"/>
        <family val="2"/>
      </rPr>
      <t>Dev</t>
    </r>
    <r>
      <rPr>
        <sz val="8"/>
        <color rgb="FF000000"/>
        <rFont val="Arial"/>
        <family val="2"/>
      </rPr>
      <t xml:space="preserve"> model to </t>
    </r>
    <r>
      <rPr>
        <b/>
        <u/>
        <sz val="8"/>
        <color rgb="FF000000"/>
        <rFont val="Arial"/>
        <family val="2"/>
      </rPr>
      <t>Solids</t>
    </r>
    <r>
      <rPr>
        <sz val="8"/>
        <color rgb="FF000000"/>
        <rFont val="Arial"/>
        <family val="2"/>
      </rPr>
      <t xml:space="preserve"> model</t>
    </r>
  </si>
  <si>
    <r>
      <t xml:space="preserve">Review and finalize </t>
    </r>
    <r>
      <rPr>
        <b/>
        <u/>
        <sz val="8"/>
        <color rgb="FF000000"/>
        <rFont val="Arial"/>
        <family val="2"/>
      </rPr>
      <t>Solids</t>
    </r>
    <r>
      <rPr>
        <sz val="8"/>
        <color rgb="FF000000"/>
        <rFont val="Arial"/>
        <family val="2"/>
      </rPr>
      <t xml:space="preserve"> model</t>
    </r>
  </si>
  <si>
    <r>
      <t xml:space="preserve">Replicate </t>
    </r>
    <r>
      <rPr>
        <b/>
        <u/>
        <sz val="8"/>
        <color rgb="FF000000"/>
        <rFont val="Arial"/>
        <family val="2"/>
      </rPr>
      <t>Dev</t>
    </r>
    <r>
      <rPr>
        <sz val="8"/>
        <color rgb="FF000000"/>
        <rFont val="Arial"/>
        <family val="2"/>
      </rPr>
      <t xml:space="preserve"> model to </t>
    </r>
    <r>
      <rPr>
        <b/>
        <u/>
        <sz val="8"/>
        <color rgb="FF000000"/>
        <rFont val="Arial"/>
        <family val="2"/>
      </rPr>
      <t>RockCodeAcq</t>
    </r>
    <r>
      <rPr>
        <sz val="8"/>
        <color rgb="FF000000"/>
        <rFont val="Arial"/>
        <family val="2"/>
      </rPr>
      <t xml:space="preserve"> model</t>
    </r>
  </si>
  <si>
    <r>
      <t xml:space="preserve">Add </t>
    </r>
    <r>
      <rPr>
        <b/>
        <sz val="8"/>
        <color rgb="FF000000"/>
        <rFont val="Arial"/>
        <family val="2"/>
      </rPr>
      <t>Acquisition</t>
    </r>
    <r>
      <rPr>
        <sz val="8"/>
        <color rgb="FF000000"/>
        <rFont val="Arial"/>
        <family val="2"/>
      </rPr>
      <t xml:space="preserve"> section</t>
    </r>
  </si>
  <si>
    <r>
      <t xml:space="preserve">Adjust assumptions for </t>
    </r>
    <r>
      <rPr>
        <b/>
        <sz val="8"/>
        <color rgb="FF000000"/>
        <rFont val="Arial"/>
        <family val="2"/>
      </rPr>
      <t>Debt</t>
    </r>
    <r>
      <rPr>
        <sz val="8"/>
        <color rgb="FF000000"/>
        <rFont val="Arial"/>
        <family val="2"/>
      </rPr>
      <t xml:space="preserve">, </t>
    </r>
    <r>
      <rPr>
        <b/>
        <sz val="8"/>
        <color rgb="FF000000"/>
        <rFont val="Arial"/>
        <family val="2"/>
      </rPr>
      <t>PPE</t>
    </r>
    <r>
      <rPr>
        <sz val="8"/>
        <color rgb="FF000000"/>
        <rFont val="Arial"/>
        <family val="2"/>
      </rPr>
      <t xml:space="preserve">, </t>
    </r>
    <r>
      <rPr>
        <b/>
        <sz val="8"/>
        <color rgb="FF000000"/>
        <rFont val="Arial"/>
        <family val="2"/>
      </rPr>
      <t>Goodwill</t>
    </r>
  </si>
  <si>
    <r>
      <t xml:space="preserve">Add </t>
    </r>
    <r>
      <rPr>
        <b/>
        <sz val="8"/>
        <color rgb="FF000000"/>
        <rFont val="Arial"/>
        <family val="2"/>
      </rPr>
      <t>Other Liabilities</t>
    </r>
    <r>
      <rPr>
        <sz val="8"/>
        <color rgb="FF000000"/>
        <rFont val="Arial"/>
        <family val="2"/>
      </rPr>
      <t xml:space="preserve"> schedule, link Debt, PPE, Goodwill into 3-statement model</t>
    </r>
  </si>
  <si>
    <r>
      <t xml:space="preserve">Add Combobox (dropdown) to select between </t>
    </r>
    <r>
      <rPr>
        <b/>
        <sz val="8"/>
        <color rgb="FF000000"/>
        <rFont val="Arial"/>
        <family val="2"/>
      </rPr>
      <t>Proforma View</t>
    </r>
    <r>
      <rPr>
        <sz val="8"/>
        <color rgb="FF000000"/>
        <rFont val="Arial"/>
        <family val="2"/>
      </rPr>
      <t xml:space="preserve"> and </t>
    </r>
    <r>
      <rPr>
        <b/>
        <sz val="8"/>
        <color rgb="FF000000"/>
        <rFont val="Arial"/>
        <family val="2"/>
      </rPr>
      <t>Date of Acquisition View</t>
    </r>
  </si>
  <si>
    <r>
      <t xml:space="preserve">Fixed </t>
    </r>
    <r>
      <rPr>
        <b/>
        <sz val="8"/>
        <color rgb="FF000000"/>
        <rFont val="Arial"/>
        <family val="2"/>
      </rPr>
      <t>Date of Acquisition View</t>
    </r>
  </si>
  <si>
    <r>
      <t xml:space="preserve">Review and finalize </t>
    </r>
    <r>
      <rPr>
        <b/>
        <u/>
        <sz val="8"/>
        <color rgb="FF000000"/>
        <rFont val="Arial"/>
        <family val="2"/>
      </rPr>
      <t>RockCodeAcq</t>
    </r>
    <r>
      <rPr>
        <sz val="8"/>
        <color rgb="FF000000"/>
        <rFont val="Arial"/>
        <family val="2"/>
      </rPr>
      <t xml:space="preserve"> model</t>
    </r>
  </si>
  <si>
    <r>
      <t xml:space="preserve">Add </t>
    </r>
    <r>
      <rPr>
        <b/>
        <u/>
        <sz val="8"/>
        <color rgb="FF000000"/>
        <rFont val="Arial"/>
        <family val="2"/>
      </rPr>
      <t>Config</t>
    </r>
    <r>
      <rPr>
        <sz val="8"/>
        <color rgb="FF000000"/>
        <rFont val="Arial"/>
        <family val="2"/>
      </rPr>
      <t xml:space="preserve"> tab &amp; </t>
    </r>
    <r>
      <rPr>
        <b/>
        <u/>
        <sz val="8"/>
        <color rgb="FF000000"/>
        <rFont val="Arial"/>
        <family val="2"/>
      </rPr>
      <t>CoreBusiness</t>
    </r>
    <r>
      <rPr>
        <sz val="8"/>
        <color rgb="FF000000"/>
        <rFont val="Arial"/>
        <family val="2"/>
      </rPr>
      <t xml:space="preserve"> summary 3-statement view</t>
    </r>
  </si>
  <si>
    <r>
      <t xml:space="preserve">Add </t>
    </r>
    <r>
      <rPr>
        <b/>
        <u/>
        <sz val="8"/>
        <color rgb="FF000000"/>
        <rFont val="Arial"/>
        <family val="2"/>
      </rPr>
      <t>AcqPipeline</t>
    </r>
    <r>
      <rPr>
        <sz val="8"/>
        <color rgb="FF000000"/>
        <rFont val="Arial"/>
        <family val="2"/>
      </rPr>
      <t xml:space="preserve"> - ownership assumptions, number of planned acquisitions and revenue</t>
    </r>
  </si>
  <si>
    <r>
      <t xml:space="preserve"> - Cost of sales, </t>
    </r>
    <r>
      <rPr>
        <b/>
        <u/>
        <sz val="8"/>
        <color rgb="FF000000"/>
        <rFont val="Arial"/>
        <family val="2"/>
      </rPr>
      <t>CommonSize</t>
    </r>
    <r>
      <rPr>
        <sz val="8"/>
        <color rgb="FF000000"/>
        <rFont val="Arial"/>
        <family val="2"/>
      </rPr>
      <t xml:space="preserve"> tab to calculate average COS % from </t>
    </r>
    <r>
      <rPr>
        <b/>
        <u/>
        <sz val="8"/>
        <color rgb="FF000000"/>
        <rFont val="Arial"/>
        <family val="2"/>
      </rPr>
      <t>CoreBusiness</t>
    </r>
  </si>
  <si>
    <r>
      <t xml:space="preserve"> - </t>
    </r>
    <r>
      <rPr>
        <b/>
        <u/>
        <sz val="8"/>
        <color rgb="FF000000"/>
        <rFont val="Arial"/>
        <family val="2"/>
      </rPr>
      <t>CommonSize</t>
    </r>
    <r>
      <rPr>
        <sz val="8"/>
        <color rgb="FF000000"/>
        <rFont val="Arial"/>
        <family val="2"/>
      </rPr>
      <t xml:space="preserve"> OpEx averages -&gt; calculate OpEx for </t>
    </r>
    <r>
      <rPr>
        <b/>
        <u/>
        <sz val="8"/>
        <color rgb="FF000000"/>
        <rFont val="Arial"/>
        <family val="2"/>
      </rPr>
      <t>AcqPipeline</t>
    </r>
  </si>
  <si>
    <t xml:space="preserve"> - Valuation Assumptions</t>
  </si>
  <si>
    <t xml:space="preserve"> - Cash Conversion Cycle + link</t>
  </si>
  <si>
    <t xml:space="preserve"> - Acquisition Debt Schedule + link</t>
  </si>
  <si>
    <t xml:space="preserve"> - calcualted the Acq price split, CAPEX assumptions, PPE + linking</t>
  </si>
  <si>
    <t xml:space="preserve"> - Goodwill, Other Liabilities &amp; Equity schedules</t>
  </si>
  <si>
    <r>
      <t xml:space="preserve">Started work on the </t>
    </r>
    <r>
      <rPr>
        <b/>
        <u/>
        <sz val="8"/>
        <color rgb="FF000000"/>
        <rFont val="Arial"/>
        <family val="2"/>
      </rPr>
      <t>MintyTools</t>
    </r>
    <r>
      <rPr>
        <sz val="8"/>
        <color rgb="FF000000"/>
        <rFont val="Arial"/>
        <family val="2"/>
      </rPr>
      <t xml:space="preserve"> model</t>
    </r>
  </si>
  <si>
    <t xml:space="preserve"> - Built out the revenue, EBITDA, OpEx assumptions</t>
  </si>
  <si>
    <r>
      <t xml:space="preserve">Fixed </t>
    </r>
    <r>
      <rPr>
        <b/>
        <u/>
        <sz val="8"/>
        <color theme="5" tint="-0.249977111117893"/>
        <rFont val="Arial"/>
        <family val="2"/>
      </rPr>
      <t>AcqPipeline</t>
    </r>
    <r>
      <rPr>
        <sz val="8"/>
        <color theme="5" tint="-0.249977111117893"/>
        <rFont val="Arial"/>
        <family val="2"/>
      </rPr>
      <t xml:space="preserve"> to have </t>
    </r>
    <r>
      <rPr>
        <b/>
        <sz val="8"/>
        <color theme="5" tint="-0.249977111117893"/>
        <rFont val="Arial"/>
        <family val="2"/>
      </rPr>
      <t>Taxes</t>
    </r>
  </si>
  <si>
    <t>MintyTools</t>
  </si>
  <si>
    <t xml:space="preserve"> - Cash Conversion Cycle, PPE &amp; Equity schedules</t>
  </si>
  <si>
    <t xml:space="preserve"> - Add dropdown for Realist and Optimistic scenarios (different revenue uplift assumptions)</t>
  </si>
  <si>
    <r>
      <t xml:space="preserve">Created the </t>
    </r>
    <r>
      <rPr>
        <b/>
        <u/>
        <sz val="8"/>
        <color rgb="FF000000"/>
        <rFont val="Arial"/>
        <family val="2"/>
      </rPr>
      <t>Revenue &amp; Margins</t>
    </r>
    <r>
      <rPr>
        <sz val="8"/>
        <color rgb="FF000000"/>
        <rFont val="Arial"/>
        <family val="2"/>
      </rPr>
      <t xml:space="preserve"> tab</t>
    </r>
  </si>
  <si>
    <r>
      <t xml:space="preserve">Created the </t>
    </r>
    <r>
      <rPr>
        <b/>
        <u/>
        <sz val="8"/>
        <color rgb="FF000000"/>
        <rFont val="Arial"/>
        <family val="2"/>
      </rPr>
      <t>ConsoView</t>
    </r>
    <r>
      <rPr>
        <sz val="8"/>
        <color rgb="FF000000"/>
        <rFont val="Arial"/>
        <family val="2"/>
      </rPr>
      <t xml:space="preserve"> and the Eliminations tab</t>
    </r>
  </si>
  <si>
    <r>
      <t xml:space="preserve">Created the </t>
    </r>
    <r>
      <rPr>
        <b/>
        <u/>
        <sz val="8"/>
        <color rgb="FF000000"/>
        <rFont val="Arial"/>
        <family val="2"/>
      </rPr>
      <t>Valuation</t>
    </r>
    <r>
      <rPr>
        <sz val="8"/>
        <color rgb="FF000000"/>
        <rFont val="Arial"/>
        <family val="2"/>
      </rPr>
      <t xml:space="preserve"> tab</t>
    </r>
  </si>
  <si>
    <r>
      <t xml:space="preserve">Created the </t>
    </r>
    <r>
      <rPr>
        <b/>
        <u/>
        <sz val="8"/>
        <color rgb="FF000000"/>
        <rFont val="Arial"/>
        <family val="2"/>
      </rPr>
      <t>RevStepUp</t>
    </r>
    <r>
      <rPr>
        <sz val="8"/>
        <color rgb="FF000000"/>
        <rFont val="Arial"/>
        <family val="2"/>
      </rPr>
      <t xml:space="preserve"> tab with the Revenue step up chart from run rate 2022 to run rate 2024</t>
    </r>
  </si>
  <si>
    <t>Table of Contents</t>
  </si>
  <si>
    <t>RevStepUp</t>
  </si>
  <si>
    <t>ConsoView</t>
  </si>
  <si>
    <t>CoreBusiness</t>
  </si>
  <si>
    <t>Link to Sheet</t>
  </si>
  <si>
    <t>Working Name</t>
  </si>
  <si>
    <t>tableOfContentsReference</t>
  </si>
  <si>
    <t>AcqPipeline</t>
  </si>
  <si>
    <t>Dev</t>
  </si>
  <si>
    <t>Pipeline</t>
  </si>
  <si>
    <t>Solids</t>
  </si>
  <si>
    <t>RockCodeAcq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</si>
</sst>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(* #,##0_);_(* \(#,##0\);_(* &quot;-&quot;??_);_(@_)"/>
    <numFmt numFmtId="166" formatCode="_-* #,##0_-;\(#,##0\)_-;_-* &quot;-&quot;_-;_-@_-"/>
    <numFmt numFmtId="167" formatCode="0.0000_ ;\-0.0000\ "/>
    <numFmt numFmtId="168" formatCode="&quot;CY&quot;\ General"/>
    <numFmt numFmtId="169" formatCode="0.0%"/>
    <numFmt numFmtId="170" formatCode="0.00\ &quot;x&quot;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rgb="FF0070C0"/>
      <name val="Arial"/>
      <family val="2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b/>
      <sz val="8"/>
      <color rgb="FF000000"/>
      <name val="Arial"/>
      <family val="2"/>
    </font>
    <font>
      <b/>
      <sz val="8"/>
      <color rgb="FF0000FF"/>
      <name val="Arial"/>
      <family val="2"/>
    </font>
    <font>
      <sz val="8"/>
      <color rgb="FF0000FF"/>
      <name val="Arial"/>
      <family val="2"/>
    </font>
    <font>
      <i/>
      <sz val="8"/>
      <color rgb="FFFF0000"/>
      <name val="Arial"/>
      <family val="2"/>
    </font>
    <font>
      <i/>
      <sz val="8"/>
      <color theme="1"/>
      <name val="Arial"/>
      <family val="2"/>
    </font>
    <font>
      <b/>
      <sz val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b/>
      <i/>
      <sz val="8"/>
      <color rgb="FF000080"/>
      <name val="Arial"/>
      <family val="2"/>
    </font>
    <font>
      <i/>
      <sz val="8"/>
      <color rgb="FF000000"/>
      <name val="Arial"/>
      <family val="2"/>
    </font>
    <font>
      <b/>
      <sz val="8"/>
      <color theme="0" tint="-0.499984740745262"/>
      <name val="Arial"/>
      <family val="2"/>
    </font>
    <font>
      <b/>
      <sz val="8"/>
      <color theme="5" tint="-0.249977111117893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8"/>
      <color rgb="FFFFFFFF"/>
      <name val="Arial"/>
      <family val="2"/>
    </font>
    <font>
      <i/>
      <sz val="8"/>
      <color rgb="FF0070C0"/>
      <name val="Arial"/>
      <family val="2"/>
    </font>
    <font>
      <b/>
      <sz val="11"/>
      <color rgb="FFFA7D00"/>
      <name val="Calibri"/>
      <family val="2"/>
      <scheme val="minor"/>
    </font>
    <font>
      <b/>
      <i/>
      <sz val="8"/>
      <name val="Arial"/>
      <family val="2"/>
    </font>
    <font>
      <i/>
      <sz val="8"/>
      <color theme="5" tint="-0.249977111117893"/>
      <name val="Arial"/>
      <family val="2"/>
    </font>
    <font>
      <b/>
      <sz val="8"/>
      <color rgb="FFFA7D00"/>
      <name val="Arial"/>
      <family val="2"/>
    </font>
    <font>
      <sz val="8"/>
      <name val="Calibri"/>
      <family val="2"/>
      <scheme val="minor"/>
    </font>
    <font>
      <sz val="8"/>
      <color rgb="FF00B050"/>
      <name val="Arial"/>
      <family val="2"/>
    </font>
    <font>
      <b/>
      <sz val="8"/>
      <color rgb="FF00B05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FF0000"/>
      <name val="Arial"/>
      <family val="2"/>
    </font>
    <font>
      <sz val="8"/>
      <color rgb="FFFFFFFF"/>
      <name val="Arial"/>
      <family val="2"/>
    </font>
    <font>
      <b/>
      <u/>
      <sz val="8"/>
      <color rgb="FF000000"/>
      <name val="Arial"/>
      <family val="2"/>
    </font>
    <font>
      <sz val="8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u/>
      <sz val="8"/>
      <color theme="10"/>
      <name val="Calibri"/>
      <family val="2"/>
      <scheme val="minor"/>
    </font>
    <font>
      <b/>
      <sz val="9"/>
      <color rgb="FF000080"/>
      <name val="Arial"/>
      <family val="2"/>
    </font>
    <font>
      <b/>
      <i/>
      <sz val="6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8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7" borderId="7" applyNumberFormat="0" applyAlignment="0" applyProtection="0"/>
    <xf numFmtId="0" fontId="33" fillId="0" borderId="0" applyNumberFormat="0" applyFill="0" applyBorder="0" applyAlignment="0" applyProtection="0"/>
  </cellStyleXfs>
  <cellXfs count="265">
    <xf numFmtId="0" fontId="0" fillId="0" borderId="0" xfId="0"/>
    <xf numFmtId="0" fontId="2" fillId="0" borderId="0" xfId="0" applyFont="1"/>
    <xf numFmtId="165" fontId="3" fillId="0" borderId="0" xfId="1" applyNumberFormat="1" applyFont="1" applyAlignment="1">
      <alignment horizontal="right"/>
    </xf>
    <xf numFmtId="166" fontId="2" fillId="0" borderId="0" xfId="1" applyNumberFormat="1" applyFont="1"/>
    <xf numFmtId="165" fontId="10" fillId="0" borderId="0" xfId="1" applyNumberFormat="1" applyFont="1"/>
    <xf numFmtId="165" fontId="11" fillId="0" borderId="0" xfId="1" applyNumberFormat="1" applyFont="1"/>
    <xf numFmtId="165" fontId="11" fillId="2" borderId="0" xfId="1" applyNumberFormat="1" applyFont="1" applyFill="1"/>
    <xf numFmtId="166" fontId="3" fillId="0" borderId="0" xfId="1" applyNumberFormat="1" applyFont="1" applyFill="1"/>
    <xf numFmtId="165" fontId="5" fillId="0" borderId="0" xfId="1" applyNumberFormat="1" applyFont="1" applyFill="1"/>
    <xf numFmtId="166" fontId="2" fillId="0" borderId="0" xfId="1" applyNumberFormat="1" applyFont="1" applyFill="1" applyBorder="1"/>
    <xf numFmtId="165" fontId="7" fillId="0" borderId="0" xfId="1" applyNumberFormat="1" applyFont="1" applyFill="1" applyBorder="1"/>
    <xf numFmtId="166" fontId="3" fillId="0" borderId="1" xfId="1" applyNumberFormat="1" applyFont="1" applyFill="1" applyBorder="1"/>
    <xf numFmtId="165" fontId="8" fillId="0" borderId="1" xfId="1" applyNumberFormat="1" applyFont="1" applyFill="1" applyBorder="1"/>
    <xf numFmtId="166" fontId="3" fillId="0" borderId="0" xfId="1" applyNumberFormat="1" applyFont="1" applyFill="1" applyBorder="1"/>
    <xf numFmtId="165" fontId="8" fillId="0" borderId="0" xfId="1" applyNumberFormat="1" applyFont="1" applyFill="1" applyBorder="1"/>
    <xf numFmtId="165" fontId="9" fillId="0" borderId="0" xfId="1" applyNumberFormat="1" applyFont="1" applyFill="1" applyBorder="1"/>
    <xf numFmtId="166" fontId="2" fillId="0" borderId="0" xfId="1" applyNumberFormat="1" applyFont="1" applyFill="1"/>
    <xf numFmtId="165" fontId="7" fillId="0" borderId="0" xfId="1" applyNumberFormat="1" applyFont="1" applyFill="1"/>
    <xf numFmtId="166" fontId="3" fillId="0" borderId="2" xfId="1" applyNumberFormat="1" applyFont="1" applyFill="1" applyBorder="1"/>
    <xf numFmtId="165" fontId="6" fillId="0" borderId="2" xfId="1" applyNumberFormat="1" applyFont="1" applyFill="1" applyBorder="1"/>
    <xf numFmtId="166" fontId="3" fillId="0" borderId="3" xfId="1" applyNumberFormat="1" applyFont="1" applyFill="1" applyBorder="1"/>
    <xf numFmtId="165" fontId="6" fillId="0" borderId="3" xfId="1" applyNumberFormat="1" applyFont="1" applyFill="1" applyBorder="1"/>
    <xf numFmtId="165" fontId="8" fillId="0" borderId="2" xfId="1" applyNumberFormat="1" applyFont="1" applyFill="1" applyBorder="1"/>
    <xf numFmtId="166" fontId="3" fillId="0" borderId="4" xfId="1" applyNumberFormat="1" applyFont="1" applyFill="1" applyBorder="1"/>
    <xf numFmtId="165" fontId="8" fillId="0" borderId="4" xfId="1" applyNumberFormat="1" applyFont="1" applyFill="1" applyBorder="1"/>
    <xf numFmtId="165" fontId="13" fillId="0" borderId="2" xfId="1" applyNumberFormat="1" applyFont="1" applyFill="1" applyBorder="1"/>
    <xf numFmtId="165" fontId="10" fillId="0" borderId="0" xfId="1" applyNumberFormat="1" applyFont="1" applyFill="1"/>
    <xf numFmtId="166" fontId="11" fillId="0" borderId="0" xfId="1" applyNumberFormat="1" applyFont="1" applyFill="1"/>
    <xf numFmtId="165" fontId="11" fillId="0" borderId="0" xfId="1" applyNumberFormat="1" applyFont="1" applyFill="1"/>
    <xf numFmtId="167" fontId="12" fillId="0" borderId="0" xfId="1" applyNumberFormat="1" applyFont="1" applyFill="1"/>
    <xf numFmtId="165" fontId="12" fillId="0" borderId="0" xfId="1" applyNumberFormat="1" applyFont="1" applyFill="1"/>
    <xf numFmtId="165" fontId="10" fillId="0" borderId="0" xfId="1" applyNumberFormat="1" applyFont="1" applyFill="1" applyBorder="1"/>
    <xf numFmtId="165" fontId="6" fillId="0" borderId="0" xfId="1" applyNumberFormat="1" applyFont="1" applyFill="1" applyBorder="1"/>
    <xf numFmtId="0" fontId="14" fillId="3" borderId="0" xfId="0" applyFont="1" applyFill="1"/>
    <xf numFmtId="165" fontId="15" fillId="3" borderId="0" xfId="1" applyNumberFormat="1" applyFont="1" applyFill="1" applyAlignment="1">
      <alignment horizontal="right"/>
    </xf>
    <xf numFmtId="37" fontId="4" fillId="4" borderId="0" xfId="0" applyNumberFormat="1" applyFont="1" applyFill="1" applyAlignment="1">
      <alignment vertical="center"/>
    </xf>
    <xf numFmtId="168" fontId="13" fillId="4" borderId="0" xfId="1" applyNumberFormat="1" applyFont="1" applyFill="1" applyAlignment="1">
      <alignment horizontal="right"/>
    </xf>
    <xf numFmtId="0" fontId="16" fillId="0" borderId="0" xfId="0" applyFont="1"/>
    <xf numFmtId="0" fontId="17" fillId="0" borderId="0" xfId="0" applyFont="1"/>
    <xf numFmtId="0" fontId="6" fillId="0" borderId="0" xfId="0" applyFont="1"/>
    <xf numFmtId="0" fontId="18" fillId="0" borderId="0" xfId="0" applyFont="1"/>
    <xf numFmtId="165" fontId="8" fillId="0" borderId="3" xfId="1" applyNumberFormat="1" applyFont="1" applyFill="1" applyBorder="1"/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4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37" fontId="4" fillId="4" borderId="0" xfId="0" applyNumberFormat="1" applyFont="1" applyFill="1" applyAlignment="1">
      <alignment horizontal="left" vertical="center"/>
    </xf>
    <xf numFmtId="166" fontId="2" fillId="0" borderId="0" xfId="1" applyNumberFormat="1" applyFont="1" applyFill="1" applyAlignment="1">
      <alignment horizontal="left"/>
    </xf>
    <xf numFmtId="166" fontId="2" fillId="0" borderId="0" xfId="1" applyNumberFormat="1" applyFont="1" applyFill="1" applyBorder="1" applyAlignment="1">
      <alignment horizontal="left"/>
    </xf>
    <xf numFmtId="166" fontId="3" fillId="0" borderId="2" xfId="1" applyNumberFormat="1" applyFont="1" applyFill="1" applyBorder="1" applyAlignment="1">
      <alignment horizontal="left"/>
    </xf>
    <xf numFmtId="166" fontId="3" fillId="0" borderId="0" xfId="1" applyNumberFormat="1" applyFont="1" applyFill="1" applyBorder="1" applyAlignment="1">
      <alignment horizontal="left"/>
    </xf>
    <xf numFmtId="166" fontId="3" fillId="0" borderId="3" xfId="1" applyNumberFormat="1" applyFont="1" applyFill="1" applyBorder="1" applyAlignment="1">
      <alignment horizontal="left"/>
    </xf>
    <xf numFmtId="0" fontId="19" fillId="0" borderId="0" xfId="0" applyFont="1" applyAlignment="1">
      <alignment horizontal="left"/>
    </xf>
    <xf numFmtId="166" fontId="3" fillId="0" borderId="1" xfId="1" applyNumberFormat="1" applyFont="1" applyFill="1" applyBorder="1" applyAlignment="1">
      <alignment horizontal="left"/>
    </xf>
    <xf numFmtId="166" fontId="3" fillId="0" borderId="4" xfId="1" applyNumberFormat="1" applyFont="1" applyFill="1" applyBorder="1" applyAlignment="1">
      <alignment horizontal="left"/>
    </xf>
    <xf numFmtId="166" fontId="2" fillId="0" borderId="0" xfId="1" applyNumberFormat="1" applyFont="1" applyAlignment="1">
      <alignment horizontal="left"/>
    </xf>
    <xf numFmtId="166" fontId="3" fillId="0" borderId="0" xfId="1" applyNumberFormat="1" applyFont="1" applyFill="1" applyAlignment="1">
      <alignment horizontal="left"/>
    </xf>
    <xf numFmtId="166" fontId="11" fillId="0" borderId="0" xfId="1" applyNumberFormat="1" applyFont="1" applyAlignment="1">
      <alignment horizontal="left"/>
    </xf>
    <xf numFmtId="168" fontId="13" fillId="4" borderId="0" xfId="1" applyNumberFormat="1" applyFont="1" applyFill="1" applyAlignment="1">
      <alignment horizontal="left"/>
    </xf>
    <xf numFmtId="0" fontId="8" fillId="0" borderId="2" xfId="0" applyFont="1" applyBorder="1" applyAlignment="1">
      <alignment horizontal="left"/>
    </xf>
    <xf numFmtId="166" fontId="11" fillId="2" borderId="0" xfId="1" applyNumberFormat="1" applyFont="1" applyFill="1" applyAlignment="1">
      <alignment horizontal="left"/>
    </xf>
    <xf numFmtId="0" fontId="3" fillId="0" borderId="3" xfId="0" applyFont="1" applyBorder="1"/>
    <xf numFmtId="165" fontId="3" fillId="0" borderId="3" xfId="1" applyNumberFormat="1" applyFont="1" applyBorder="1"/>
    <xf numFmtId="0" fontId="3" fillId="0" borderId="5" xfId="0" applyFont="1" applyBorder="1" applyAlignment="1">
      <alignment horizontal="left" indent="1"/>
    </xf>
    <xf numFmtId="165" fontId="3" fillId="0" borderId="5" xfId="1" applyNumberFormat="1" applyFont="1" applyBorder="1"/>
    <xf numFmtId="0" fontId="3" fillId="0" borderId="6" xfId="0" applyFont="1" applyBorder="1" applyAlignment="1">
      <alignment horizontal="left" indent="1"/>
    </xf>
    <xf numFmtId="165" fontId="3" fillId="0" borderId="6" xfId="1" applyNumberFormat="1" applyFont="1" applyBorder="1"/>
    <xf numFmtId="0" fontId="12" fillId="0" borderId="0" xfId="0" applyFont="1" applyAlignment="1">
      <alignment horizontal="left" indent="1"/>
    </xf>
    <xf numFmtId="0" fontId="19" fillId="0" borderId="0" xfId="0" applyFont="1"/>
    <xf numFmtId="0" fontId="5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5" fillId="3" borderId="0" xfId="0" applyFont="1" applyFill="1"/>
    <xf numFmtId="168" fontId="15" fillId="3" borderId="0" xfId="0" applyNumberFormat="1" applyFont="1" applyFill="1"/>
    <xf numFmtId="0" fontId="8" fillId="0" borderId="0" xfId="0" applyFont="1"/>
    <xf numFmtId="0" fontId="8" fillId="5" borderId="0" xfId="0" applyFont="1" applyFill="1"/>
    <xf numFmtId="169" fontId="6" fillId="0" borderId="0" xfId="0" applyNumberFormat="1" applyFont="1"/>
    <xf numFmtId="169" fontId="5" fillId="0" borderId="0" xfId="0" applyNumberFormat="1" applyFont="1"/>
    <xf numFmtId="0" fontId="6" fillId="2" borderId="0" xfId="0" applyFont="1" applyFill="1"/>
    <xf numFmtId="0" fontId="19" fillId="2" borderId="0" xfId="0" applyFont="1" applyFill="1"/>
    <xf numFmtId="169" fontId="19" fillId="2" borderId="0" xfId="2" applyNumberFormat="1" applyFont="1" applyFill="1"/>
    <xf numFmtId="165" fontId="21" fillId="0" borderId="2" xfId="1" applyNumberFormat="1" applyFont="1" applyFill="1" applyBorder="1"/>
    <xf numFmtId="165" fontId="6" fillId="0" borderId="0" xfId="0" applyNumberFormat="1" applyFont="1"/>
    <xf numFmtId="165" fontId="6" fillId="0" borderId="0" xfId="1" applyNumberFormat="1" applyFont="1"/>
    <xf numFmtId="169" fontId="19" fillId="0" borderId="0" xfId="2" applyNumberFormat="1" applyFont="1" applyFill="1"/>
    <xf numFmtId="166" fontId="2" fillId="0" borderId="0" xfId="1" applyNumberFormat="1" applyFont="1" applyFill="1" applyBorder="1" applyAlignment="1">
      <alignment horizontal="left" indent="1"/>
    </xf>
    <xf numFmtId="166" fontId="3" fillId="0" borderId="5" xfId="1" applyNumberFormat="1" applyFont="1" applyFill="1" applyBorder="1" applyAlignment="1">
      <alignment horizontal="left"/>
    </xf>
    <xf numFmtId="0" fontId="6" fillId="0" borderId="5" xfId="0" applyFont="1" applyBorder="1"/>
    <xf numFmtId="0" fontId="6" fillId="0" borderId="2" xfId="0" applyFont="1" applyBorder="1"/>
    <xf numFmtId="165" fontId="22" fillId="0" borderId="0" xfId="1" applyNumberFormat="1" applyFont="1" applyFill="1"/>
    <xf numFmtId="165" fontId="13" fillId="0" borderId="0" xfId="1" applyNumberFormat="1" applyFont="1"/>
    <xf numFmtId="165" fontId="22" fillId="0" borderId="5" xfId="1" applyNumberFormat="1" applyFont="1" applyFill="1" applyBorder="1"/>
    <xf numFmtId="165" fontId="13" fillId="0" borderId="5" xfId="1" applyNumberFormat="1" applyFont="1" applyBorder="1"/>
    <xf numFmtId="165" fontId="22" fillId="0" borderId="2" xfId="1" applyNumberFormat="1" applyFont="1" applyFill="1" applyBorder="1"/>
    <xf numFmtId="165" fontId="13" fillId="0" borderId="2" xfId="1" applyNumberFormat="1" applyFont="1" applyBorder="1"/>
    <xf numFmtId="0" fontId="6" fillId="0" borderId="1" xfId="0" applyFont="1" applyBorder="1"/>
    <xf numFmtId="166" fontId="3" fillId="2" borderId="5" xfId="1" applyNumberFormat="1" applyFont="1" applyFill="1" applyBorder="1" applyAlignment="1">
      <alignment horizontal="left"/>
    </xf>
    <xf numFmtId="0" fontId="6" fillId="2" borderId="5" xfId="0" applyFont="1" applyFill="1" applyBorder="1"/>
    <xf numFmtId="165" fontId="22" fillId="2" borderId="0" xfId="1" applyNumberFormat="1" applyFont="1" applyFill="1"/>
    <xf numFmtId="165" fontId="13" fillId="2" borderId="5" xfId="1" applyNumberFormat="1" applyFont="1" applyFill="1" applyBorder="1" applyAlignment="1">
      <alignment horizontal="right"/>
    </xf>
    <xf numFmtId="166" fontId="2" fillId="2" borderId="0" xfId="1" applyNumberFormat="1" applyFont="1" applyFill="1" applyBorder="1" applyAlignment="1">
      <alignment horizontal="left"/>
    </xf>
    <xf numFmtId="165" fontId="5" fillId="2" borderId="0" xfId="1" applyNumberFormat="1" applyFont="1" applyFill="1"/>
    <xf numFmtId="0" fontId="23" fillId="2" borderId="0" xfId="1" applyNumberFormat="1" applyFont="1" applyFill="1"/>
    <xf numFmtId="165" fontId="23" fillId="2" borderId="0" xfId="1" applyNumberFormat="1" applyFont="1" applyFill="1"/>
    <xf numFmtId="169" fontId="5" fillId="2" borderId="0" xfId="0" applyNumberFormat="1" applyFont="1" applyFill="1"/>
    <xf numFmtId="0" fontId="5" fillId="2" borderId="0" xfId="0" applyFont="1" applyFill="1"/>
    <xf numFmtId="166" fontId="2" fillId="2" borderId="5" xfId="1" applyNumberFormat="1" applyFont="1" applyFill="1" applyBorder="1" applyAlignment="1">
      <alignment horizontal="left"/>
    </xf>
    <xf numFmtId="14" fontId="5" fillId="2" borderId="5" xfId="0" applyNumberFormat="1" applyFont="1" applyFill="1" applyBorder="1"/>
    <xf numFmtId="0" fontId="23" fillId="2" borderId="0" xfId="1" applyNumberFormat="1" applyFont="1" applyFill="1" applyBorder="1"/>
    <xf numFmtId="165" fontId="21" fillId="0" borderId="5" xfId="1" applyNumberFormat="1" applyFont="1" applyBorder="1"/>
    <xf numFmtId="14" fontId="6" fillId="0" borderId="0" xfId="0" applyNumberFormat="1" applyFont="1" applyAlignment="1">
      <alignment horizontal="left"/>
    </xf>
    <xf numFmtId="0" fontId="24" fillId="3" borderId="0" xfId="0" applyFont="1" applyFill="1"/>
    <xf numFmtId="0" fontId="15" fillId="3" borderId="0" xfId="0" applyFont="1" applyFill="1" applyAlignment="1">
      <alignment horizontal="left"/>
    </xf>
    <xf numFmtId="0" fontId="25" fillId="0" borderId="0" xfId="0" applyFont="1"/>
    <xf numFmtId="0" fontId="3" fillId="0" borderId="2" xfId="0" applyFont="1" applyBorder="1" applyAlignment="1">
      <alignment horizontal="left"/>
    </xf>
    <xf numFmtId="165" fontId="2" fillId="0" borderId="0" xfId="1" applyNumberFormat="1" applyFont="1"/>
    <xf numFmtId="165" fontId="2" fillId="0" borderId="0" xfId="0" applyNumberFormat="1" applyFont="1"/>
    <xf numFmtId="0" fontId="2" fillId="6" borderId="0" xfId="0" applyFont="1" applyFill="1"/>
    <xf numFmtId="165" fontId="3" fillId="0" borderId="2" xfId="0" applyNumberFormat="1" applyFont="1" applyBorder="1"/>
    <xf numFmtId="165" fontId="2" fillId="2" borderId="0" xfId="1" applyNumberFormat="1" applyFont="1" applyFill="1"/>
    <xf numFmtId="165" fontId="8" fillId="0" borderId="2" xfId="0" applyNumberFormat="1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165" fontId="3" fillId="0" borderId="4" xfId="0" applyNumberFormat="1" applyFont="1" applyBorder="1"/>
    <xf numFmtId="0" fontId="3" fillId="0" borderId="3" xfId="0" applyFont="1" applyBorder="1" applyAlignment="1">
      <alignment horizontal="left"/>
    </xf>
    <xf numFmtId="165" fontId="21" fillId="0" borderId="3" xfId="0" applyNumberFormat="1" applyFont="1" applyBorder="1"/>
    <xf numFmtId="165" fontId="3" fillId="0" borderId="3" xfId="0" applyNumberFormat="1" applyFont="1" applyBorder="1"/>
    <xf numFmtId="165" fontId="21" fillId="2" borderId="0" xfId="0" applyNumberFormat="1" applyFont="1" applyFill="1"/>
    <xf numFmtId="0" fontId="6" fillId="6" borderId="0" xfId="0" applyFont="1" applyFill="1"/>
    <xf numFmtId="165" fontId="7" fillId="2" borderId="0" xfId="1" applyNumberFormat="1" applyFont="1" applyFill="1"/>
    <xf numFmtId="166" fontId="11" fillId="0" borderId="0" xfId="1" applyNumberFormat="1" applyFont="1" applyFill="1" applyAlignment="1">
      <alignment horizontal="left"/>
    </xf>
    <xf numFmtId="0" fontId="23" fillId="0" borderId="0" xfId="0" applyFont="1"/>
    <xf numFmtId="165" fontId="23" fillId="0" borderId="5" xfId="1" applyNumberFormat="1" applyFont="1" applyBorder="1"/>
    <xf numFmtId="165" fontId="23" fillId="0" borderId="0" xfId="1" applyNumberFormat="1" applyFont="1"/>
    <xf numFmtId="165" fontId="5" fillId="2" borderId="5" xfId="1" applyNumberFormat="1" applyFont="1" applyFill="1" applyBorder="1"/>
    <xf numFmtId="165" fontId="27" fillId="0" borderId="2" xfId="1" applyNumberFormat="1" applyFont="1" applyFill="1" applyBorder="1"/>
    <xf numFmtId="166" fontId="2" fillId="0" borderId="1" xfId="1" applyNumberFormat="1" applyFont="1" applyFill="1" applyBorder="1" applyAlignment="1">
      <alignment horizontal="left" indent="1"/>
    </xf>
    <xf numFmtId="165" fontId="23" fillId="0" borderId="1" xfId="1" applyNumberFormat="1" applyFont="1" applyBorder="1"/>
    <xf numFmtId="165" fontId="22" fillId="0" borderId="1" xfId="1" applyNumberFormat="1" applyFont="1" applyFill="1" applyBorder="1"/>
    <xf numFmtId="166" fontId="2" fillId="0" borderId="5" xfId="1" applyNumberFormat="1" applyFont="1" applyFill="1" applyBorder="1" applyAlignment="1">
      <alignment horizontal="left" indent="1"/>
    </xf>
    <xf numFmtId="165" fontId="5" fillId="2" borderId="1" xfId="1" applyNumberFormat="1" applyFont="1" applyFill="1" applyBorder="1"/>
    <xf numFmtId="169" fontId="13" fillId="0" borderId="0" xfId="2" applyNumberFormat="1" applyFont="1"/>
    <xf numFmtId="169" fontId="5" fillId="2" borderId="1" xfId="2" applyNumberFormat="1" applyFont="1" applyFill="1" applyBorder="1"/>
    <xf numFmtId="169" fontId="13" fillId="0" borderId="5" xfId="2" applyNumberFormat="1" applyFont="1" applyBorder="1"/>
    <xf numFmtId="165" fontId="21" fillId="0" borderId="0" xfId="1" applyNumberFormat="1" applyFont="1"/>
    <xf numFmtId="165" fontId="23" fillId="4" borderId="1" xfId="1" applyNumberFormat="1" applyFont="1" applyFill="1" applyBorder="1"/>
    <xf numFmtId="165" fontId="22" fillId="4" borderId="1" xfId="1" applyNumberFormat="1" applyFont="1" applyFill="1" applyBorder="1"/>
    <xf numFmtId="165" fontId="13" fillId="4" borderId="1" xfId="1" applyNumberFormat="1" applyFont="1" applyFill="1" applyBorder="1"/>
    <xf numFmtId="165" fontId="23" fillId="4" borderId="5" xfId="1" applyNumberFormat="1" applyFont="1" applyFill="1" applyBorder="1"/>
    <xf numFmtId="165" fontId="22" fillId="4" borderId="5" xfId="1" applyNumberFormat="1" applyFont="1" applyFill="1" applyBorder="1"/>
    <xf numFmtId="165" fontId="13" fillId="4" borderId="5" xfId="1" applyNumberFormat="1" applyFont="1" applyFill="1" applyBorder="1"/>
    <xf numFmtId="166" fontId="3" fillId="4" borderId="1" xfId="1" applyNumberFormat="1" applyFont="1" applyFill="1" applyBorder="1" applyAlignment="1">
      <alignment horizontal="left" indent="1"/>
    </xf>
    <xf numFmtId="166" fontId="3" fillId="4" borderId="5" xfId="1" applyNumberFormat="1" applyFont="1" applyFill="1" applyBorder="1" applyAlignment="1">
      <alignment horizontal="left" indent="1"/>
    </xf>
    <xf numFmtId="165" fontId="21" fillId="6" borderId="5" xfId="1" applyNumberFormat="1" applyFont="1" applyFill="1" applyBorder="1"/>
    <xf numFmtId="165" fontId="21" fillId="2" borderId="0" xfId="1" applyNumberFormat="1" applyFont="1" applyFill="1"/>
    <xf numFmtId="165" fontId="23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3" fillId="0" borderId="2" xfId="0" applyFont="1" applyBorder="1" applyAlignment="1">
      <alignment horizontal="left" indent="1"/>
    </xf>
    <xf numFmtId="0" fontId="3" fillId="0" borderId="2" xfId="0" applyFont="1" applyBorder="1"/>
    <xf numFmtId="0" fontId="8" fillId="0" borderId="2" xfId="0" applyFont="1" applyBorder="1"/>
    <xf numFmtId="0" fontId="8" fillId="0" borderId="3" xfId="0" applyFont="1" applyBorder="1"/>
    <xf numFmtId="165" fontId="8" fillId="0" borderId="3" xfId="0" applyNumberFormat="1" applyFont="1" applyBorder="1"/>
    <xf numFmtId="165" fontId="2" fillId="0" borderId="0" xfId="1" applyNumberFormat="1" applyFont="1" applyFill="1"/>
    <xf numFmtId="165" fontId="6" fillId="0" borderId="0" xfId="1" applyNumberFormat="1" applyFont="1" applyFill="1"/>
    <xf numFmtId="165" fontId="3" fillId="0" borderId="2" xfId="1" applyNumberFormat="1" applyFont="1" applyFill="1" applyBorder="1"/>
    <xf numFmtId="0" fontId="18" fillId="4" borderId="0" xfId="0" applyFont="1" applyFill="1"/>
    <xf numFmtId="0" fontId="6" fillId="4" borderId="0" xfId="0" applyFont="1" applyFill="1"/>
    <xf numFmtId="0" fontId="17" fillId="4" borderId="0" xfId="0" applyFont="1" applyFill="1"/>
    <xf numFmtId="0" fontId="6" fillId="0" borderId="0" xfId="0" applyFont="1" applyAlignment="1">
      <alignment horizontal="left" indent="1"/>
    </xf>
    <xf numFmtId="0" fontId="8" fillId="0" borderId="9" xfId="0" applyFont="1" applyBorder="1"/>
    <xf numFmtId="0" fontId="8" fillId="0" borderId="6" xfId="0" applyFont="1" applyBorder="1"/>
    <xf numFmtId="0" fontId="6" fillId="0" borderId="10" xfId="0" applyFont="1" applyBorder="1"/>
    <xf numFmtId="0" fontId="6" fillId="0" borderId="11" xfId="0" applyFont="1" applyBorder="1" applyAlignment="1">
      <alignment horizontal="left" indent="1"/>
    </xf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8" fillId="5" borderId="8" xfId="0" applyFont="1" applyFill="1" applyBorder="1"/>
    <xf numFmtId="165" fontId="23" fillId="0" borderId="0" xfId="1" applyNumberFormat="1" applyFont="1" applyFill="1"/>
    <xf numFmtId="165" fontId="23" fillId="0" borderId="0" xfId="1" applyNumberFormat="1" applyFont="1" applyFill="1" applyBorder="1"/>
    <xf numFmtId="165" fontId="13" fillId="0" borderId="0" xfId="1" applyNumberFormat="1" applyFont="1" applyFill="1" applyBorder="1"/>
    <xf numFmtId="165" fontId="13" fillId="0" borderId="3" xfId="1" applyNumberFormat="1" applyFont="1" applyFill="1" applyBorder="1"/>
    <xf numFmtId="165" fontId="13" fillId="0" borderId="1" xfId="1" applyNumberFormat="1" applyFont="1" applyFill="1" applyBorder="1"/>
    <xf numFmtId="165" fontId="13" fillId="0" borderId="4" xfId="1" applyNumberFormat="1" applyFont="1" applyFill="1" applyBorder="1"/>
    <xf numFmtId="169" fontId="28" fillId="2" borderId="0" xfId="2" applyNumberFormat="1" applyFont="1" applyFill="1"/>
    <xf numFmtId="165" fontId="21" fillId="0" borderId="0" xfId="0" applyNumberFormat="1" applyFont="1"/>
    <xf numFmtId="0" fontId="8" fillId="4" borderId="0" xfId="0" applyFont="1" applyFill="1"/>
    <xf numFmtId="168" fontId="8" fillId="4" borderId="0" xfId="0" applyNumberFormat="1" applyFont="1" applyFill="1"/>
    <xf numFmtId="0" fontId="29" fillId="7" borderId="7" xfId="3" applyFont="1" applyAlignment="1">
      <alignment horizontal="right"/>
    </xf>
    <xf numFmtId="169" fontId="5" fillId="2" borderId="0" xfId="2" applyNumberFormat="1" applyFont="1" applyFill="1"/>
    <xf numFmtId="0" fontId="8" fillId="0" borderId="1" xfId="0" applyFont="1" applyBorder="1"/>
    <xf numFmtId="164" fontId="5" fillId="2" borderId="0" xfId="1" applyFont="1" applyFill="1"/>
    <xf numFmtId="164" fontId="8" fillId="0" borderId="1" xfId="0" applyNumberFormat="1" applyFont="1" applyBorder="1"/>
    <xf numFmtId="0" fontId="8" fillId="0" borderId="5" xfId="0" applyFont="1" applyBorder="1"/>
    <xf numFmtId="164" fontId="6" fillId="0" borderId="0" xfId="0" applyNumberFormat="1" applyFont="1"/>
    <xf numFmtId="0" fontId="8" fillId="0" borderId="5" xfId="0" applyFont="1" applyBorder="1" applyAlignment="1">
      <alignment horizontal="right"/>
    </xf>
    <xf numFmtId="169" fontId="7" fillId="2" borderId="0" xfId="2" applyNumberFormat="1" applyFont="1" applyFill="1"/>
    <xf numFmtId="169" fontId="31" fillId="0" borderId="0" xfId="2" applyNumberFormat="1" applyFont="1"/>
    <xf numFmtId="165" fontId="8" fillId="0" borderId="2" xfId="1" applyNumberFormat="1" applyFont="1" applyBorder="1"/>
    <xf numFmtId="166" fontId="2" fillId="0" borderId="0" xfId="1" applyNumberFormat="1" applyFont="1" applyFill="1" applyAlignment="1">
      <alignment horizontal="left" indent="1"/>
    </xf>
    <xf numFmtId="169" fontId="8" fillId="0" borderId="2" xfId="0" applyNumberFormat="1" applyFont="1" applyBorder="1"/>
    <xf numFmtId="0" fontId="8" fillId="8" borderId="2" xfId="0" applyFont="1" applyFill="1" applyBorder="1"/>
    <xf numFmtId="0" fontId="8" fillId="8" borderId="2" xfId="0" applyFont="1" applyFill="1" applyBorder="1" applyAlignment="1">
      <alignment horizontal="left" indent="1"/>
    </xf>
    <xf numFmtId="170" fontId="5" fillId="2" borderId="0" xfId="0" applyNumberFormat="1" applyFont="1" applyFill="1"/>
    <xf numFmtId="165" fontId="8" fillId="8" borderId="2" xfId="0" applyNumberFormat="1" applyFont="1" applyFill="1" applyBorder="1"/>
    <xf numFmtId="0" fontId="8" fillId="0" borderId="0" xfId="0" applyFont="1" applyAlignment="1">
      <alignment horizontal="left" indent="1"/>
    </xf>
    <xf numFmtId="0" fontId="6" fillId="0" borderId="0" xfId="0" applyFont="1" applyAlignment="1">
      <alignment horizontal="right"/>
    </xf>
    <xf numFmtId="10" fontId="5" fillId="2" borderId="0" xfId="0" applyNumberFormat="1" applyFont="1" applyFill="1"/>
    <xf numFmtId="170" fontId="13" fillId="0" borderId="0" xfId="0" applyNumberFormat="1" applyFont="1"/>
    <xf numFmtId="164" fontId="6" fillId="0" borderId="5" xfId="0" applyNumberFormat="1" applyFont="1" applyBorder="1"/>
    <xf numFmtId="165" fontId="6" fillId="0" borderId="5" xfId="1" applyNumberFormat="1" applyFont="1" applyBorder="1"/>
    <xf numFmtId="165" fontId="8" fillId="0" borderId="5" xfId="1" applyNumberFormat="1" applyFont="1" applyBorder="1"/>
    <xf numFmtId="165" fontId="21" fillId="0" borderId="0" xfId="1" applyNumberFormat="1" applyFont="1" applyFill="1"/>
    <xf numFmtId="165" fontId="6" fillId="0" borderId="2" xfId="0" applyNumberFormat="1" applyFont="1" applyBorder="1"/>
    <xf numFmtId="0" fontId="5" fillId="2" borderId="2" xfId="0" applyFont="1" applyFill="1" applyBorder="1"/>
    <xf numFmtId="169" fontId="8" fillId="0" borderId="2" xfId="2" applyNumberFormat="1" applyFont="1" applyBorder="1"/>
    <xf numFmtId="169" fontId="5" fillId="2" borderId="2" xfId="2" applyNumberFormat="1" applyFont="1" applyFill="1" applyBorder="1"/>
    <xf numFmtId="165" fontId="6" fillId="0" borderId="0" xfId="1" applyNumberFormat="1" applyFont="1" applyBorder="1"/>
    <xf numFmtId="0" fontId="25" fillId="2" borderId="0" xfId="0" applyFont="1" applyFill="1"/>
    <xf numFmtId="165" fontId="32" fillId="0" borderId="0" xfId="1" applyNumberFormat="1" applyFont="1" applyFill="1"/>
    <xf numFmtId="169" fontId="5" fillId="2" borderId="1" xfId="0" applyNumberFormat="1" applyFont="1" applyFill="1" applyBorder="1"/>
    <xf numFmtId="169" fontId="5" fillId="2" borderId="5" xfId="0" applyNumberFormat="1" applyFont="1" applyFill="1" applyBorder="1"/>
    <xf numFmtId="165" fontId="8" fillId="0" borderId="0" xfId="0" applyNumberFormat="1" applyFont="1"/>
    <xf numFmtId="0" fontId="8" fillId="4" borderId="1" xfId="0" applyFont="1" applyFill="1" applyBorder="1"/>
    <xf numFmtId="165" fontId="8" fillId="4" borderId="1" xfId="1" applyNumberFormat="1" applyFont="1" applyFill="1" applyBorder="1"/>
    <xf numFmtId="0" fontId="8" fillId="4" borderId="5" xfId="0" applyFont="1" applyFill="1" applyBorder="1"/>
    <xf numFmtId="165" fontId="8" fillId="4" borderId="5" xfId="1" applyNumberFormat="1" applyFont="1" applyFill="1" applyBorder="1"/>
    <xf numFmtId="164" fontId="6" fillId="0" borderId="1" xfId="0" applyNumberFormat="1" applyFont="1" applyBorder="1"/>
    <xf numFmtId="0" fontId="6" fillId="0" borderId="1" xfId="0" applyFont="1" applyBorder="1" applyAlignment="1">
      <alignment horizontal="left" indent="1"/>
    </xf>
    <xf numFmtId="0" fontId="6" fillId="0" borderId="5" xfId="0" applyFont="1" applyBorder="1" applyAlignment="1">
      <alignment horizontal="left" indent="1"/>
    </xf>
    <xf numFmtId="165" fontId="5" fillId="2" borderId="0" xfId="1" applyNumberFormat="1" applyFont="1" applyFill="1" applyBorder="1"/>
    <xf numFmtId="165" fontId="6" fillId="0" borderId="1" xfId="1" applyNumberFormat="1" applyFont="1" applyBorder="1"/>
    <xf numFmtId="169" fontId="5" fillId="2" borderId="0" xfId="2" applyNumberFormat="1" applyFont="1" applyFill="1" applyBorder="1"/>
    <xf numFmtId="0" fontId="8" fillId="0" borderId="2" xfId="0" applyFont="1" applyBorder="1" applyAlignment="1">
      <alignment horizontal="left" indent="1"/>
    </xf>
    <xf numFmtId="165" fontId="8" fillId="0" borderId="3" xfId="1" applyNumberFormat="1" applyFont="1" applyBorder="1"/>
    <xf numFmtId="169" fontId="5" fillId="2" borderId="2" xfId="0" applyNumberFormat="1" applyFont="1" applyFill="1" applyBorder="1"/>
    <xf numFmtId="0" fontId="8" fillId="9" borderId="3" xfId="0" applyFont="1" applyFill="1" applyBorder="1"/>
    <xf numFmtId="169" fontId="8" fillId="9" borderId="3" xfId="0" applyNumberFormat="1" applyFont="1" applyFill="1" applyBorder="1"/>
    <xf numFmtId="169" fontId="5" fillId="2" borderId="0" xfId="1" applyNumberFormat="1" applyFont="1" applyFill="1" applyBorder="1"/>
    <xf numFmtId="0" fontId="13" fillId="4" borderId="0" xfId="0" applyFont="1" applyFill="1"/>
    <xf numFmtId="0" fontId="27" fillId="4" borderId="0" xfId="0" applyFont="1" applyFill="1"/>
    <xf numFmtId="0" fontId="23" fillId="4" borderId="0" xfId="0" applyFont="1" applyFill="1"/>
    <xf numFmtId="165" fontId="31" fillId="0" borderId="0" xfId="1" applyNumberFormat="1" applyFont="1"/>
    <xf numFmtId="0" fontId="31" fillId="0" borderId="0" xfId="0" applyFont="1"/>
    <xf numFmtId="165" fontId="8" fillId="5" borderId="8" xfId="1" applyNumberFormat="1" applyFont="1" applyFill="1" applyBorder="1"/>
    <xf numFmtId="0" fontId="34" fillId="0" borderId="0" xfId="0" applyFont="1"/>
    <xf numFmtId="165" fontId="34" fillId="0" borderId="0" xfId="0" applyNumberFormat="1" applyFont="1"/>
    <xf numFmtId="37" fontId="4" fillId="0" borderId="5" xfId="0" applyNumberFormat="1" applyFont="1" applyBorder="1" applyAlignment="1">
      <alignment horizontal="left" vertical="center"/>
    </xf>
    <xf numFmtId="168" fontId="13" fillId="0" borderId="5" xfId="1" applyNumberFormat="1" applyFont="1" applyFill="1" applyBorder="1" applyAlignment="1">
      <alignment horizontal="right"/>
    </xf>
    <xf numFmtId="165" fontId="8" fillId="9" borderId="3" xfId="0" applyNumberFormat="1" applyFont="1" applyFill="1" applyBorder="1"/>
    <xf numFmtId="165" fontId="8" fillId="0" borderId="0" xfId="1" applyNumberFormat="1" applyFont="1"/>
    <xf numFmtId="0" fontId="24" fillId="10" borderId="0" xfId="0" applyFont="1" applyFill="1"/>
    <xf numFmtId="0" fontId="37" fillId="0" borderId="0" xfId="0" applyFont="1"/>
    <xf numFmtId="0" fontId="36" fillId="0" borderId="0" xfId="0" applyFont="1"/>
    <xf numFmtId="0" fontId="39" fillId="0" borderId="0" xfId="4" applyFont="1"/>
    <xf numFmtId="0" fontId="2" fillId="0" borderId="0" xfId="0" applyFont="1" applyProtection="1">
      <protection locked="0"/>
    </xf>
    <xf numFmtId="0" fontId="16" fillId="0" borderId="0" xfId="0" applyFont="1" applyProtection="1">
      <protection locked="0"/>
    </xf>
    <xf numFmtId="0" fontId="40" fillId="0" borderId="0" xfId="0" applyFont="1" applyProtection="1">
      <protection locked="0"/>
    </xf>
    <xf numFmtId="0" fontId="18" fillId="0" borderId="0" xfId="0" applyFont="1" applyProtection="1">
      <protection locked="0"/>
    </xf>
    <xf numFmtId="0" fontId="17" fillId="0" borderId="5" xfId="0" applyFont="1" applyBorder="1" applyProtection="1">
      <protection locked="0"/>
    </xf>
    <xf numFmtId="0" fontId="17" fillId="0" borderId="0" xfId="4" applyFont="1" applyProtection="1">
      <protection locked="0"/>
    </xf>
    <xf numFmtId="0" fontId="35" fillId="0" borderId="0" xfId="0" applyFont="1"/>
    <xf numFmtId="0" fontId="41" fillId="0" borderId="0" xfId="0" applyFont="1" applyAlignment="1" applyProtection="1">
      <alignment horizontal="right"/>
      <protection locked="0"/>
    </xf>
  </cellXfs>
  <cellStyles count="5">
    <cellStyle name="Calculation" xfId="3" builtinId="22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RevStepUp!$B$2</c:f>
          <c:strCache>
            <c:ptCount val="1"/>
            <c:pt idx="0">
              <c:v>Revenue Step-up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RevStepUp!$D$7</c:f>
              <c:strCache>
                <c:ptCount val="1"/>
                <c:pt idx="0">
                  <c:v>Blank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RevStepUp!$B$8:$B$17</c:f>
              <c:strCache>
                <c:ptCount val="10"/>
                <c:pt idx="0">
                  <c:v>Run rate CY2022</c:v>
                </c:pt>
                <c:pt idx="1">
                  <c:v>Core Business Growth</c:v>
                </c:pt>
                <c:pt idx="2">
                  <c:v>RockCode Acquisition</c:v>
                </c:pt>
                <c:pt idx="3">
                  <c:v>Acquisitions Pipeline</c:v>
                </c:pt>
                <c:pt idx="4">
                  <c:v>Minty Tools</c:v>
                </c:pt>
                <c:pt idx="5">
                  <c:v>Run rate CY2023</c:v>
                </c:pt>
                <c:pt idx="6">
                  <c:v>Core Business Growth</c:v>
                </c:pt>
                <c:pt idx="7">
                  <c:v>Acquisitions Pipeline</c:v>
                </c:pt>
                <c:pt idx="8">
                  <c:v>Minty Tools</c:v>
                </c:pt>
                <c:pt idx="9">
                  <c:v>Run rate CY2024</c:v>
                </c:pt>
              </c:strCache>
            </c:strRef>
          </c:cat>
          <c:val>
            <c:numRef>
              <c:f>RevStepUp!$D$8:$D$17</c:f>
              <c:numCache>
                <c:formatCode>_(* #,##0_);_(* \(#,##0\);_(* "-"??_);_(@_)</c:formatCode>
                <c:ptCount val="10"/>
                <c:pt idx="1">
                  <c:v>593488.803266</c:v>
                </c:pt>
                <c:pt idx="2">
                  <c:v>623163.24342930003</c:v>
                </c:pt>
                <c:pt idx="3">
                  <c:v>697933.77723930008</c:v>
                </c:pt>
                <c:pt idx="4">
                  <c:v>797933.77723930008</c:v>
                </c:pt>
                <c:pt idx="6">
                  <c:v>876451.32717872132</c:v>
                </c:pt>
                <c:pt idx="7">
                  <c:v>907609.48935018631</c:v>
                </c:pt>
                <c:pt idx="8">
                  <c:v>1018848.0160406863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C-4DFB-BAD0-2113AD992427}"/>
            </c:ext>
          </c:extLst>
        </c:ser>
        <c:ser>
          <c:idx val="1"/>
          <c:order val="1"/>
          <c:tx>
            <c:strRef>
              <c:f>RevStepUp!$E$7</c:f>
              <c:strCache>
                <c:ptCount val="1"/>
                <c:pt idx="0">
                  <c:v>Ends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numFmt formatCode="#,###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RevStepUp!$B$8:$B$17</c:f>
              <c:strCache>
                <c:ptCount val="10"/>
                <c:pt idx="0">
                  <c:v>Run rate CY2022</c:v>
                </c:pt>
                <c:pt idx="1">
                  <c:v>Core Business Growth</c:v>
                </c:pt>
                <c:pt idx="2">
                  <c:v>RockCode Acquisition</c:v>
                </c:pt>
                <c:pt idx="3">
                  <c:v>Acquisitions Pipeline</c:v>
                </c:pt>
                <c:pt idx="4">
                  <c:v>Minty Tools</c:v>
                </c:pt>
                <c:pt idx="5">
                  <c:v>Run rate CY2023</c:v>
                </c:pt>
                <c:pt idx="6">
                  <c:v>Core Business Growth</c:v>
                </c:pt>
                <c:pt idx="7">
                  <c:v>Acquisitions Pipeline</c:v>
                </c:pt>
                <c:pt idx="8">
                  <c:v>Minty Tools</c:v>
                </c:pt>
                <c:pt idx="9">
                  <c:v>Run rate CY2024</c:v>
                </c:pt>
              </c:strCache>
            </c:strRef>
          </c:cat>
          <c:val>
            <c:numRef>
              <c:f>RevStepUp!$E$8:$E$17</c:f>
              <c:numCache>
                <c:formatCode>_(* #,##0_);_(* \(#,##0\);_(* "-"??_);_(@_)</c:formatCode>
                <c:ptCount val="10"/>
                <c:pt idx="0">
                  <c:v>593488.803266</c:v>
                </c:pt>
                <c:pt idx="5">
                  <c:v>876451.32717872132</c:v>
                </c:pt>
                <c:pt idx="9">
                  <c:v>1150413.0826265812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5C-4DFB-BAD0-2113AD992427}"/>
            </c:ext>
          </c:extLst>
        </c:ser>
        <c:ser>
          <c:idx val="2"/>
          <c:order val="2"/>
          <c:tx>
            <c:strRef>
              <c:f>RevStepUp!$F$7</c:f>
              <c:strCache>
                <c:ptCount val="1"/>
                <c:pt idx="0">
                  <c:v>Up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#,###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RevStepUp!$B$8:$B$17</c:f>
              <c:strCache>
                <c:ptCount val="10"/>
                <c:pt idx="0">
                  <c:v>Run rate CY2022</c:v>
                </c:pt>
                <c:pt idx="1">
                  <c:v>Core Business Growth</c:v>
                </c:pt>
                <c:pt idx="2">
                  <c:v>RockCode Acquisition</c:v>
                </c:pt>
                <c:pt idx="3">
                  <c:v>Acquisitions Pipeline</c:v>
                </c:pt>
                <c:pt idx="4">
                  <c:v>Minty Tools</c:v>
                </c:pt>
                <c:pt idx="5">
                  <c:v>Run rate CY2023</c:v>
                </c:pt>
                <c:pt idx="6">
                  <c:v>Core Business Growth</c:v>
                </c:pt>
                <c:pt idx="7">
                  <c:v>Acquisitions Pipeline</c:v>
                </c:pt>
                <c:pt idx="8">
                  <c:v>Minty Tools</c:v>
                </c:pt>
                <c:pt idx="9">
                  <c:v>Run rate CY2024</c:v>
                </c:pt>
              </c:strCache>
            </c:strRef>
          </c:cat>
          <c:val>
            <c:numRef>
              <c:f>RevStepUp!$F$8:$F$17</c:f>
              <c:numCache>
                <c:formatCode>_(* #,##0_);_(* \(#,##0\);_(* "-"??_);_(@_)</c:formatCode>
                <c:ptCount val="10"/>
                <c:pt idx="1">
                  <c:v>29674.440163300023</c:v>
                </c:pt>
                <c:pt idx="2">
                  <c:v>74770.533810000008</c:v>
                </c:pt>
                <c:pt idx="3">
                  <c:v>100000</c:v>
                </c:pt>
                <c:pt idx="4">
                  <c:v>78517.549939421267</c:v>
                </c:pt>
                <c:pt idx="6">
                  <c:v>31158.162171464995</c:v>
                </c:pt>
                <c:pt idx="7">
                  <c:v>111238.5266905</c:v>
                </c:pt>
                <c:pt idx="8">
                  <c:v>131565.06658589499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5C-4DFB-BAD0-2113AD992427}"/>
            </c:ext>
          </c:extLst>
        </c:ser>
        <c:ser>
          <c:idx val="3"/>
          <c:order val="3"/>
          <c:tx>
            <c:strRef>
              <c:f>RevStepUp!$G$7</c:f>
              <c:strCache>
                <c:ptCount val="1"/>
                <c:pt idx="0">
                  <c:v>Totals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#,###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RevStepUp!$B$8:$B$17</c:f>
              <c:strCache>
                <c:ptCount val="10"/>
                <c:pt idx="0">
                  <c:v>Run rate CY2022</c:v>
                </c:pt>
                <c:pt idx="1">
                  <c:v>Core Business Growth</c:v>
                </c:pt>
                <c:pt idx="2">
                  <c:v>RockCode Acquisition</c:v>
                </c:pt>
                <c:pt idx="3">
                  <c:v>Acquisitions Pipeline</c:v>
                </c:pt>
                <c:pt idx="4">
                  <c:v>Minty Tools</c:v>
                </c:pt>
                <c:pt idx="5">
                  <c:v>Run rate CY2023</c:v>
                </c:pt>
                <c:pt idx="6">
                  <c:v>Core Business Growth</c:v>
                </c:pt>
                <c:pt idx="7">
                  <c:v>Acquisitions Pipeline</c:v>
                </c:pt>
                <c:pt idx="8">
                  <c:v>Minty Tools</c:v>
                </c:pt>
                <c:pt idx="9">
                  <c:v>Run rate CY2024</c:v>
                </c:pt>
              </c:strCache>
            </c:strRef>
          </c:cat>
          <c:val>
            <c:numRef>
              <c:f>RevStepUp!$G$8:$G$17</c:f>
              <c:numCache>
                <c:formatCode>_(* #,##0_);_(* \(#,##0\);_(* "-"??_);_(@_)</c:formatCode>
                <c:ptCount val="10"/>
                <c:pt idx="1">
                  <c:v>623163.24342930003</c:v>
                </c:pt>
                <c:pt idx="2">
                  <c:v>697933.77723930008</c:v>
                </c:pt>
                <c:pt idx="3">
                  <c:v>797933.77723930008</c:v>
                </c:pt>
                <c:pt idx="4">
                  <c:v>876451.32717872132</c:v>
                </c:pt>
                <c:pt idx="6">
                  <c:v>907609.48935018631</c:v>
                </c:pt>
                <c:pt idx="7">
                  <c:v>1018848.0160406863</c:v>
                </c:pt>
                <c:pt idx="8">
                  <c:v>1150413.0826265812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5C-4DFB-BAD0-2113AD992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915686639"/>
        <c:axId val="1915687471"/>
      </c:barChart>
      <c:catAx>
        <c:axId val="191568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687471"/>
        <c:crosses val="autoZero"/>
        <c:auto val="1"/>
        <c:lblAlgn val="ctr"/>
        <c:lblOffset val="100"/>
        <c:noMultiLvlLbl val="0"/>
      </c:catAx>
      <c:valAx>
        <c:axId val="1915687471"/>
        <c:scaling>
          <c:orientation val="minMax"/>
          <c:max val="1200000"/>
        </c:scaling>
        <c:delete val="0"/>
        <c:axPos val="l"/>
        <c:numFmt formatCode="#,###,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68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" dropStyle="combo" dx="22" fmlaLink="RockCodeAcq!$C$11" fmlaRange="RockCodeAcq!$B$11:$B$12" noThreeD="1" sel="1" val="0"/>
</file>

<file path=xl/ctrlProps/ctrlProp2.xml><?xml version="1.0" encoding="utf-8"?>
<formControlPr xmlns="http://schemas.microsoft.com/office/spreadsheetml/2009/9/main" objectType="Drop" dropLines="2" dropStyle="combo" dx="22" fmlaLink="MintyTools!$C$11" fmlaRange="MintyTools!$B$11:$B$12" noThreeD="1" sel="1" val="0"/>
</file>

<file path=xl/ctrlProps/ctrlProp3.xml><?xml version="1.0" encoding="utf-8"?>
<formControlPr xmlns="http://schemas.microsoft.com/office/spreadsheetml/2009/9/main" objectType="Drop" dropLines="2" dropStyle="combo" dx="22" fmlaLink="MintyTools!$C$11" fmlaRange="MintyTools!$B$11:$B$12" noThreeD="1" sel="1" val="0"/>
</file>

<file path=xl/ctrlProps/ctrlProp4.xml><?xml version="1.0" encoding="utf-8"?>
<formControlPr xmlns="http://schemas.microsoft.com/office/spreadsheetml/2009/9/main" objectType="Drop" dropLines="2" dropStyle="combo" dx="22" fmlaLink="RockCodeAcq!$C$11" fmlaRange="RockCodeAcq!$B$11:$B$12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708660</xdr:colOff>
          <xdr:row>2</xdr:row>
          <xdr:rowOff>0</xdr:rowOff>
        </xdr:to>
        <xdr:sp macro="" textlink="">
          <xdr:nvSpPr>
            <xdr:cNvPr id="18433" name="Drop Down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2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144780</xdr:rowOff>
        </xdr:from>
        <xdr:to>
          <xdr:col>11</xdr:col>
          <xdr:colOff>708660</xdr:colOff>
          <xdr:row>4</xdr:row>
          <xdr:rowOff>60960</xdr:rowOff>
        </xdr:to>
        <xdr:sp macro="" textlink="">
          <xdr:nvSpPr>
            <xdr:cNvPr id="18434" name="Drop Down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2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137948</xdr:colOff>
      <xdr:row>3</xdr:row>
      <xdr:rowOff>50581</xdr:rowOff>
    </xdr:from>
    <xdr:to>
      <xdr:col>18</xdr:col>
      <xdr:colOff>52552</xdr:colOff>
      <xdr:row>27</xdr:row>
      <xdr:rowOff>124810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0.00297</cdr:x>
      <cdr:y>0.01724</cdr:y>
    </cdr:from>
    <cdr:to>
      <cdr:x>0.1198</cdr:x>
      <cdr:y>0.08029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C733A1E-002E-B075-641A-824BDCCFF688}"/>
            </a:ext>
          </a:extLst>
        </cdr:cNvPr>
        <cdr:cNvSpPr txBox="1"/>
      </cdr:nvSpPr>
      <cdr:spPr>
        <a:xfrm xmlns:a="http://schemas.openxmlformats.org/drawingml/2006/main">
          <a:off x="19707" y="61092"/>
          <a:ext cx="775138" cy="2233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600" b="1" i="1"/>
            <a:t>in USD'm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12</xdr:col>
          <xdr:colOff>0</xdr:colOff>
          <xdr:row>2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A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83820</xdr:colOff>
          <xdr:row>1</xdr:row>
          <xdr:rowOff>0</xdr:rowOff>
        </xdr:from>
        <xdr:to>
          <xdr:col>11</xdr:col>
          <xdr:colOff>708660</xdr:colOff>
          <xdr:row>2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1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CBFA-FB29-4B7B-B5C5-5A2A862814B1}">
  <sheetPr>
    <tabColor rgb="FF92D050"/>
  </sheetPr>
  <dimension ref="A1:C19"/>
  <sheetViews>
    <sheetView showGridLines="0" tabSelected="1" zoomScaleNormal="100" workbookViewId="0">
      <selection activeCell="O7" sqref="O7"/>
    </sheetView>
  </sheetViews>
  <sheetFormatPr defaultColWidth="9.109375" defaultRowHeight="10.199999999999999" x14ac:dyDescent="0.2"/>
  <cols>
    <col min="1" max="1" width="2" style="257" customWidth="1"/>
    <col min="2" max="2" width="20.88671875" style="257" bestFit="1" customWidth="1"/>
    <col min="3" max="3" width="17.44140625" style="257" bestFit="1" customWidth="1"/>
    <col min="4" max="16384" width="9.109375" style="257"/>
  </cols>
  <sheetData>
    <row r="1" spans="1:3" x14ac:dyDescent="0.2">
      <c r="A1" s="263" t="s">
        <v>349</v>
      </c>
      <c r="C1" s="264" t="str">
        <f>"Last Update: "&amp;TEXT(MAX(Changelog!B:B),"dd-mmm-yyyy")</f>
        <v>Last Update: 17-Aug-2025</v>
      </c>
    </row>
    <row r="2" spans="1:3" ht="15.6" x14ac:dyDescent="0.3">
      <c r="B2" s="258" t="s">
        <v>343</v>
      </c>
    </row>
    <row r="3" spans="1:3" ht="12" x14ac:dyDescent="0.25">
      <c r="B3" s="259" t="s">
        <v>94</v>
      </c>
    </row>
    <row r="5" spans="1:3" x14ac:dyDescent="0.2">
      <c r="B5" s="260" t="s">
        <v>80</v>
      </c>
    </row>
    <row r="7" spans="1:3" x14ac:dyDescent="0.2">
      <c r="B7" s="261" t="s">
        <v>347</v>
      </c>
      <c r="C7" s="261" t="s">
        <v>348</v>
      </c>
    </row>
    <row r="8" spans="1:3" x14ac:dyDescent="0.2">
      <c r="B8" s="262" t="s">
        <v>273</v>
      </c>
      <c r="C8" s="257" t="s">
        <v>273</v>
      </c>
    </row>
    <row r="9" spans="1:3" x14ac:dyDescent="0.2">
      <c r="B9" s="262" t="s">
        <v>344</v>
      </c>
      <c r="C9" s="257" t="s">
        <v>290</v>
      </c>
    </row>
    <row r="10" spans="1:3" x14ac:dyDescent="0.2">
      <c r="B10" s="262" t="s">
        <v>282</v>
      </c>
      <c r="C10" s="257" t="s">
        <v>282</v>
      </c>
    </row>
    <row r="11" spans="1:3" x14ac:dyDescent="0.2">
      <c r="B11" s="262" t="s">
        <v>345</v>
      </c>
      <c r="C11" s="257" t="s">
        <v>277</v>
      </c>
    </row>
    <row r="12" spans="1:3" x14ac:dyDescent="0.2">
      <c r="B12" s="262" t="s">
        <v>346</v>
      </c>
      <c r="C12" s="257" t="s">
        <v>185</v>
      </c>
    </row>
    <row r="13" spans="1:3" x14ac:dyDescent="0.2">
      <c r="B13" s="262" t="s">
        <v>336</v>
      </c>
      <c r="C13" s="257" t="s">
        <v>258</v>
      </c>
    </row>
    <row r="14" spans="1:3" x14ac:dyDescent="0.2">
      <c r="B14" s="262" t="s">
        <v>350</v>
      </c>
      <c r="C14" s="257" t="s">
        <v>187</v>
      </c>
    </row>
    <row r="15" spans="1:3" x14ac:dyDescent="0.2">
      <c r="B15" s="262" t="s">
        <v>93</v>
      </c>
      <c r="C15" s="257" t="s">
        <v>93</v>
      </c>
    </row>
    <row r="16" spans="1:3" x14ac:dyDescent="0.2">
      <c r="B16" s="262" t="s">
        <v>351</v>
      </c>
      <c r="C16" s="257" t="s">
        <v>84</v>
      </c>
    </row>
    <row r="17" spans="2:3" x14ac:dyDescent="0.2">
      <c r="B17" s="262" t="s">
        <v>352</v>
      </c>
      <c r="C17" s="257" t="s">
        <v>66</v>
      </c>
    </row>
    <row r="18" spans="2:3" x14ac:dyDescent="0.2">
      <c r="B18" s="262" t="s">
        <v>353</v>
      </c>
      <c r="C18" s="257" t="s">
        <v>67</v>
      </c>
    </row>
    <row r="19" spans="2:3" x14ac:dyDescent="0.2">
      <c r="B19" s="262" t="s">
        <v>354</v>
      </c>
      <c r="C19" s="257" t="s">
        <v>157</v>
      </c>
    </row>
  </sheetData>
  <sheetProtection algorithmName="SHA-512" hashValue="MCFpRhK4F/nl3T7/dlKkMsQIK3emKmwmHshA5Mk2oDy7jOSYFLYIFEkREzE+PRuOEJGLOxNz8poE451jqQ46pA==" saltValue="djAxr0qjZK/xdH0sSD/lrQ==" spinCount="100000" sheet="1" objects="1" scenarios="1" formatCells="0" insertHyperlinks="0"/>
  <hyperlinks>
    <hyperlink ref="B8" location="'Revenue &amp; Margins'!A1" display="Revenue &amp; Margins" xr:uid="{ABF1DB53-2696-4C76-9DEE-0E032CF007C3}"/>
    <hyperlink ref="B9" location="'RevStepUp'!A1" display="RevStepUp" xr:uid="{3705129B-22A6-40AE-B5AF-BC702ECD64AC}"/>
    <hyperlink ref="B10" location="'Valuation'!A1" display="Valuation" xr:uid="{D1E497B5-DABE-4936-A004-EBDE47946742}"/>
    <hyperlink ref="B11" location="'ConsoView'!A1" display="ConsoView" xr:uid="{F9DCA465-EAB1-4361-AD35-2C19377ED8B6}"/>
    <hyperlink ref="B12" location="'CoreBusiness'!A1" display="CoreBusiness" xr:uid="{29646C5A-0A2F-4AA2-B797-0C35EECFA319}"/>
    <hyperlink ref="B13" location="'MintyTools'!A1" display="MintyTools" xr:uid="{26B12799-4B10-4253-934A-B58D8366227B}"/>
    <hyperlink ref="B14" location="'AcqPipeline'!A1" display="AcqPipeline" xr:uid="{30E54B38-F659-4DAC-9D52-564D313CCA9A}"/>
    <hyperlink ref="B15" location="'Corporate'!A1" display="Corporate" xr:uid="{A36DB116-8946-4D7B-8BFE-7948C2450317}"/>
    <hyperlink ref="B16" location="'Dev'!A1" display="Dev" xr:uid="{1688A18A-3762-4920-B6CA-CC02FEE4DE70}"/>
    <hyperlink ref="B17" location="'Pipeline'!A1" display="Pipeline" xr:uid="{BB256CD7-411A-4741-B334-D33651F4C7A8}"/>
    <hyperlink ref="B18" location="'Solids'!A1" display="Solids" xr:uid="{F38D68C2-DEB4-48F0-8DD0-D7C775E9E2A1}"/>
    <hyperlink ref="B19" location="'RockCodeAcq'!A1" display="RockCodeAcq" xr:uid="{9759DE9B-ADA7-4CD7-A2AF-DD27F6F4C5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62A4-6958-4ADC-813E-9E303A88CE5F}">
  <sheetPr>
    <tabColor theme="0" tint="-0.499984740745262"/>
  </sheetPr>
  <dimension ref="B2:C96"/>
  <sheetViews>
    <sheetView showGridLines="0" zoomScaleNormal="100" workbookViewId="0">
      <pane ySplit="5" topLeftCell="A6" activePane="bottomLeft" state="frozen"/>
      <selection pane="bottomLeft" activeCell="B43" sqref="B43"/>
    </sheetView>
  </sheetViews>
  <sheetFormatPr defaultColWidth="9.109375" defaultRowHeight="10.199999999999999" x14ac:dyDescent="0.2"/>
  <cols>
    <col min="1" max="1" width="2" style="39" customWidth="1"/>
    <col min="2" max="2" width="20.109375" style="39" customWidth="1"/>
    <col min="3" max="3" width="67.5546875" style="39" customWidth="1"/>
    <col min="4" max="16384" width="9.109375" style="39"/>
  </cols>
  <sheetData>
    <row r="2" spans="2:3" ht="15.6" x14ac:dyDescent="0.3">
      <c r="B2" s="37" t="s">
        <v>124</v>
      </c>
    </row>
    <row r="3" spans="2:3" x14ac:dyDescent="0.2">
      <c r="B3" s="38" t="s">
        <v>94</v>
      </c>
    </row>
    <row r="5" spans="2:3" x14ac:dyDescent="0.2">
      <c r="B5" s="112" t="s">
        <v>125</v>
      </c>
      <c r="C5" s="112" t="s">
        <v>97</v>
      </c>
    </row>
    <row r="6" spans="2:3" x14ac:dyDescent="0.2">
      <c r="B6" s="111">
        <v>45874</v>
      </c>
      <c r="C6" s="39" t="s">
        <v>305</v>
      </c>
    </row>
    <row r="7" spans="2:3" x14ac:dyDescent="0.2">
      <c r="B7" s="111"/>
      <c r="C7" s="39" t="s">
        <v>302</v>
      </c>
    </row>
    <row r="8" spans="2:3" x14ac:dyDescent="0.2">
      <c r="B8" s="111"/>
      <c r="C8" s="39" t="s">
        <v>303</v>
      </c>
    </row>
    <row r="9" spans="2:3" x14ac:dyDescent="0.2">
      <c r="B9" s="111"/>
      <c r="C9" s="39" t="s">
        <v>304</v>
      </c>
    </row>
    <row r="10" spans="2:3" x14ac:dyDescent="0.2">
      <c r="B10" s="111"/>
      <c r="C10" s="39" t="s">
        <v>306</v>
      </c>
    </row>
    <row r="11" spans="2:3" x14ac:dyDescent="0.2">
      <c r="B11" s="111"/>
      <c r="C11" s="39" t="s">
        <v>307</v>
      </c>
    </row>
    <row r="12" spans="2:3" x14ac:dyDescent="0.2">
      <c r="B12" s="111"/>
      <c r="C12" s="39" t="s">
        <v>308</v>
      </c>
    </row>
    <row r="13" spans="2:3" x14ac:dyDescent="0.2">
      <c r="B13" s="111"/>
      <c r="C13" s="75" t="s">
        <v>155</v>
      </c>
    </row>
    <row r="14" spans="2:3" x14ac:dyDescent="0.2">
      <c r="B14" s="44"/>
    </row>
    <row r="15" spans="2:3" x14ac:dyDescent="0.2">
      <c r="B15" s="111">
        <v>45875</v>
      </c>
      <c r="C15" s="39" t="s">
        <v>309</v>
      </c>
    </row>
    <row r="16" spans="2:3" x14ac:dyDescent="0.2">
      <c r="B16" s="111"/>
      <c r="C16" s="39" t="s">
        <v>310</v>
      </c>
    </row>
    <row r="17" spans="2:3" x14ac:dyDescent="0.2">
      <c r="B17" s="111"/>
      <c r="C17" s="39" t="s">
        <v>311</v>
      </c>
    </row>
    <row r="18" spans="2:3" x14ac:dyDescent="0.2">
      <c r="B18" s="111"/>
      <c r="C18" s="39" t="s">
        <v>312</v>
      </c>
    </row>
    <row r="19" spans="2:3" x14ac:dyDescent="0.2">
      <c r="B19" s="44"/>
    </row>
    <row r="20" spans="2:3" x14ac:dyDescent="0.2">
      <c r="B20" s="111">
        <v>45877</v>
      </c>
      <c r="C20" s="39" t="s">
        <v>313</v>
      </c>
    </row>
    <row r="21" spans="2:3" x14ac:dyDescent="0.2">
      <c r="B21" s="111"/>
      <c r="C21" s="39" t="s">
        <v>310</v>
      </c>
    </row>
    <row r="22" spans="2:3" x14ac:dyDescent="0.2">
      <c r="B22" s="111"/>
      <c r="C22" s="39" t="s">
        <v>311</v>
      </c>
    </row>
    <row r="23" spans="2:3" x14ac:dyDescent="0.2">
      <c r="B23" s="111"/>
      <c r="C23" s="39" t="s">
        <v>314</v>
      </c>
    </row>
    <row r="24" spans="2:3" x14ac:dyDescent="0.2">
      <c r="B24" s="44"/>
    </row>
    <row r="25" spans="2:3" x14ac:dyDescent="0.2">
      <c r="B25" s="111">
        <v>45878</v>
      </c>
      <c r="C25" s="39" t="s">
        <v>315</v>
      </c>
    </row>
    <row r="26" spans="2:3" x14ac:dyDescent="0.2">
      <c r="B26" s="44"/>
      <c r="C26" s="39" t="s">
        <v>310</v>
      </c>
    </row>
    <row r="27" spans="2:3" x14ac:dyDescent="0.2">
      <c r="B27" s="44"/>
      <c r="C27" s="39" t="s">
        <v>311</v>
      </c>
    </row>
    <row r="28" spans="2:3" x14ac:dyDescent="0.2">
      <c r="B28" s="44"/>
      <c r="C28" s="39" t="s">
        <v>316</v>
      </c>
    </row>
    <row r="29" spans="2:3" x14ac:dyDescent="0.2">
      <c r="B29" s="44"/>
    </row>
    <row r="30" spans="2:3" x14ac:dyDescent="0.2">
      <c r="B30" s="111">
        <v>45881</v>
      </c>
      <c r="C30" s="39" t="s">
        <v>317</v>
      </c>
    </row>
    <row r="31" spans="2:3" x14ac:dyDescent="0.2">
      <c r="B31" s="44"/>
      <c r="C31" s="39" t="s">
        <v>310</v>
      </c>
    </row>
    <row r="32" spans="2:3" x14ac:dyDescent="0.2">
      <c r="B32" s="44"/>
      <c r="C32" s="39" t="s">
        <v>318</v>
      </c>
    </row>
    <row r="33" spans="2:3" x14ac:dyDescent="0.2">
      <c r="B33" s="44"/>
      <c r="C33" s="39" t="s">
        <v>319</v>
      </c>
    </row>
    <row r="34" spans="2:3" x14ac:dyDescent="0.2">
      <c r="B34" s="44"/>
    </row>
    <row r="35" spans="2:3" x14ac:dyDescent="0.2">
      <c r="B35" s="111">
        <v>45882</v>
      </c>
      <c r="C35" s="39" t="s">
        <v>320</v>
      </c>
    </row>
    <row r="36" spans="2:3" x14ac:dyDescent="0.2">
      <c r="B36" s="44"/>
      <c r="C36" s="39" t="s">
        <v>321</v>
      </c>
    </row>
    <row r="37" spans="2:3" x14ac:dyDescent="0.2">
      <c r="B37" s="44"/>
      <c r="C37" s="39" t="s">
        <v>322</v>
      </c>
    </row>
    <row r="38" spans="2:3" x14ac:dyDescent="0.2">
      <c r="B38" s="44"/>
      <c r="C38" s="39" t="s">
        <v>323</v>
      </c>
    </row>
    <row r="39" spans="2:3" x14ac:dyDescent="0.2">
      <c r="B39" s="44"/>
    </row>
    <row r="40" spans="2:3" x14ac:dyDescent="0.2">
      <c r="B40" s="111">
        <v>45883</v>
      </c>
      <c r="C40" s="39" t="s">
        <v>324</v>
      </c>
    </row>
    <row r="41" spans="2:3" x14ac:dyDescent="0.2">
      <c r="C41" s="39" t="s">
        <v>325</v>
      </c>
    </row>
    <row r="42" spans="2:3" x14ac:dyDescent="0.2">
      <c r="C42" s="39" t="s">
        <v>326</v>
      </c>
    </row>
    <row r="43" spans="2:3" x14ac:dyDescent="0.2">
      <c r="C43" s="39" t="s">
        <v>327</v>
      </c>
    </row>
    <row r="44" spans="2:3" x14ac:dyDescent="0.2">
      <c r="C44" s="39" t="s">
        <v>328</v>
      </c>
    </row>
    <row r="46" spans="2:3" x14ac:dyDescent="0.2">
      <c r="B46" s="111">
        <v>45884</v>
      </c>
      <c r="C46" s="39" t="s">
        <v>330</v>
      </c>
    </row>
    <row r="47" spans="2:3" x14ac:dyDescent="0.2">
      <c r="B47" s="111"/>
      <c r="C47" s="39" t="s">
        <v>329</v>
      </c>
    </row>
    <row r="48" spans="2:3" x14ac:dyDescent="0.2">
      <c r="B48" s="111"/>
      <c r="C48" s="39" t="s">
        <v>331</v>
      </c>
    </row>
    <row r="49" spans="2:3" x14ac:dyDescent="0.2">
      <c r="B49" s="111"/>
      <c r="C49" s="39" t="s">
        <v>332</v>
      </c>
    </row>
    <row r="50" spans="2:3" x14ac:dyDescent="0.2">
      <c r="B50" s="111"/>
      <c r="C50" s="39" t="s">
        <v>333</v>
      </c>
    </row>
    <row r="51" spans="2:3" x14ac:dyDescent="0.2">
      <c r="B51" s="111"/>
      <c r="C51" s="39" t="s">
        <v>334</v>
      </c>
    </row>
    <row r="52" spans="2:3" x14ac:dyDescent="0.2">
      <c r="B52" s="111"/>
      <c r="C52" s="254" t="s">
        <v>335</v>
      </c>
    </row>
    <row r="53" spans="2:3" x14ac:dyDescent="0.2">
      <c r="B53" s="111"/>
    </row>
    <row r="54" spans="2:3" x14ac:dyDescent="0.2">
      <c r="B54" s="111">
        <v>45885</v>
      </c>
      <c r="C54" s="255" t="s">
        <v>336</v>
      </c>
    </row>
    <row r="55" spans="2:3" x14ac:dyDescent="0.2">
      <c r="B55" s="111"/>
      <c r="C55" s="39" t="s">
        <v>337</v>
      </c>
    </row>
    <row r="56" spans="2:3" x14ac:dyDescent="0.2">
      <c r="B56" s="111"/>
      <c r="C56" s="39" t="s">
        <v>338</v>
      </c>
    </row>
    <row r="57" spans="2:3" x14ac:dyDescent="0.2">
      <c r="B57" s="111"/>
    </row>
    <row r="58" spans="2:3" x14ac:dyDescent="0.2">
      <c r="B58" s="111">
        <v>45886</v>
      </c>
      <c r="C58" s="39" t="s">
        <v>339</v>
      </c>
    </row>
    <row r="59" spans="2:3" x14ac:dyDescent="0.2">
      <c r="B59" s="111"/>
      <c r="C59" s="39" t="s">
        <v>340</v>
      </c>
    </row>
    <row r="60" spans="2:3" x14ac:dyDescent="0.2">
      <c r="B60" s="111"/>
      <c r="C60" s="39" t="s">
        <v>341</v>
      </c>
    </row>
    <row r="61" spans="2:3" x14ac:dyDescent="0.2">
      <c r="B61" s="111"/>
      <c r="C61" s="39" t="s">
        <v>342</v>
      </c>
    </row>
    <row r="62" spans="2:3" x14ac:dyDescent="0.2">
      <c r="B62" s="111"/>
    </row>
    <row r="63" spans="2:3" x14ac:dyDescent="0.2">
      <c r="B63" s="111"/>
    </row>
    <row r="64" spans="2:3" x14ac:dyDescent="0.2">
      <c r="B64" s="111"/>
    </row>
    <row r="65" spans="2:2" x14ac:dyDescent="0.2">
      <c r="B65" s="111"/>
    </row>
    <row r="66" spans="2:2" x14ac:dyDescent="0.2">
      <c r="B66" s="111"/>
    </row>
    <row r="67" spans="2:2" x14ac:dyDescent="0.2">
      <c r="B67" s="111"/>
    </row>
    <row r="68" spans="2:2" x14ac:dyDescent="0.2">
      <c r="B68" s="111"/>
    </row>
    <row r="69" spans="2:2" x14ac:dyDescent="0.2">
      <c r="B69" s="111"/>
    </row>
    <row r="70" spans="2:2" x14ac:dyDescent="0.2">
      <c r="B70" s="111"/>
    </row>
    <row r="71" spans="2:2" x14ac:dyDescent="0.2">
      <c r="B71" s="111"/>
    </row>
    <row r="72" spans="2:2" x14ac:dyDescent="0.2">
      <c r="B72" s="111"/>
    </row>
    <row r="73" spans="2:2" x14ac:dyDescent="0.2">
      <c r="B73" s="111"/>
    </row>
    <row r="74" spans="2:2" x14ac:dyDescent="0.2">
      <c r="B74" s="111"/>
    </row>
    <row r="75" spans="2:2" x14ac:dyDescent="0.2">
      <c r="B75" s="111"/>
    </row>
    <row r="76" spans="2:2" x14ac:dyDescent="0.2">
      <c r="B76" s="111"/>
    </row>
    <row r="77" spans="2:2" x14ac:dyDescent="0.2">
      <c r="B77" s="111"/>
    </row>
    <row r="78" spans="2:2" x14ac:dyDescent="0.2">
      <c r="B78" s="111"/>
    </row>
    <row r="79" spans="2:2" x14ac:dyDescent="0.2">
      <c r="B79" s="111"/>
    </row>
    <row r="80" spans="2:2" x14ac:dyDescent="0.2">
      <c r="B80" s="111"/>
    </row>
    <row r="81" spans="2:2" x14ac:dyDescent="0.2">
      <c r="B81" s="111"/>
    </row>
    <row r="82" spans="2:2" x14ac:dyDescent="0.2">
      <c r="B82" s="111"/>
    </row>
    <row r="83" spans="2:2" x14ac:dyDescent="0.2">
      <c r="B83" s="111"/>
    </row>
    <row r="84" spans="2:2" x14ac:dyDescent="0.2">
      <c r="B84" s="111"/>
    </row>
    <row r="85" spans="2:2" x14ac:dyDescent="0.2">
      <c r="B85" s="111"/>
    </row>
    <row r="86" spans="2:2" x14ac:dyDescent="0.2">
      <c r="B86" s="111"/>
    </row>
    <row r="87" spans="2:2" x14ac:dyDescent="0.2">
      <c r="B87" s="111"/>
    </row>
    <row r="88" spans="2:2" x14ac:dyDescent="0.2">
      <c r="B88" s="111"/>
    </row>
    <row r="89" spans="2:2" x14ac:dyDescent="0.2">
      <c r="B89" s="111"/>
    </row>
    <row r="90" spans="2:2" x14ac:dyDescent="0.2">
      <c r="B90" s="111"/>
    </row>
    <row r="91" spans="2:2" x14ac:dyDescent="0.2">
      <c r="B91" s="111"/>
    </row>
    <row r="92" spans="2:2" x14ac:dyDescent="0.2">
      <c r="B92" s="111"/>
    </row>
    <row r="93" spans="2:2" x14ac:dyDescent="0.2">
      <c r="B93" s="111"/>
    </row>
    <row r="94" spans="2:2" x14ac:dyDescent="0.2">
      <c r="B94" s="111"/>
    </row>
    <row r="95" spans="2:2" x14ac:dyDescent="0.2">
      <c r="B95" s="111"/>
    </row>
    <row r="96" spans="2:2" x14ac:dyDescent="0.2">
      <c r="B96" s="1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D3B9-C0CD-4BCA-A2DC-31EAE07E1157}">
  <sheetPr>
    <tabColor rgb="FF92D050"/>
  </sheetPr>
  <dimension ref="B1:N33"/>
  <sheetViews>
    <sheetView showGridLines="0" zoomScaleNormal="100" workbookViewId="0">
      <pane ySplit="7" topLeftCell="A8" activePane="bottomLeft" state="frozen"/>
      <selection pane="bottomLeft"/>
    </sheetView>
  </sheetViews>
  <sheetFormatPr defaultColWidth="9.109375" defaultRowHeight="10.199999999999999" outlineLevelRow="1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6384" width="9.109375" style="39"/>
  </cols>
  <sheetData>
    <row r="1" spans="2:14" x14ac:dyDescent="0.2">
      <c r="B1" s="256" t="s">
        <v>343</v>
      </c>
    </row>
    <row r="2" spans="2:14" ht="15.6" x14ac:dyDescent="0.3">
      <c r="B2" s="37" t="s">
        <v>273</v>
      </c>
      <c r="C2" s="37"/>
      <c r="D2" s="37"/>
      <c r="J2" s="39" t="s">
        <v>275</v>
      </c>
    </row>
    <row r="3" spans="2:14" x14ac:dyDescent="0.2">
      <c r="B3" s="38" t="s">
        <v>94</v>
      </c>
      <c r="C3" s="38"/>
      <c r="D3" s="38"/>
    </row>
    <row r="4" spans="2:14" x14ac:dyDescent="0.2">
      <c r="J4" s="39" t="s">
        <v>276</v>
      </c>
    </row>
    <row r="5" spans="2:14" x14ac:dyDescent="0.2">
      <c r="B5" s="40" t="s">
        <v>80</v>
      </c>
      <c r="C5" s="40"/>
      <c r="D5" s="40"/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48" t="s">
        <v>129</v>
      </c>
      <c r="C9" s="48"/>
      <c r="D9" s="48"/>
      <c r="E9" s="36">
        <f>E$7</f>
        <v>2020</v>
      </c>
      <c r="F9" s="36">
        <f t="shared" ref="F9:L9" si="1">F$7</f>
        <v>2021</v>
      </c>
      <c r="G9" s="36">
        <f t="shared" si="1"/>
        <v>2022</v>
      </c>
      <c r="H9" s="36">
        <f t="shared" si="1"/>
        <v>2023</v>
      </c>
      <c r="I9" s="36">
        <f t="shared" si="1"/>
        <v>2024</v>
      </c>
      <c r="J9" s="36">
        <f t="shared" si="1"/>
        <v>2025</v>
      </c>
      <c r="K9" s="36">
        <f t="shared" si="1"/>
        <v>2026</v>
      </c>
      <c r="L9" s="36">
        <f t="shared" si="1"/>
        <v>2027</v>
      </c>
    </row>
    <row r="10" spans="2:14" x14ac:dyDescent="0.2">
      <c r="B10" s="39" t="s">
        <v>183</v>
      </c>
      <c r="E10" s="84">
        <f>IF(Config!E$10="on",Corporate!E113,0)</f>
        <v>0</v>
      </c>
      <c r="F10" s="84">
        <f>IF(Config!F$10="on",Corporate!F113,0)</f>
        <v>0</v>
      </c>
      <c r="G10" s="84">
        <f>IF(Config!G$10="on",Corporate!G113,0)</f>
        <v>0</v>
      </c>
      <c r="H10" s="84">
        <f>IF(Config!H$10="on",Corporate!H113,0)</f>
        <v>0</v>
      </c>
      <c r="I10" s="84">
        <f>IF(Config!I$10="on",Corporate!I113,0)</f>
        <v>0</v>
      </c>
      <c r="J10" s="84">
        <f>IF(Config!J$10="on",Corporate!J113,0)</f>
        <v>0</v>
      </c>
      <c r="K10" s="84">
        <f>IF(Config!K$10="on",Corporate!K113,0)</f>
        <v>0</v>
      </c>
      <c r="L10" s="84">
        <f>IF(Config!L$10="on",Corporate!L113,0)</f>
        <v>0</v>
      </c>
    </row>
    <row r="11" spans="2:14" x14ac:dyDescent="0.2">
      <c r="B11" s="39" t="s">
        <v>84</v>
      </c>
      <c r="E11" s="84">
        <f>IF(Config!E$11="on",Dev!E114,0)</f>
        <v>282130.96059999999</v>
      </c>
      <c r="F11" s="84">
        <f>IF(Config!F$11="on",Dev!F114,0)</f>
        <v>326602.25880000001</v>
      </c>
      <c r="G11" s="84">
        <f>IF(Config!G$11="on",Dev!G114,0)</f>
        <v>363274.00099999999</v>
      </c>
      <c r="H11" s="84">
        <f>IF(Config!H$11="on",Dev!H114,0)</f>
        <v>381437.70105000003</v>
      </c>
      <c r="I11" s="84">
        <f>IF(Config!I$11="on",Dev!I114,0)</f>
        <v>400509.58610250003</v>
      </c>
      <c r="J11" s="84">
        <f>IF(Config!J$11="on",Dev!J114,0)</f>
        <v>420535.06540762505</v>
      </c>
      <c r="K11" s="84">
        <f>IF(Config!K$11="on",Dev!K114,0)</f>
        <v>441561.8186780063</v>
      </c>
      <c r="L11" s="84">
        <f>IF(Config!L$11="on",Dev!L114,0)</f>
        <v>463639.90961190662</v>
      </c>
    </row>
    <row r="12" spans="2:14" x14ac:dyDescent="0.2">
      <c r="B12" s="39" t="s">
        <v>66</v>
      </c>
      <c r="E12" s="84">
        <f>IF(Config!E$12="on",Pipeline!E114,0)</f>
        <v>62598</v>
      </c>
      <c r="F12" s="84">
        <f>IF(Config!F$12="on",Pipeline!F114,0)</f>
        <v>65540.106</v>
      </c>
      <c r="G12" s="84">
        <f>IF(Config!G$12="on",Pipeline!G114,0)</f>
        <v>70914.394692000002</v>
      </c>
      <c r="H12" s="84">
        <f>IF(Config!H$12="on",Pipeline!H114,0)</f>
        <v>74460.114426600005</v>
      </c>
      <c r="I12" s="84">
        <f>IF(Config!I$12="on",Pipeline!I114,0)</f>
        <v>78183.120147930007</v>
      </c>
      <c r="J12" s="84">
        <f>IF(Config!J$12="on",Pipeline!J114,0)</f>
        <v>82092.276155326515</v>
      </c>
      <c r="K12" s="84">
        <f>IF(Config!K$12="on",Pipeline!K114,0)</f>
        <v>86196.88996309285</v>
      </c>
      <c r="L12" s="84">
        <f>IF(Config!L$12="on",Pipeline!L114,0)</f>
        <v>90506.734461247499</v>
      </c>
    </row>
    <row r="13" spans="2:14" x14ac:dyDescent="0.2">
      <c r="B13" s="39" t="s">
        <v>67</v>
      </c>
      <c r="E13" s="84">
        <f>IF(Config!E$13="on",Solids!E114,0)</f>
        <v>135697</v>
      </c>
      <c r="F13" s="84">
        <f>IF(Config!F$13="on",Solids!F114,0)</f>
        <v>146281.36600000001</v>
      </c>
      <c r="G13" s="84">
        <f>IF(Config!G$13="on",Solids!G114,0)</f>
        <v>159300.40757400001</v>
      </c>
      <c r="H13" s="84">
        <f>IF(Config!H$13="on",Solids!H114,0)</f>
        <v>167265.42795270003</v>
      </c>
      <c r="I13" s="84">
        <f>IF(Config!I$13="on",Solids!I114,0)</f>
        <v>175628.69935033505</v>
      </c>
      <c r="J13" s="84">
        <f>IF(Config!J$13="on",Solids!J114,0)</f>
        <v>184410.1343178518</v>
      </c>
      <c r="K13" s="84">
        <f>IF(Config!K$13="on",Solids!K114,0)</f>
        <v>193630.64103374441</v>
      </c>
      <c r="L13" s="84">
        <f>IF(Config!L$13="on",Solids!L114,0)</f>
        <v>203312.17308543163</v>
      </c>
    </row>
    <row r="14" spans="2:14" x14ac:dyDescent="0.2">
      <c r="B14" s="39" t="s">
        <v>157</v>
      </c>
      <c r="E14" s="84">
        <f>IF(Config!E$14="on",RockCodeAcq!E155,0)</f>
        <v>45860</v>
      </c>
      <c r="F14" s="84">
        <f>IF(Config!F$14="on",RockCodeAcq!F155,0)</f>
        <v>55719.9</v>
      </c>
      <c r="G14" s="84">
        <f>IF(Config!G$14="on",RockCodeAcq!G155,0)</f>
        <v>71210.032200000001</v>
      </c>
      <c r="H14" s="84">
        <f>IF(Config!H$14="on",RockCodeAcq!H155,0)</f>
        <v>74770.533810000008</v>
      </c>
      <c r="I14" s="84">
        <f>IF(Config!I$14="on",RockCodeAcq!I155,0)</f>
        <v>78509.060500500011</v>
      </c>
      <c r="J14" s="84">
        <f>IF(Config!J$14="on",RockCodeAcq!J155,0)</f>
        <v>82434.513525525021</v>
      </c>
      <c r="K14" s="84">
        <f>IF(Config!K$14="on",RockCodeAcq!K155,0)</f>
        <v>86556.239201801276</v>
      </c>
      <c r="L14" s="84">
        <f>IF(Config!L$14="on",RockCodeAcq!L155,0)</f>
        <v>90884.051161891344</v>
      </c>
    </row>
    <row r="15" spans="2:14" x14ac:dyDescent="0.2">
      <c r="B15" s="39" t="s">
        <v>187</v>
      </c>
      <c r="E15" s="84">
        <f>IF(Config!E$15="on",AcqPipeline!E248,0)</f>
        <v>0</v>
      </c>
      <c r="F15" s="84">
        <f>IF(Config!F$15="on",AcqPipeline!F248,0)</f>
        <v>0</v>
      </c>
      <c r="G15" s="84">
        <f>IF(Config!G$15="on",AcqPipeline!G248,0)</f>
        <v>0</v>
      </c>
      <c r="H15" s="84">
        <f>IF(Config!H$15="on",AcqPipeline!H248,0)</f>
        <v>100000</v>
      </c>
      <c r="I15" s="84">
        <f>IF(Config!I$15="on",AcqPipeline!I248,0)</f>
        <v>207500</v>
      </c>
      <c r="J15" s="84">
        <f>IF(Config!J$15="on",AcqPipeline!J248,0)</f>
        <v>323062.5</v>
      </c>
      <c r="K15" s="84">
        <f>IF(Config!K$15="on",AcqPipeline!K248,0)</f>
        <v>497292.1875</v>
      </c>
      <c r="L15" s="84">
        <f>IF(Config!L$15="on",AcqPipeline!L248,0)</f>
        <v>734589.1015625</v>
      </c>
    </row>
    <row r="16" spans="2:14" x14ac:dyDescent="0.2">
      <c r="B16" s="39" t="s">
        <v>258</v>
      </c>
      <c r="E16" s="84">
        <f>IF(Config!E$16="on",MintyTools!E108,0)</f>
        <v>0</v>
      </c>
      <c r="F16" s="84">
        <f>IF(Config!F$16="on",MintyTools!F108,0)</f>
        <v>0</v>
      </c>
      <c r="G16" s="84">
        <f>IF(Config!G$16="on",MintyTools!G108,0)</f>
        <v>0</v>
      </c>
      <c r="H16" s="84">
        <f>IF(Config!H$16="on",MintyTools!H108,0)</f>
        <v>78517.549939421267</v>
      </c>
      <c r="I16" s="84">
        <f>IF(Config!I$16="on",MintyTools!I108,0)</f>
        <v>210082.61652531626</v>
      </c>
      <c r="J16" s="84">
        <f>IF(Config!J$16="on",MintyTools!J108,0)</f>
        <v>372200.43352737313</v>
      </c>
      <c r="K16" s="84">
        <f>IF(Config!K$16="on",MintyTools!K108,0)</f>
        <v>554514.13266078965</v>
      </c>
      <c r="L16" s="84">
        <f>IF(Config!L$16="on",MintyTools!L108,0)</f>
        <v>847045.83155332343</v>
      </c>
    </row>
    <row r="17" spans="2:12" ht="10.8" thickBot="1" x14ac:dyDescent="0.25">
      <c r="B17" s="162" t="s">
        <v>274</v>
      </c>
      <c r="C17" s="162"/>
      <c r="D17" s="162"/>
      <c r="E17" s="163">
        <f>SUM(E10:E16)</f>
        <v>526285.96059999999</v>
      </c>
      <c r="F17" s="163">
        <f t="shared" ref="F17:L17" si="2">SUM(F10:F16)</f>
        <v>594143.63080000004</v>
      </c>
      <c r="G17" s="163">
        <f t="shared" si="2"/>
        <v>664698.83546600002</v>
      </c>
      <c r="H17" s="163">
        <f t="shared" si="2"/>
        <v>876451.32717872132</v>
      </c>
      <c r="I17" s="163">
        <f t="shared" si="2"/>
        <v>1150413.0826265812</v>
      </c>
      <c r="J17" s="163">
        <f t="shared" si="2"/>
        <v>1464734.9229337014</v>
      </c>
      <c r="K17" s="163">
        <f t="shared" si="2"/>
        <v>1859751.9090374345</v>
      </c>
      <c r="L17" s="163">
        <f t="shared" si="2"/>
        <v>2429977.8014363004</v>
      </c>
    </row>
    <row r="19" spans="2:12" outlineLevel="1" x14ac:dyDescent="0.2">
      <c r="B19" s="39" t="s">
        <v>129</v>
      </c>
      <c r="E19" s="244">
        <f>ConsoView!E11</f>
        <v>526285.96059999999</v>
      </c>
      <c r="F19" s="244">
        <f>ConsoView!F11</f>
        <v>594143.63080000004</v>
      </c>
      <c r="G19" s="244">
        <f>ConsoView!G11</f>
        <v>664698.83546600002</v>
      </c>
      <c r="H19" s="244">
        <f>ConsoView!H11</f>
        <v>876451.32717872132</v>
      </c>
      <c r="I19" s="244">
        <f>ConsoView!I11</f>
        <v>1150413.0826265812</v>
      </c>
      <c r="J19" s="244">
        <f>ConsoView!J11</f>
        <v>1464734.9229337014</v>
      </c>
      <c r="K19" s="244">
        <f>ConsoView!K11</f>
        <v>1859751.9090374345</v>
      </c>
      <c r="L19" s="244">
        <f>ConsoView!L11</f>
        <v>2429977.8014363004</v>
      </c>
    </row>
    <row r="20" spans="2:12" outlineLevel="1" x14ac:dyDescent="0.2">
      <c r="B20" s="247" t="s">
        <v>278</v>
      </c>
      <c r="C20" s="247"/>
      <c r="D20" s="247"/>
      <c r="E20" s="248">
        <f>E17-E19</f>
        <v>0</v>
      </c>
      <c r="F20" s="248">
        <f t="shared" ref="F20:L20" si="3">F17-F19</f>
        <v>0</v>
      </c>
      <c r="G20" s="248">
        <f t="shared" si="3"/>
        <v>0</v>
      </c>
      <c r="H20" s="248">
        <f t="shared" si="3"/>
        <v>0</v>
      </c>
      <c r="I20" s="248">
        <f t="shared" si="3"/>
        <v>0</v>
      </c>
      <c r="J20" s="248">
        <f t="shared" si="3"/>
        <v>0</v>
      </c>
      <c r="K20" s="248">
        <f t="shared" si="3"/>
        <v>0</v>
      </c>
      <c r="L20" s="248">
        <f t="shared" si="3"/>
        <v>0</v>
      </c>
    </row>
    <row r="22" spans="2:12" x14ac:dyDescent="0.2">
      <c r="B22" s="48" t="s">
        <v>20</v>
      </c>
      <c r="C22" s="48"/>
      <c r="D22" s="48"/>
      <c r="E22" s="36">
        <f>E$7</f>
        <v>2020</v>
      </c>
      <c r="F22" s="36">
        <f t="shared" ref="F22:L22" si="4">F$7</f>
        <v>2021</v>
      </c>
      <c r="G22" s="36">
        <f t="shared" si="4"/>
        <v>2022</v>
      </c>
      <c r="H22" s="36">
        <f t="shared" si="4"/>
        <v>2023</v>
      </c>
      <c r="I22" s="36">
        <f t="shared" si="4"/>
        <v>2024</v>
      </c>
      <c r="J22" s="36">
        <f t="shared" si="4"/>
        <v>2025</v>
      </c>
      <c r="K22" s="36">
        <f t="shared" si="4"/>
        <v>2026</v>
      </c>
      <c r="L22" s="36">
        <f t="shared" si="4"/>
        <v>2027</v>
      </c>
    </row>
    <row r="23" spans="2:12" x14ac:dyDescent="0.2">
      <c r="B23" s="39" t="s">
        <v>183</v>
      </c>
      <c r="E23" s="84">
        <f>IF(Config!E$10="on",Corporate!E129,0)</f>
        <v>-18559.999999999996</v>
      </c>
      <c r="F23" s="84">
        <f>IF(Config!F$10="on",Corporate!F129,0)</f>
        <v>-19580.799999999992</v>
      </c>
      <c r="G23" s="84">
        <f>IF(Config!G$10="on",Corporate!G129,0)</f>
        <v>-21480.137599999995</v>
      </c>
      <c r="H23" s="84">
        <f>IF(Config!H$10="on",Corporate!H129,0)</f>
        <v>-22554.144479999995</v>
      </c>
      <c r="I23" s="84">
        <f>IF(Config!I$10="on",Corporate!I129,0)</f>
        <v>-23681.851703999997</v>
      </c>
      <c r="J23" s="84">
        <f>IF(Config!J$10="on",Corporate!J129,0)</f>
        <v>-24865.944289199997</v>
      </c>
      <c r="K23" s="84">
        <f>IF(Config!K$10="on",Corporate!K129,0)</f>
        <v>-26109.24150366</v>
      </c>
      <c r="L23" s="84">
        <f>IF(Config!L$10="on",Corporate!L129,0)</f>
        <v>-27414.703578843</v>
      </c>
    </row>
    <row r="24" spans="2:12" x14ac:dyDescent="0.2">
      <c r="B24" s="39" t="s">
        <v>84</v>
      </c>
      <c r="E24" s="84">
        <f>IF(Config!E$11="on",Dev!E130,0)</f>
        <v>53854.995523608493</v>
      </c>
      <c r="F24" s="84">
        <f>IF(Config!F$11="on",Dev!F130,0)</f>
        <v>64695.178134698275</v>
      </c>
      <c r="G24" s="84">
        <f>IF(Config!G$11="on",Dev!G130,0)</f>
        <v>72445.098703957163</v>
      </c>
      <c r="H24" s="84">
        <f>IF(Config!H$11="on",Dev!H130,0)</f>
        <v>74811.983951975009</v>
      </c>
      <c r="I24" s="84">
        <f>IF(Config!I$11="on",Dev!I130,0)</f>
        <v>79252.817978614068</v>
      </c>
      <c r="J24" s="84">
        <f>IF(Config!J$11="on",Dev!J130,0)</f>
        <v>83186.64285725524</v>
      </c>
      <c r="K24" s="84">
        <f>IF(Config!K$11="on",Dev!K130,0)</f>
        <v>87108.809914648358</v>
      </c>
      <c r="L24" s="84">
        <f>IF(Config!L$11="on",Dev!L130,0)</f>
        <v>91640.855857665883</v>
      </c>
    </row>
    <row r="25" spans="2:12" x14ac:dyDescent="0.2">
      <c r="B25" s="39" t="s">
        <v>66</v>
      </c>
      <c r="E25" s="84">
        <f>IF(Config!E$12="on",Pipeline!E130,0)</f>
        <v>6447.5939999999937</v>
      </c>
      <c r="F25" s="84">
        <f>IF(Config!F$12="on",Pipeline!F130,0)</f>
        <v>8454.6736740000051</v>
      </c>
      <c r="G25" s="84">
        <f>IF(Config!G$12="on",Pipeline!G130,0)</f>
        <v>7871.4978108120013</v>
      </c>
      <c r="H25" s="84">
        <f>IF(Config!H$12="on",Pipeline!H130,0)</f>
        <v>8513.2730827746018</v>
      </c>
      <c r="I25" s="84">
        <f>IF(Config!I$12="on",Pipeline!I130,0)</f>
        <v>9234.2951908055111</v>
      </c>
      <c r="J25" s="84">
        <f>IF(Config!J$12="on",Pipeline!J130,0)</f>
        <v>9398.0453924486719</v>
      </c>
      <c r="K25" s="84">
        <f>IF(Config!K$12="on",Pipeline!K130,0)</f>
        <v>9967.9786207937068</v>
      </c>
      <c r="L25" s="84">
        <f>IF(Config!L$12="on",Pipeline!L130,0)</f>
        <v>10505.857855754752</v>
      </c>
    </row>
    <row r="26" spans="2:12" x14ac:dyDescent="0.2">
      <c r="B26" s="39" t="s">
        <v>67</v>
      </c>
      <c r="E26" s="84">
        <f>IF(Config!E$13="on",Solids!E130,0)</f>
        <v>25646.732999999993</v>
      </c>
      <c r="F26" s="84">
        <f>IF(Config!F$13="on",Solids!F130,0)</f>
        <v>25277.42004479999</v>
      </c>
      <c r="G26" s="84">
        <f>IF(Config!G$13="on",Solids!G130,0)</f>
        <v>28355.472548171987</v>
      </c>
      <c r="H26" s="84">
        <f>IF(Config!H$13="on",Solids!H130,0)</f>
        <v>30096.626002955811</v>
      </c>
      <c r="I26" s="84">
        <f>IF(Config!I$13="on",Solids!I130,0)</f>
        <v>31070.668345067053</v>
      </c>
      <c r="J26" s="84">
        <f>IF(Config!J$13="on",Solids!J130,0)</f>
        <v>32876.911946385619</v>
      </c>
      <c r="K26" s="84">
        <f>IF(Config!K$13="on",Solids!K130,0)</f>
        <v>34538.925356937681</v>
      </c>
      <c r="L26" s="84">
        <f>IF(Config!L$13="on",Solids!L130,0)</f>
        <v>36160.283162877662</v>
      </c>
    </row>
    <row r="27" spans="2:12" x14ac:dyDescent="0.2">
      <c r="B27" s="39" t="s">
        <v>157</v>
      </c>
      <c r="E27" s="84">
        <f>IF(Config!E$14="on",RockCodeAcq!E171,0)</f>
        <v>9584.7400000000016</v>
      </c>
      <c r="F27" s="84">
        <f>IF(Config!F$14="on",RockCodeAcq!F171,0)</f>
        <v>10742.796719999995</v>
      </c>
      <c r="G27" s="84">
        <f>IF(Config!G$14="on",RockCodeAcq!G171,0)</f>
        <v>14598.056600999989</v>
      </c>
      <c r="H27" s="84">
        <f>IF(Config!H$14="on",RockCodeAcq!H171,0)</f>
        <v>15123.586638635999</v>
      </c>
      <c r="I27" s="84">
        <f>IF(Config!I$14="on",RockCodeAcq!I171,0)</f>
        <v>15703.556745888898</v>
      </c>
      <c r="J27" s="84">
        <f>IF(Config!J$14="on",RockCodeAcq!J171,0)</f>
        <v>16687.188041670735</v>
      </c>
      <c r="K27" s="84">
        <f>IF(Config!K$14="on",RockCodeAcq!K171,0)</f>
        <v>17447.386912882597</v>
      </c>
      <c r="L27" s="84">
        <f>IF(Config!L$14="on",RockCodeAcq!L171,0)</f>
        <v>18298.736984142786</v>
      </c>
    </row>
    <row r="28" spans="2:12" x14ac:dyDescent="0.2">
      <c r="B28" s="39" t="s">
        <v>187</v>
      </c>
      <c r="E28" s="84">
        <f>IF(Config!E$15="on",AcqPipeline!E264,0)</f>
        <v>0</v>
      </c>
      <c r="F28" s="84">
        <f>IF(Config!F$15="on",AcqPipeline!F264,0)</f>
        <v>0</v>
      </c>
      <c r="G28" s="84">
        <f>IF(Config!G$15="on",AcqPipeline!G264,0)</f>
        <v>0</v>
      </c>
      <c r="H28" s="84">
        <f>IF(Config!H$15="on",AcqPipeline!H264,0)</f>
        <v>17112.5</v>
      </c>
      <c r="I28" s="84">
        <f>IF(Config!I$15="on",AcqPipeline!I264,0)</f>
        <v>40762.500000000015</v>
      </c>
      <c r="J28" s="84">
        <f>IF(Config!J$15="on",AcqPipeline!J264,0)</f>
        <v>68497.500000000015</v>
      </c>
      <c r="K28" s="84">
        <f>IF(Config!K$15="on",AcqPipeline!K264,0)</f>
        <v>108111.17187500003</v>
      </c>
      <c r="L28" s="84">
        <f>IF(Config!L$15="on",AcqPipeline!L264,0)</f>
        <v>161879.15039062503</v>
      </c>
    </row>
    <row r="29" spans="2:12" x14ac:dyDescent="0.2">
      <c r="B29" s="39" t="s">
        <v>258</v>
      </c>
      <c r="E29" s="84">
        <f>IF(Config!E$16="on",MintyTools!E124,0)</f>
        <v>0</v>
      </c>
      <c r="F29" s="84">
        <f>IF(Config!F$16="on",MintyTools!F124,0)</f>
        <v>0</v>
      </c>
      <c r="G29" s="84">
        <f>IF(Config!G$16="on",MintyTools!G124,0)</f>
        <v>0</v>
      </c>
      <c r="H29" s="84">
        <f>IF(Config!H$16="on",MintyTools!H124,0)</f>
        <v>23555.264981826382</v>
      </c>
      <c r="I29" s="84">
        <f>IF(Config!I$16="on",MintyTools!I124,0)</f>
        <v>73528.915783860706</v>
      </c>
      <c r="J29" s="84">
        <f>IF(Config!J$16="on",MintyTools!J124,0)</f>
        <v>130270.15173458062</v>
      </c>
      <c r="K29" s="84">
        <f>IF(Config!K$16="on",MintyTools!K124,0)</f>
        <v>166354.2397982369</v>
      </c>
      <c r="L29" s="84">
        <f>IF(Config!L$16="on",MintyTools!L124,0)</f>
        <v>169409.16631066467</v>
      </c>
    </row>
    <row r="30" spans="2:12" ht="10.8" thickBot="1" x14ac:dyDescent="0.25">
      <c r="B30" s="162" t="s">
        <v>279</v>
      </c>
      <c r="C30" s="162"/>
      <c r="D30" s="162"/>
      <c r="E30" s="163">
        <f>SUM(E23:E29)</f>
        <v>76974.062523608489</v>
      </c>
      <c r="F30" s="163">
        <f t="shared" ref="F30" si="5">SUM(F23:F29)</f>
        <v>89589.268573498281</v>
      </c>
      <c r="G30" s="163">
        <f t="shared" ref="G30" si="6">SUM(G23:G29)</f>
        <v>101789.98806394116</v>
      </c>
      <c r="H30" s="163">
        <f t="shared" ref="H30" si="7">SUM(H23:H29)</f>
        <v>146659.0901781678</v>
      </c>
      <c r="I30" s="163">
        <f t="shared" ref="I30" si="8">SUM(I23:I29)</f>
        <v>225870.90234023624</v>
      </c>
      <c r="J30" s="163">
        <f t="shared" ref="J30" si="9">SUM(J23:J29)</f>
        <v>316050.49568314094</v>
      </c>
      <c r="K30" s="163">
        <f t="shared" ref="K30" si="10">SUM(K23:K29)</f>
        <v>397419.27097483928</v>
      </c>
      <c r="L30" s="163">
        <f t="shared" ref="L30" si="11">SUM(L23:L29)</f>
        <v>460479.34698288777</v>
      </c>
    </row>
    <row r="32" spans="2:12" outlineLevel="1" x14ac:dyDescent="0.2">
      <c r="B32" s="39" t="s">
        <v>129</v>
      </c>
      <c r="E32" s="244">
        <f>ConsoView!E27</f>
        <v>76974.062523608533</v>
      </c>
      <c r="F32" s="244">
        <f>ConsoView!F27</f>
        <v>89589.268573498266</v>
      </c>
      <c r="G32" s="244">
        <f>ConsoView!G27</f>
        <v>101789.98806394113</v>
      </c>
      <c r="H32" s="244">
        <f>ConsoView!H27</f>
        <v>146659.09017816768</v>
      </c>
      <c r="I32" s="244">
        <f>ConsoView!I27</f>
        <v>225870.90234023606</v>
      </c>
      <c r="J32" s="244">
        <f>ConsoView!J27</f>
        <v>316050.4956831407</v>
      </c>
      <c r="K32" s="244">
        <f>ConsoView!K27</f>
        <v>397419.27097483934</v>
      </c>
      <c r="L32" s="244">
        <f>ConsoView!L27</f>
        <v>460479.34698288771</v>
      </c>
    </row>
    <row r="33" spans="2:12" outlineLevel="1" x14ac:dyDescent="0.2">
      <c r="B33" s="247" t="s">
        <v>278</v>
      </c>
      <c r="C33" s="247"/>
      <c r="D33" s="247"/>
      <c r="E33" s="248">
        <f>E30-E32</f>
        <v>0</v>
      </c>
      <c r="F33" s="248">
        <f t="shared" ref="F33" si="12">F30-F32</f>
        <v>0</v>
      </c>
      <c r="G33" s="248">
        <f t="shared" ref="G33" si="13">G30-G32</f>
        <v>0</v>
      </c>
      <c r="H33" s="248">
        <f t="shared" ref="H33" si="14">H30-H32</f>
        <v>0</v>
      </c>
      <c r="I33" s="248">
        <f t="shared" ref="I33" si="15">I30-I32</f>
        <v>0</v>
      </c>
      <c r="J33" s="248">
        <f t="shared" ref="J33" si="16">J30-J32</f>
        <v>0</v>
      </c>
      <c r="K33" s="248">
        <f t="shared" ref="K33" si="17">K30-K32</f>
        <v>0</v>
      </c>
      <c r="L33" s="248">
        <f t="shared" ref="L33" si="18">L30-L32</f>
        <v>0</v>
      </c>
    </row>
  </sheetData>
  <hyperlinks>
    <hyperlink ref="B1" location="'TOC'!A1" display="Table of Contents" xr:uid="{77F39EC7-94A4-4996-B85C-689DAABC2168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Drop Down 1">
              <controlPr defaultSize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708660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Drop Down 2">
              <controlPr defaultSize="0" autoLine="0" autoPict="0">
                <anchor moveWithCells="1">
                  <from>
                    <xdr:col>10</xdr:col>
                    <xdr:colOff>0</xdr:colOff>
                    <xdr:row>2</xdr:row>
                    <xdr:rowOff>144780</xdr:rowOff>
                  </from>
                  <to>
                    <xdr:col>11</xdr:col>
                    <xdr:colOff>708660</xdr:colOff>
                    <xdr:row>4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64C5-2D3E-492A-AAF4-6F8FA74D4CDB}">
  <sheetPr>
    <tabColor rgb="FF92D050"/>
  </sheetPr>
  <dimension ref="B1:G17"/>
  <sheetViews>
    <sheetView showGridLines="0" zoomScaleNormal="100" workbookViewId="0"/>
  </sheetViews>
  <sheetFormatPr defaultColWidth="9.109375" defaultRowHeight="10.199999999999999" x14ac:dyDescent="0.2"/>
  <cols>
    <col min="1" max="1" width="2" style="39" customWidth="1"/>
    <col min="2" max="2" width="27.33203125" style="39" bestFit="1" customWidth="1"/>
    <col min="3" max="3" width="10.6640625" style="39" bestFit="1" customWidth="1"/>
    <col min="4" max="16384" width="9.109375" style="39"/>
  </cols>
  <sheetData>
    <row r="1" spans="2:7" x14ac:dyDescent="0.2">
      <c r="B1" s="256" t="s">
        <v>343</v>
      </c>
    </row>
    <row r="2" spans="2:7" ht="15.6" x14ac:dyDescent="0.3">
      <c r="B2" s="37" t="s">
        <v>290</v>
      </c>
    </row>
    <row r="3" spans="2:7" x14ac:dyDescent="0.2">
      <c r="B3" s="38" t="s">
        <v>94</v>
      </c>
    </row>
    <row r="5" spans="2:7" x14ac:dyDescent="0.2">
      <c r="B5" s="40" t="s">
        <v>80</v>
      </c>
    </row>
    <row r="7" spans="2:7" x14ac:dyDescent="0.2">
      <c r="B7" s="253" t="s">
        <v>291</v>
      </c>
      <c r="C7" s="253" t="s">
        <v>292</v>
      </c>
      <c r="D7" s="253" t="s">
        <v>293</v>
      </c>
      <c r="E7" s="253" t="s">
        <v>294</v>
      </c>
      <c r="F7" s="253" t="s">
        <v>295</v>
      </c>
      <c r="G7" s="253" t="s">
        <v>296</v>
      </c>
    </row>
    <row r="8" spans="2:7" x14ac:dyDescent="0.2">
      <c r="B8" s="161" t="s">
        <v>297</v>
      </c>
      <c r="C8" s="200">
        <f>'Revenue &amp; Margins'!G11+'Revenue &amp; Margins'!G12+'Revenue &amp; Margins'!G13</f>
        <v>593488.803266</v>
      </c>
      <c r="D8" s="200"/>
      <c r="E8" s="200">
        <f>C8</f>
        <v>593488.803266</v>
      </c>
      <c r="F8" s="200"/>
      <c r="G8" s="200"/>
    </row>
    <row r="9" spans="2:7" x14ac:dyDescent="0.2">
      <c r="B9" s="39" t="s">
        <v>298</v>
      </c>
      <c r="C9" s="84">
        <f>CoreBusiness!H11-CoreBusiness!G11</f>
        <v>29674.440163300023</v>
      </c>
      <c r="D9" s="84">
        <f>C8</f>
        <v>593488.803266</v>
      </c>
      <c r="E9" s="84"/>
      <c r="F9" s="84">
        <f>C9</f>
        <v>29674.440163300023</v>
      </c>
      <c r="G9" s="84">
        <f>D9+F9</f>
        <v>623163.24342930003</v>
      </c>
    </row>
    <row r="10" spans="2:7" x14ac:dyDescent="0.2">
      <c r="B10" s="39" t="s">
        <v>299</v>
      </c>
      <c r="C10" s="84">
        <f>'Revenue &amp; Margins'!H14</f>
        <v>74770.533810000008</v>
      </c>
      <c r="D10" s="84">
        <f>D9+C9</f>
        <v>623163.24342930003</v>
      </c>
      <c r="E10" s="84"/>
      <c r="F10" s="84">
        <f t="shared" ref="F10:F16" si="0">C10</f>
        <v>74770.533810000008</v>
      </c>
      <c r="G10" s="84">
        <f t="shared" ref="G10:G16" si="1">D10+F10</f>
        <v>697933.77723930008</v>
      </c>
    </row>
    <row r="11" spans="2:7" x14ac:dyDescent="0.2">
      <c r="B11" s="39" t="s">
        <v>187</v>
      </c>
      <c r="C11" s="84">
        <f>'Revenue &amp; Margins'!H15</f>
        <v>100000</v>
      </c>
      <c r="D11" s="84">
        <f>D10+C10</f>
        <v>697933.77723930008</v>
      </c>
      <c r="E11" s="84"/>
      <c r="F11" s="84">
        <f t="shared" si="0"/>
        <v>100000</v>
      </c>
      <c r="G11" s="84">
        <f t="shared" si="1"/>
        <v>797933.77723930008</v>
      </c>
    </row>
    <row r="12" spans="2:7" x14ac:dyDescent="0.2">
      <c r="B12" s="39" t="s">
        <v>258</v>
      </c>
      <c r="C12" s="84">
        <f>'Revenue &amp; Margins'!H16</f>
        <v>78517.549939421267</v>
      </c>
      <c r="D12" s="84">
        <f>D11+C11</f>
        <v>797933.77723930008</v>
      </c>
      <c r="E12" s="84"/>
      <c r="F12" s="84">
        <f t="shared" si="0"/>
        <v>78517.549939421267</v>
      </c>
      <c r="G12" s="84">
        <f t="shared" si="1"/>
        <v>876451.32717872132</v>
      </c>
    </row>
    <row r="13" spans="2:7" x14ac:dyDescent="0.2">
      <c r="B13" s="161" t="s">
        <v>300</v>
      </c>
      <c r="C13" s="200">
        <f>SUM(C8:C12)</f>
        <v>876451.32717872132</v>
      </c>
      <c r="D13" s="200"/>
      <c r="E13" s="200">
        <f>C13</f>
        <v>876451.32717872132</v>
      </c>
      <c r="F13" s="200"/>
      <c r="G13" s="200"/>
    </row>
    <row r="14" spans="2:7" x14ac:dyDescent="0.2">
      <c r="B14" s="39" t="s">
        <v>298</v>
      </c>
      <c r="C14" s="84">
        <f>CoreBusiness!I11-CoreBusiness!H11</f>
        <v>31158.162171464995</v>
      </c>
      <c r="D14" s="84">
        <f>C13</f>
        <v>876451.32717872132</v>
      </c>
      <c r="E14" s="84"/>
      <c r="F14" s="84">
        <f t="shared" si="0"/>
        <v>31158.162171464995</v>
      </c>
      <c r="G14" s="84">
        <f t="shared" si="1"/>
        <v>907609.48935018631</v>
      </c>
    </row>
    <row r="15" spans="2:7" x14ac:dyDescent="0.2">
      <c r="B15" s="39" t="s">
        <v>187</v>
      </c>
      <c r="C15" s="84">
        <f>'Revenue &amp; Margins'!I14-'Revenue &amp; Margins'!H14+'Revenue &amp; Margins'!I15-'Revenue &amp; Margins'!H15</f>
        <v>111238.5266905</v>
      </c>
      <c r="D15" s="84">
        <f>D14+C14</f>
        <v>907609.48935018631</v>
      </c>
      <c r="E15" s="84"/>
      <c r="F15" s="84">
        <f t="shared" si="0"/>
        <v>111238.5266905</v>
      </c>
      <c r="G15" s="84">
        <f t="shared" si="1"/>
        <v>1018848.0160406863</v>
      </c>
    </row>
    <row r="16" spans="2:7" x14ac:dyDescent="0.2">
      <c r="B16" s="39" t="s">
        <v>258</v>
      </c>
      <c r="C16" s="84">
        <f>'Revenue &amp; Margins'!I16-'Revenue &amp; Margins'!H16</f>
        <v>131565.06658589499</v>
      </c>
      <c r="D16" s="84">
        <f>D15+C15</f>
        <v>1018848.0160406863</v>
      </c>
      <c r="E16" s="84"/>
      <c r="F16" s="84">
        <f t="shared" si="0"/>
        <v>131565.06658589499</v>
      </c>
      <c r="G16" s="84">
        <f t="shared" si="1"/>
        <v>1150413.0826265812</v>
      </c>
    </row>
    <row r="17" spans="2:7" x14ac:dyDescent="0.2">
      <c r="B17" s="161" t="s">
        <v>301</v>
      </c>
      <c r="C17" s="200">
        <f>SUM(C13:C16)</f>
        <v>1150413.0826265812</v>
      </c>
      <c r="D17" s="200"/>
      <c r="E17" s="200">
        <f>C17</f>
        <v>1150413.0826265812</v>
      </c>
      <c r="F17" s="200"/>
      <c r="G17" s="200"/>
    </row>
  </sheetData>
  <hyperlinks>
    <hyperlink ref="B1" location="'TOC'!A1" display="Table of Contents" xr:uid="{68D4A066-A114-4AB3-8FC6-5D12E6650E26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1589-CBA0-485A-BC51-A55B0D3DCAD5}">
  <sheetPr>
    <tabColor rgb="FF92D050"/>
  </sheetPr>
  <dimension ref="B1:N37"/>
  <sheetViews>
    <sheetView showGridLines="0" zoomScaleNormal="100" workbookViewId="0">
      <pane ySplit="7" topLeftCell="A8" activePane="bottomLeft" state="frozen"/>
      <selection pane="bottomLef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6384" width="9.109375" style="39"/>
  </cols>
  <sheetData>
    <row r="1" spans="2:14" x14ac:dyDescent="0.2">
      <c r="B1" s="256" t="s">
        <v>343</v>
      </c>
    </row>
    <row r="2" spans="2:14" ht="15.6" x14ac:dyDescent="0.3">
      <c r="B2" s="37" t="s">
        <v>282</v>
      </c>
      <c r="C2" s="37"/>
      <c r="D2" s="37"/>
    </row>
    <row r="3" spans="2:14" x14ac:dyDescent="0.2">
      <c r="B3" s="38" t="s">
        <v>94</v>
      </c>
      <c r="C3" s="38"/>
      <c r="D3" s="38"/>
    </row>
    <row r="5" spans="2:14" x14ac:dyDescent="0.2">
      <c r="B5" s="40" t="s">
        <v>80</v>
      </c>
      <c r="C5" s="40"/>
      <c r="D5" s="40"/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76" t="s">
        <v>283</v>
      </c>
      <c r="C9" s="76"/>
      <c r="D9" s="76"/>
      <c r="E9" s="76"/>
      <c r="F9" s="76"/>
      <c r="G9" s="76"/>
      <c r="H9" s="76"/>
      <c r="I9" s="76"/>
      <c r="J9" s="76"/>
      <c r="K9" s="76"/>
      <c r="L9" s="76"/>
    </row>
    <row r="11" spans="2:14" x14ac:dyDescent="0.2">
      <c r="B11" s="188" t="s">
        <v>284</v>
      </c>
      <c r="C11" s="168"/>
      <c r="D11" s="168"/>
      <c r="E11" s="36">
        <f>E$7</f>
        <v>2020</v>
      </c>
      <c r="F11" s="36">
        <f t="shared" ref="F11:L11" si="1">F$7</f>
        <v>2021</v>
      </c>
      <c r="G11" s="36">
        <f t="shared" si="1"/>
        <v>2022</v>
      </c>
      <c r="H11" s="36">
        <f t="shared" si="1"/>
        <v>2023</v>
      </c>
      <c r="I11" s="36">
        <f t="shared" si="1"/>
        <v>2024</v>
      </c>
      <c r="J11" s="36">
        <f t="shared" si="1"/>
        <v>2025</v>
      </c>
      <c r="K11" s="36">
        <f t="shared" si="1"/>
        <v>2026</v>
      </c>
      <c r="L11" s="36">
        <f t="shared" si="1"/>
        <v>2027</v>
      </c>
    </row>
    <row r="13" spans="2:14" x14ac:dyDescent="0.2">
      <c r="B13" s="249" t="s">
        <v>20</v>
      </c>
      <c r="C13" s="249"/>
      <c r="D13" s="249"/>
      <c r="E13" s="250"/>
      <c r="F13" s="250"/>
      <c r="G13" s="250"/>
      <c r="H13" s="250"/>
      <c r="I13" s="250"/>
      <c r="J13" s="250"/>
      <c r="K13" s="250"/>
      <c r="L13" s="250"/>
    </row>
    <row r="14" spans="2:14" x14ac:dyDescent="0.2">
      <c r="B14" s="170" t="s">
        <v>183</v>
      </c>
      <c r="E14" s="84">
        <f>IF(Config!E$10="on",Corporate!E129,0)</f>
        <v>-18559.999999999996</v>
      </c>
      <c r="F14" s="84">
        <f>IF(Config!F$10="on",Corporate!F129,0)</f>
        <v>-19580.799999999992</v>
      </c>
      <c r="G14" s="84">
        <f>IF(Config!G$10="on",Corporate!G129,0)</f>
        <v>-21480.137599999995</v>
      </c>
      <c r="H14" s="84">
        <f>IF(Config!H$10="on",Corporate!H129,0)</f>
        <v>-22554.144479999995</v>
      </c>
      <c r="I14" s="84">
        <f>IF(Config!I$10="on",Corporate!I129,0)</f>
        <v>-23681.851703999997</v>
      </c>
      <c r="J14" s="84">
        <f>IF(Config!J$10="on",Corporate!J129,0)</f>
        <v>-24865.944289199997</v>
      </c>
      <c r="K14" s="84">
        <f>IF(Config!K$10="on",Corporate!K129,0)</f>
        <v>-26109.24150366</v>
      </c>
      <c r="L14" s="84">
        <f>IF(Config!L$10="on",Corporate!L129,0)</f>
        <v>-27414.703578843</v>
      </c>
    </row>
    <row r="15" spans="2:14" x14ac:dyDescent="0.2">
      <c r="B15" s="170" t="s">
        <v>84</v>
      </c>
      <c r="E15" s="84">
        <f>IF(Config!E$11="on",Dev!E130,0)</f>
        <v>53854.995523608493</v>
      </c>
      <c r="F15" s="84">
        <f>IF(Config!F$11="on",Dev!F130,0)</f>
        <v>64695.178134698275</v>
      </c>
      <c r="G15" s="84">
        <f>IF(Config!G$11="on",Dev!G130,0)</f>
        <v>72445.098703957163</v>
      </c>
      <c r="H15" s="84">
        <f>IF(Config!H$11="on",Dev!H130,0)</f>
        <v>74811.983951975009</v>
      </c>
      <c r="I15" s="84">
        <f>IF(Config!I$11="on",Dev!I130,0)</f>
        <v>79252.817978614068</v>
      </c>
      <c r="J15" s="84">
        <f>IF(Config!J$11="on",Dev!J130,0)</f>
        <v>83186.64285725524</v>
      </c>
      <c r="K15" s="84">
        <f>IF(Config!K$11="on",Dev!K130,0)</f>
        <v>87108.809914648358</v>
      </c>
      <c r="L15" s="84">
        <f>IF(Config!L$11="on",Dev!L130,0)</f>
        <v>91640.855857665883</v>
      </c>
    </row>
    <row r="16" spans="2:14" x14ac:dyDescent="0.2">
      <c r="B16" s="170" t="s">
        <v>66</v>
      </c>
      <c r="E16" s="84">
        <f>IF(Config!E$12="on",Pipeline!E130,0)</f>
        <v>6447.5939999999937</v>
      </c>
      <c r="F16" s="84">
        <f>IF(Config!F$12="on",Pipeline!F130,0)</f>
        <v>8454.6736740000051</v>
      </c>
      <c r="G16" s="84">
        <f>IF(Config!G$12="on",Pipeline!G130,0)</f>
        <v>7871.4978108120013</v>
      </c>
      <c r="H16" s="84">
        <f>IF(Config!H$12="on",Pipeline!H130,0)</f>
        <v>8513.2730827746018</v>
      </c>
      <c r="I16" s="84">
        <f>IF(Config!I$12="on",Pipeline!I130,0)</f>
        <v>9234.2951908055111</v>
      </c>
      <c r="J16" s="84">
        <f>IF(Config!J$12="on",Pipeline!J130,0)</f>
        <v>9398.0453924486719</v>
      </c>
      <c r="K16" s="84">
        <f>IF(Config!K$12="on",Pipeline!K130,0)</f>
        <v>9967.9786207937068</v>
      </c>
      <c r="L16" s="84">
        <f>IF(Config!L$12="on",Pipeline!L130,0)</f>
        <v>10505.857855754752</v>
      </c>
    </row>
    <row r="17" spans="2:12" x14ac:dyDescent="0.2">
      <c r="B17" s="170" t="s">
        <v>67</v>
      </c>
      <c r="E17" s="84">
        <f>IF(Config!E$13="on",Solids!E130,0)</f>
        <v>25646.732999999993</v>
      </c>
      <c r="F17" s="84">
        <f>IF(Config!F$13="on",Solids!F130,0)</f>
        <v>25277.42004479999</v>
      </c>
      <c r="G17" s="84">
        <f>IF(Config!G$13="on",Solids!G130,0)</f>
        <v>28355.472548171987</v>
      </c>
      <c r="H17" s="84">
        <f>IF(Config!H$13="on",Solids!H130,0)</f>
        <v>30096.626002955811</v>
      </c>
      <c r="I17" s="84">
        <f>IF(Config!I$13="on",Solids!I130,0)</f>
        <v>31070.668345067053</v>
      </c>
      <c r="J17" s="84">
        <f>IF(Config!J$13="on",Solids!J130,0)</f>
        <v>32876.911946385619</v>
      </c>
      <c r="K17" s="84">
        <f>IF(Config!K$13="on",Solids!K130,0)</f>
        <v>34538.925356937681</v>
      </c>
      <c r="L17" s="84">
        <f>IF(Config!L$13="on",Solids!L130,0)</f>
        <v>36160.283162877662</v>
      </c>
    </row>
    <row r="18" spans="2:12" x14ac:dyDescent="0.2">
      <c r="B18" s="170" t="s">
        <v>157</v>
      </c>
      <c r="E18" s="84">
        <f>IF(Config!E$14="on",RockCodeAcq!E171,0)</f>
        <v>9584.7400000000016</v>
      </c>
      <c r="F18" s="84">
        <f>IF(Config!F$14="on",RockCodeAcq!F171,0)</f>
        <v>10742.796719999995</v>
      </c>
      <c r="G18" s="84">
        <f>IF(Config!G$14="on",RockCodeAcq!G171,0)</f>
        <v>14598.056600999989</v>
      </c>
      <c r="H18" s="84">
        <f>IF(Config!H$14="on",RockCodeAcq!H171,0)</f>
        <v>15123.586638635999</v>
      </c>
      <c r="I18" s="84">
        <f>IF(Config!I$14="on",RockCodeAcq!I171,0)</f>
        <v>15703.556745888898</v>
      </c>
      <c r="J18" s="84">
        <f>IF(Config!J$14="on",RockCodeAcq!J171,0)</f>
        <v>16687.188041670735</v>
      </c>
      <c r="K18" s="84">
        <f>IF(Config!K$14="on",RockCodeAcq!K171,0)</f>
        <v>17447.386912882597</v>
      </c>
      <c r="L18" s="84">
        <f>IF(Config!L$14="on",RockCodeAcq!L171,0)</f>
        <v>18298.736984142786</v>
      </c>
    </row>
    <row r="19" spans="2:12" x14ac:dyDescent="0.2">
      <c r="B19" s="170" t="s">
        <v>187</v>
      </c>
      <c r="E19" s="84">
        <f>IF(Config!E$15="on",AcqPipeline!E264,0)</f>
        <v>0</v>
      </c>
      <c r="F19" s="84">
        <f>IF(Config!F$15="on",AcqPipeline!F264,0)</f>
        <v>0</v>
      </c>
      <c r="G19" s="84">
        <f>IF(Config!G$15="on",AcqPipeline!G264,0)</f>
        <v>0</v>
      </c>
      <c r="H19" s="84">
        <f>IF(Config!H$15="on",AcqPipeline!H264,0)</f>
        <v>17112.5</v>
      </c>
      <c r="I19" s="84">
        <f>IF(Config!I$15="on",AcqPipeline!I264,0)</f>
        <v>40762.500000000015</v>
      </c>
      <c r="J19" s="84">
        <f>IF(Config!J$15="on",AcqPipeline!J264,0)</f>
        <v>68497.500000000015</v>
      </c>
      <c r="K19" s="84">
        <f>IF(Config!K$15="on",AcqPipeline!K264,0)</f>
        <v>108111.17187500003</v>
      </c>
      <c r="L19" s="84">
        <f>IF(Config!L$15="on",AcqPipeline!L264,0)</f>
        <v>161879.15039062503</v>
      </c>
    </row>
    <row r="20" spans="2:12" ht="10.8" thickBot="1" x14ac:dyDescent="0.25">
      <c r="B20" s="162" t="s">
        <v>279</v>
      </c>
      <c r="C20" s="162"/>
      <c r="D20" s="162"/>
      <c r="E20" s="163">
        <f t="shared" ref="E20:L20" si="2">SUM(E14:E19)</f>
        <v>76974.062523608489</v>
      </c>
      <c r="F20" s="163">
        <f t="shared" si="2"/>
        <v>89589.268573498281</v>
      </c>
      <c r="G20" s="163">
        <f t="shared" si="2"/>
        <v>101789.98806394116</v>
      </c>
      <c r="H20" s="163">
        <f t="shared" si="2"/>
        <v>123103.82519634142</v>
      </c>
      <c r="I20" s="163">
        <f t="shared" si="2"/>
        <v>152341.98655637554</v>
      </c>
      <c r="J20" s="163">
        <f t="shared" si="2"/>
        <v>185780.3439485603</v>
      </c>
      <c r="K20" s="163">
        <f t="shared" si="2"/>
        <v>231065.03117660238</v>
      </c>
      <c r="L20" s="163">
        <f t="shared" si="2"/>
        <v>291070.1806722231</v>
      </c>
    </row>
    <row r="21" spans="2:12" x14ac:dyDescent="0.2">
      <c r="B21" s="39" t="s">
        <v>219</v>
      </c>
      <c r="H21" s="205">
        <v>8</v>
      </c>
      <c r="I21" s="205">
        <v>8</v>
      </c>
      <c r="J21" s="205">
        <v>8</v>
      </c>
      <c r="K21" s="205">
        <v>8</v>
      </c>
      <c r="L21" s="205">
        <v>8</v>
      </c>
    </row>
    <row r="22" spans="2:12" ht="10.8" thickBot="1" x14ac:dyDescent="0.25">
      <c r="B22" s="162" t="s">
        <v>285</v>
      </c>
      <c r="C22" s="162"/>
      <c r="D22" s="162"/>
      <c r="E22" s="163"/>
      <c r="F22" s="163"/>
      <c r="G22" s="163"/>
      <c r="H22" s="163">
        <f>H20*H21</f>
        <v>984830.60157073138</v>
      </c>
      <c r="I22" s="163">
        <f t="shared" ref="I22:L22" si="3">I20*I21</f>
        <v>1218735.8924510044</v>
      </c>
      <c r="J22" s="163">
        <f t="shared" si="3"/>
        <v>1486242.7515884824</v>
      </c>
      <c r="K22" s="163">
        <f t="shared" si="3"/>
        <v>1848520.249412819</v>
      </c>
      <c r="L22" s="163">
        <f t="shared" si="3"/>
        <v>2328561.4453777848</v>
      </c>
    </row>
    <row r="24" spans="2:12" x14ac:dyDescent="0.2">
      <c r="B24" s="188" t="s">
        <v>258</v>
      </c>
      <c r="C24" s="168"/>
      <c r="D24" s="168"/>
      <c r="E24" s="36">
        <f>E$7</f>
        <v>2020</v>
      </c>
      <c r="F24" s="36">
        <f t="shared" ref="F24:L24" si="4">F$7</f>
        <v>2021</v>
      </c>
      <c r="G24" s="36">
        <f t="shared" si="4"/>
        <v>2022</v>
      </c>
      <c r="H24" s="36">
        <f t="shared" si="4"/>
        <v>2023</v>
      </c>
      <c r="I24" s="36">
        <f t="shared" si="4"/>
        <v>2024</v>
      </c>
      <c r="J24" s="36">
        <f t="shared" si="4"/>
        <v>2025</v>
      </c>
      <c r="K24" s="36">
        <f t="shared" si="4"/>
        <v>2026</v>
      </c>
      <c r="L24" s="36">
        <f t="shared" si="4"/>
        <v>2027</v>
      </c>
    </row>
    <row r="26" spans="2:12" x14ac:dyDescent="0.2">
      <c r="B26" s="249" t="s">
        <v>129</v>
      </c>
      <c r="C26" s="249"/>
      <c r="D26" s="249"/>
      <c r="E26" s="250"/>
      <c r="F26" s="250"/>
      <c r="G26" s="250"/>
      <c r="H26" s="250"/>
      <c r="I26" s="250"/>
      <c r="J26" s="250"/>
      <c r="K26" s="250"/>
      <c r="L26" s="250"/>
    </row>
    <row r="27" spans="2:12" x14ac:dyDescent="0.2">
      <c r="B27" s="170" t="s">
        <v>258</v>
      </c>
      <c r="E27" s="84">
        <f>IF(Config!E16="on",MintyTools!E108)</f>
        <v>0</v>
      </c>
      <c r="F27" s="84">
        <f>IF(Config!F16="on",MintyTools!F108)</f>
        <v>0</v>
      </c>
      <c r="G27" s="84">
        <f>IF(Config!G16="on",MintyTools!G108)</f>
        <v>0</v>
      </c>
      <c r="H27" s="84">
        <f>IF(Config!H16="on",MintyTools!H108)</f>
        <v>78517.549939421267</v>
      </c>
      <c r="I27" s="84">
        <f>IF(Config!I16="on",MintyTools!I108)</f>
        <v>210082.61652531626</v>
      </c>
      <c r="J27" s="84">
        <f>IF(Config!J16="on",MintyTools!J108)</f>
        <v>372200.43352737313</v>
      </c>
      <c r="K27" s="84">
        <f>IF(Config!K16="on",MintyTools!K108)</f>
        <v>554514.13266078965</v>
      </c>
      <c r="L27" s="84">
        <f>IF(Config!L16="on",MintyTools!L108)</f>
        <v>847045.83155332343</v>
      </c>
    </row>
    <row r="28" spans="2:12" ht="10.8" thickBot="1" x14ac:dyDescent="0.25">
      <c r="B28" s="162" t="s">
        <v>274</v>
      </c>
      <c r="C28" s="162"/>
      <c r="D28" s="162"/>
      <c r="E28" s="163">
        <f t="shared" ref="E28:L28" si="5">SUM(E27:E27)</f>
        <v>0</v>
      </c>
      <c r="F28" s="163">
        <f t="shared" si="5"/>
        <v>0</v>
      </c>
      <c r="G28" s="163">
        <f t="shared" si="5"/>
        <v>0</v>
      </c>
      <c r="H28" s="163">
        <f t="shared" si="5"/>
        <v>78517.549939421267</v>
      </c>
      <c r="I28" s="163">
        <f t="shared" si="5"/>
        <v>210082.61652531626</v>
      </c>
      <c r="J28" s="163">
        <f t="shared" si="5"/>
        <v>372200.43352737313</v>
      </c>
      <c r="K28" s="163">
        <f t="shared" si="5"/>
        <v>554514.13266078965</v>
      </c>
      <c r="L28" s="163">
        <f t="shared" si="5"/>
        <v>847045.83155332343</v>
      </c>
    </row>
    <row r="29" spans="2:12" x14ac:dyDescent="0.2">
      <c r="B29" s="39" t="s">
        <v>286</v>
      </c>
      <c r="H29" s="205">
        <v>10</v>
      </c>
      <c r="I29" s="205">
        <v>10</v>
      </c>
      <c r="J29" s="205">
        <v>10</v>
      </c>
      <c r="K29" s="205">
        <v>10</v>
      </c>
      <c r="L29" s="205">
        <v>10</v>
      </c>
    </row>
    <row r="30" spans="2:12" ht="10.8" thickBot="1" x14ac:dyDescent="0.25">
      <c r="B30" s="162" t="s">
        <v>285</v>
      </c>
      <c r="C30" s="162"/>
      <c r="D30" s="162"/>
      <c r="E30" s="163"/>
      <c r="F30" s="163"/>
      <c r="G30" s="163"/>
      <c r="H30" s="163">
        <f>H28*H29</f>
        <v>785175.49939421262</v>
      </c>
      <c r="I30" s="163">
        <f t="shared" ref="I30" si="6">I28*I29</f>
        <v>2100826.1652531624</v>
      </c>
      <c r="J30" s="163">
        <f t="shared" ref="J30" si="7">J28*J29</f>
        <v>3722004.3352737315</v>
      </c>
      <c r="K30" s="163">
        <f t="shared" ref="K30" si="8">K28*K29</f>
        <v>5545141.326607896</v>
      </c>
      <c r="L30" s="163">
        <f t="shared" ref="L30" si="9">L28*L29</f>
        <v>8470458.3155332338</v>
      </c>
    </row>
    <row r="32" spans="2:12" ht="10.8" thickBot="1" x14ac:dyDescent="0.25">
      <c r="B32" s="238" t="s">
        <v>287</v>
      </c>
      <c r="C32" s="238"/>
      <c r="D32" s="238"/>
      <c r="E32" s="238"/>
      <c r="F32" s="238"/>
      <c r="G32" s="238"/>
      <c r="H32" s="251">
        <f>H22+H30</f>
        <v>1770006.1009649439</v>
      </c>
      <c r="I32" s="251">
        <f t="shared" ref="I32:L32" si="10">I22+I30</f>
        <v>3319562.0577041665</v>
      </c>
      <c r="J32" s="251">
        <f t="shared" si="10"/>
        <v>5208247.0868622139</v>
      </c>
      <c r="K32" s="251">
        <f t="shared" si="10"/>
        <v>7393661.5760207148</v>
      </c>
      <c r="L32" s="251">
        <f t="shared" si="10"/>
        <v>10799019.760911018</v>
      </c>
    </row>
    <row r="34" spans="2:12" x14ac:dyDescent="0.2">
      <c r="B34" s="75" t="s">
        <v>288</v>
      </c>
      <c r="C34" s="75"/>
      <c r="D34" s="75"/>
      <c r="E34" s="75"/>
      <c r="F34" s="75"/>
      <c r="G34" s="75"/>
      <c r="H34" s="252">
        <f>ConsoView!H42</f>
        <v>26733.231092293125</v>
      </c>
      <c r="I34" s="252">
        <f>ConsoView!I42</f>
        <v>25981.254223278334</v>
      </c>
      <c r="J34" s="252">
        <f>ConsoView!J42</f>
        <v>74820.739498837152</v>
      </c>
      <c r="K34" s="252">
        <f>ConsoView!K42</f>
        <v>139111.78725360596</v>
      </c>
      <c r="L34" s="252">
        <f>ConsoView!L42</f>
        <v>229414.01904765968</v>
      </c>
    </row>
    <row r="35" spans="2:12" x14ac:dyDescent="0.2">
      <c r="B35" s="75" t="s">
        <v>38</v>
      </c>
      <c r="C35" s="75"/>
      <c r="D35" s="75"/>
      <c r="E35" s="75"/>
      <c r="F35" s="75"/>
      <c r="G35" s="75"/>
      <c r="H35" s="252">
        <f>ConsoView!H54</f>
        <v>183328.15942099705</v>
      </c>
      <c r="I35" s="252">
        <f>ConsoView!I54</f>
        <v>196745.60904324558</v>
      </c>
      <c r="J35" s="252">
        <f>ConsoView!J54</f>
        <v>201218.105642829</v>
      </c>
      <c r="K35" s="252">
        <f>ConsoView!K54</f>
        <v>219158.95203838742</v>
      </c>
      <c r="L35" s="252">
        <f>ConsoView!L54</f>
        <v>256041.27015674795</v>
      </c>
    </row>
    <row r="37" spans="2:12" ht="10.8" thickBot="1" x14ac:dyDescent="0.25">
      <c r="B37" s="238" t="s">
        <v>289</v>
      </c>
      <c r="C37" s="238"/>
      <c r="D37" s="238"/>
      <c r="E37" s="238"/>
      <c r="F37" s="238"/>
      <c r="G37" s="238"/>
      <c r="H37" s="251">
        <f>H32-(H35-H34)</f>
        <v>1613411.17263624</v>
      </c>
      <c r="I37" s="251">
        <f t="shared" ref="I37:L37" si="11">I32-(I35-I34)</f>
        <v>3148797.7028841991</v>
      </c>
      <c r="J37" s="251">
        <f t="shared" si="11"/>
        <v>5081849.7207182217</v>
      </c>
      <c r="K37" s="251">
        <f t="shared" si="11"/>
        <v>7313614.4112359332</v>
      </c>
      <c r="L37" s="251">
        <f t="shared" si="11"/>
        <v>10772392.50980193</v>
      </c>
    </row>
  </sheetData>
  <hyperlinks>
    <hyperlink ref="B1" location="'TOC'!A1" display="Table of Contents" xr:uid="{82512FA0-60AE-439C-85AA-293A11E10716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1094-7E98-44FC-87C9-979B083C5B79}">
  <sheetPr>
    <tabColor rgb="FF92D050"/>
  </sheetPr>
  <dimension ref="B1:N93"/>
  <sheetViews>
    <sheetView showGridLines="0" zoomScaleNormal="100" workbookViewId="0">
      <pane ySplit="7" topLeftCell="A8" activePane="bottomLeft" state="frozen"/>
      <selection pane="bottomLef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6384" width="9.109375" style="39"/>
  </cols>
  <sheetData>
    <row r="1" spans="2:14" x14ac:dyDescent="0.2">
      <c r="B1" s="256" t="s">
        <v>343</v>
      </c>
    </row>
    <row r="2" spans="2:14" ht="15.6" x14ac:dyDescent="0.3">
      <c r="B2" s="37" t="s">
        <v>277</v>
      </c>
      <c r="C2" s="37"/>
      <c r="D2" s="37"/>
    </row>
    <row r="3" spans="2:14" x14ac:dyDescent="0.2">
      <c r="B3" s="38" t="s">
        <v>94</v>
      </c>
      <c r="C3" s="38"/>
      <c r="D3" s="38"/>
    </row>
    <row r="5" spans="2:14" x14ac:dyDescent="0.2">
      <c r="B5" s="40" t="s">
        <v>80</v>
      </c>
      <c r="C5" s="40"/>
      <c r="D5" s="40"/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48" t="s">
        <v>3</v>
      </c>
      <c r="C9" s="48"/>
      <c r="D9" s="48"/>
      <c r="E9" s="36">
        <f>E$7</f>
        <v>2020</v>
      </c>
      <c r="F9" s="36">
        <f t="shared" ref="F9:L9" si="1">F$7</f>
        <v>2021</v>
      </c>
      <c r="G9" s="36">
        <f t="shared" si="1"/>
        <v>2022</v>
      </c>
      <c r="H9" s="36">
        <f t="shared" si="1"/>
        <v>2023</v>
      </c>
      <c r="I9" s="36">
        <f t="shared" si="1"/>
        <v>2024</v>
      </c>
      <c r="J9" s="36">
        <f t="shared" si="1"/>
        <v>2025</v>
      </c>
      <c r="K9" s="36">
        <f t="shared" si="1"/>
        <v>2026</v>
      </c>
      <c r="L9" s="36">
        <f t="shared" si="1"/>
        <v>2027</v>
      </c>
    </row>
    <row r="10" spans="2:14" x14ac:dyDescent="0.2">
      <c r="B10" s="47"/>
      <c r="C10" s="47"/>
      <c r="D10" s="47"/>
      <c r="E10" s="1"/>
      <c r="F10" s="1"/>
      <c r="G10" s="1"/>
    </row>
    <row r="11" spans="2:14" x14ac:dyDescent="0.2">
      <c r="B11" s="49" t="s">
        <v>4</v>
      </c>
      <c r="C11" s="49"/>
      <c r="D11" s="49"/>
      <c r="E11" s="180">
        <f>CoreBusiness!E11+IF(Config!E$10="on",Corporate!E113,0)+IF(Config!E$14="on",RockCodeAcq!E155,0)+IF(Config!E$15="on",AcqPipeline!E248,0)+IF(Config!E$16="on",MintyTools!E108,0)+IF(Config!E$17="on",Eliminations!E21,0)</f>
        <v>526285.96059999999</v>
      </c>
      <c r="F11" s="180">
        <f>CoreBusiness!F11+IF(Config!F$10="on",Corporate!F113,0)+IF(Config!F$14="on",RockCodeAcq!F155,0)+IF(Config!F$15="on",AcqPipeline!F248,0)+IF(Config!F$16="on",MintyTools!F108,0)+IF(Config!F$17="on",Eliminations!F21,0)</f>
        <v>594143.63080000004</v>
      </c>
      <c r="G11" s="180">
        <f>CoreBusiness!G11+IF(Config!G$10="on",Corporate!G113,0)+IF(Config!G$14="on",RockCodeAcq!G155,0)+IF(Config!G$15="on",AcqPipeline!G248,0)+IF(Config!G$16="on",MintyTools!G108,0)+IF(Config!G$17="on",Eliminations!G21,0)</f>
        <v>664698.83546600002</v>
      </c>
      <c r="H11" s="180">
        <f>CoreBusiness!H11+IF(Config!H$10="on",Corporate!H113,0)+IF(Config!H$14="on",RockCodeAcq!H155,0)+IF(Config!H$15="on",AcqPipeline!H248,0)+IF(Config!H$16="on",MintyTools!H108,0)+IF(Config!H$17="on",Eliminations!H21,0)</f>
        <v>876451.32717872132</v>
      </c>
      <c r="I11" s="180">
        <f>CoreBusiness!I11+IF(Config!I$10="on",Corporate!I113,0)+IF(Config!I$14="on",RockCodeAcq!I155,0)+IF(Config!I$15="on",AcqPipeline!I248,0)+IF(Config!I$16="on",MintyTools!I108,0)+IF(Config!I$17="on",Eliminations!I21,0)</f>
        <v>1150413.0826265812</v>
      </c>
      <c r="J11" s="180">
        <f>CoreBusiness!J11+IF(Config!J$10="on",Corporate!J113,0)+IF(Config!J$14="on",RockCodeAcq!J155,0)+IF(Config!J$15="on",AcqPipeline!J248,0)+IF(Config!J$16="on",MintyTools!J108,0)+IF(Config!J$17="on",Eliminations!J21,0)</f>
        <v>1464734.9229337014</v>
      </c>
      <c r="K11" s="180">
        <f>CoreBusiness!K11+IF(Config!K$10="on",Corporate!K113,0)+IF(Config!K$14="on",RockCodeAcq!K155,0)+IF(Config!K$15="on",AcqPipeline!K248,0)+IF(Config!K$16="on",MintyTools!K108,0)+IF(Config!K$17="on",Eliminations!K21,0)</f>
        <v>1859751.9090374345</v>
      </c>
      <c r="L11" s="180">
        <f>CoreBusiness!L11+IF(Config!L$10="on",Corporate!L113,0)+IF(Config!L$14="on",RockCodeAcq!L155,0)+IF(Config!L$15="on",AcqPipeline!L248,0)+IF(Config!L$16="on",MintyTools!L108,0)+IF(Config!L$17="on",Eliminations!L21,0)</f>
        <v>2429977.8014363004</v>
      </c>
    </row>
    <row r="12" spans="2:14" x14ac:dyDescent="0.2">
      <c r="B12" s="50" t="s">
        <v>5</v>
      </c>
      <c r="C12" s="50"/>
      <c r="D12" s="50"/>
      <c r="E12" s="180">
        <f>CoreBusiness!E12+IF(Config!E$10="on",Corporate!E114,0)+IF(Config!E$14="on",RockCodeAcq!E156,0)+IF(Config!E$15="on",AcqPipeline!E249,0)+IF(Config!E$16="on",MintyTools!E109,0)+IF(Config!E$17="on",Eliminations!E22,0)</f>
        <v>226172.6594</v>
      </c>
      <c r="F12" s="180">
        <f>CoreBusiness!F12+IF(Config!F$10="on",Corporate!F114,0)+IF(Config!F$14="on",RockCodeAcq!F156,0)+IF(Config!F$15="on",AcqPipeline!F249,0)+IF(Config!F$16="on",MintyTools!F109,0)+IF(Config!F$17="on",Eliminations!F22,0)</f>
        <v>262535.60041000001</v>
      </c>
      <c r="G12" s="180">
        <f>CoreBusiness!G12+IF(Config!G$10="on",Corporate!G114,0)+IF(Config!G$14="on",RockCodeAcq!G156,0)+IF(Config!G$15="on",AcqPipeline!G249,0)+IF(Config!G$16="on",MintyTools!G109,0)+IF(Config!G$17="on",Eliminations!G22,0)</f>
        <v>286961.33079569601</v>
      </c>
      <c r="H12" s="180">
        <f>CoreBusiness!H12+IF(Config!H$10="on",Corporate!H114,0)+IF(Config!H$14="on",RockCodeAcq!H156,0)+IF(Config!H$15="on",AcqPipeline!H249,0)+IF(Config!H$16="on",MintyTools!H109,0)+IF(Config!H$17="on",Eliminations!H22,0)</f>
        <v>380738.61423500616</v>
      </c>
      <c r="I12" s="180">
        <f>CoreBusiness!I12+IF(Config!I$10="on",Corporate!I114,0)+IF(Config!I$14="on",RockCodeAcq!I156,0)+IF(Config!I$15="on",AcqPipeline!I249,0)+IF(Config!I$16="on",MintyTools!I109,0)+IF(Config!I$17="on",Eliminations!I22,0)</f>
        <v>504877.32795978221</v>
      </c>
      <c r="J12" s="180">
        <f>CoreBusiness!J12+IF(Config!J$10="on",Corporate!J114,0)+IF(Config!J$14="on",RockCodeAcq!J156,0)+IF(Config!J$15="on",AcqPipeline!J249,0)+IF(Config!J$16="on",MintyTools!J109,0)+IF(Config!J$17="on",Eliminations!J22,0)</f>
        <v>642018.79204030754</v>
      </c>
      <c r="K12" s="180">
        <f>CoreBusiness!K12+IF(Config!K$10="on",Corporate!K114,0)+IF(Config!K$14="on",RockCodeAcq!K156,0)+IF(Config!K$15="on",AcqPipeline!K249,0)+IF(Config!K$16="on",MintyTools!K109,0)+IF(Config!K$17="on",Eliminations!K22,0)</f>
        <v>817926.04434535513</v>
      </c>
      <c r="L12" s="180">
        <f>CoreBusiness!L12+IF(Config!L$10="on",Corporate!L114,0)+IF(Config!L$14="on",RockCodeAcq!L156,0)+IF(Config!L$15="on",AcqPipeline!L249,0)+IF(Config!L$16="on",MintyTools!L109,0)+IF(Config!L$17="on",Eliminations!L22,0)</f>
        <v>1072092.4132064201</v>
      </c>
    </row>
    <row r="13" spans="2:14" x14ac:dyDescent="0.2">
      <c r="B13" s="51" t="s">
        <v>6</v>
      </c>
      <c r="C13" s="51"/>
      <c r="D13" s="51"/>
      <c r="E13" s="25">
        <f>E11-E12</f>
        <v>300113.30119999999</v>
      </c>
      <c r="F13" s="25">
        <f t="shared" ref="F13:L13" si="2">F11-F12</f>
        <v>331608.03039000003</v>
      </c>
      <c r="G13" s="25">
        <f t="shared" si="2"/>
        <v>377737.50467030401</v>
      </c>
      <c r="H13" s="25">
        <f t="shared" si="2"/>
        <v>495712.71294371516</v>
      </c>
      <c r="I13" s="25">
        <f t="shared" si="2"/>
        <v>645535.75466679898</v>
      </c>
      <c r="J13" s="25">
        <f t="shared" si="2"/>
        <v>822716.13089339389</v>
      </c>
      <c r="K13" s="25">
        <f t="shared" si="2"/>
        <v>1041825.8646920794</v>
      </c>
      <c r="L13" s="25">
        <f t="shared" si="2"/>
        <v>1357885.3882298802</v>
      </c>
    </row>
    <row r="14" spans="2:14" x14ac:dyDescent="0.2">
      <c r="B14" s="52"/>
      <c r="C14" s="52"/>
      <c r="D14" s="52"/>
      <c r="E14" s="182"/>
      <c r="F14" s="182"/>
      <c r="G14" s="182"/>
      <c r="H14" s="132"/>
      <c r="I14" s="132"/>
      <c r="J14" s="132"/>
      <c r="K14" s="132"/>
      <c r="L14" s="132"/>
    </row>
    <row r="15" spans="2:14" x14ac:dyDescent="0.2">
      <c r="B15" s="52" t="s">
        <v>7</v>
      </c>
      <c r="C15" s="52"/>
      <c r="D15" s="52"/>
      <c r="E15" s="182"/>
      <c r="F15" s="182"/>
      <c r="G15" s="182"/>
      <c r="H15" s="132"/>
      <c r="I15" s="132"/>
      <c r="J15" s="132"/>
      <c r="K15" s="132"/>
      <c r="L15" s="132"/>
    </row>
    <row r="16" spans="2:14" x14ac:dyDescent="0.2">
      <c r="B16" s="49" t="s">
        <v>8</v>
      </c>
      <c r="C16" s="49"/>
      <c r="D16" s="49"/>
      <c r="E16" s="180">
        <f>CoreBusiness!E16+IF(Config!E$10="on",Corporate!E118,0)+IF(Config!E$14="on",RockCodeAcq!E160,0)+IF(Config!E$15="on",AcqPipeline!E253,0)+IF(Config!E$16="on",MintyTools!E113,0)+IF(Config!E$17="on",Eliminations!E26,0)</f>
        <v>105809.73699999999</v>
      </c>
      <c r="F16" s="180">
        <f>CoreBusiness!F16+IF(Config!F$10="on",Corporate!F118,0)+IF(Config!F$14="on",RockCodeAcq!F160,0)+IF(Config!F$15="on",AcqPipeline!F253,0)+IF(Config!F$16="on",MintyTools!F113,0)+IF(Config!F$17="on",Eliminations!F26,0)</f>
        <v>111506.796976</v>
      </c>
      <c r="G16" s="180">
        <f>CoreBusiness!G16+IF(Config!G$10="on",Corporate!G118,0)+IF(Config!G$14="on",RockCodeAcq!G160,0)+IF(Config!G$15="on",AcqPipeline!G253,0)+IF(Config!G$16="on",MintyTools!G113,0)+IF(Config!G$17="on",Eliminations!G26,0)</f>
        <v>122082.969366912</v>
      </c>
      <c r="H16" s="180">
        <f>CoreBusiness!H16+IF(Config!H$10="on",Corporate!H118,0)+IF(Config!H$14="on",RockCodeAcq!H160,0)+IF(Config!H$15="on",AcqPipeline!H253,0)+IF(Config!H$16="on",MintyTools!H113,0)+IF(Config!H$17="on",Eliminations!H26,0)</f>
        <v>158230.23967667026</v>
      </c>
      <c r="I16" s="180">
        <f>CoreBusiness!I16+IF(Config!I$10="on",Corporate!I118,0)+IF(Config!I$14="on",RockCodeAcq!I160,0)+IF(Config!I$15="on",AcqPipeline!I253,0)+IF(Config!I$16="on",MintyTools!I113,0)+IF(Config!I$17="on",Eliminations!I26,0)</f>
        <v>188862.81882765819</v>
      </c>
      <c r="J16" s="180">
        <f>CoreBusiness!J16+IF(Config!J$10="on",Corporate!J118,0)+IF(Config!J$14="on",RockCodeAcq!J160,0)+IF(Config!J$15="on",AcqPipeline!J253,0)+IF(Config!J$16="on",MintyTools!J113,0)+IF(Config!J$17="on",Eliminations!J26,0)</f>
        <v>227483.89134592103</v>
      </c>
      <c r="K16" s="180">
        <f>CoreBusiness!K16+IF(Config!K$10="on",Corporate!K118,0)+IF(Config!K$14="on",RockCodeAcq!K160,0)+IF(Config!K$15="on",AcqPipeline!K253,0)+IF(Config!K$16="on",MintyTools!K113,0)+IF(Config!K$17="on",Eliminations!K26,0)</f>
        <v>291183.99917737284</v>
      </c>
      <c r="L16" s="180">
        <f>CoreBusiness!L16+IF(Config!L$10="on",Corporate!L118,0)+IF(Config!L$14="on",RockCodeAcq!L160,0)+IF(Config!L$15="on",AcqPipeline!L253,0)+IF(Config!L$16="on",MintyTools!L113,0)+IF(Config!L$17="on",Eliminations!L26,0)</f>
        <v>404964.10739617958</v>
      </c>
    </row>
    <row r="17" spans="2:14" x14ac:dyDescent="0.2">
      <c r="B17" s="49" t="s">
        <v>9</v>
      </c>
      <c r="C17" s="49"/>
      <c r="D17" s="49"/>
      <c r="E17" s="180">
        <f>CoreBusiness!E17+IF(Config!E$10="on",Corporate!E119,0)+IF(Config!E$14="on",RockCodeAcq!E161,0)+IF(Config!E$15="on",AcqPipeline!E254,0)+IF(Config!E$16="on",MintyTools!E114,0)+IF(Config!E$17="on",Eliminations!E27,0)</f>
        <v>21130.872870439591</v>
      </c>
      <c r="F17" s="180">
        <f>CoreBusiness!F17+IF(Config!F$10="on",Corporate!F119,0)+IF(Config!F$14="on",RockCodeAcq!F161,0)+IF(Config!F$15="on",AcqPipeline!F254,0)+IF(Config!F$16="on",MintyTools!F114,0)+IF(Config!F$17="on",Eliminations!F27,0)</f>
        <v>23412.379714301387</v>
      </c>
      <c r="G17" s="180">
        <f>CoreBusiness!G17+IF(Config!G$10="on",Corporate!G119,0)+IF(Config!G$14="on",RockCodeAcq!G161,0)+IF(Config!G$15="on",AcqPipeline!G254,0)+IF(Config!G$16="on",MintyTools!G114,0)+IF(Config!G$17="on",Eliminations!G27,0)</f>
        <v>27776.207229625208</v>
      </c>
      <c r="H17" s="180">
        <f>CoreBusiness!H17+IF(Config!H$10="on",Corporate!H119,0)+IF(Config!H$14="on",RockCodeAcq!H161,0)+IF(Config!H$15="on",AcqPipeline!H254,0)+IF(Config!H$16="on",MintyTools!H114,0)+IF(Config!H$17="on",Eliminations!H27,0)</f>
        <v>33982.356153989815</v>
      </c>
      <c r="I17" s="180">
        <f>CoreBusiness!I17+IF(Config!I$10="on",Corporate!I119,0)+IF(Config!I$14="on",RockCodeAcq!I161,0)+IF(Config!I$15="on",AcqPipeline!I254,0)+IF(Config!I$16="on",MintyTools!I114,0)+IF(Config!I$17="on",Eliminations!I27,0)</f>
        <v>41650.181370578233</v>
      </c>
      <c r="J17" s="180">
        <f>CoreBusiness!J17+IF(Config!J$10="on",Corporate!J119,0)+IF(Config!J$14="on",RockCodeAcq!J161,0)+IF(Config!J$15="on",AcqPipeline!J254,0)+IF(Config!J$16="on",MintyTools!J114,0)+IF(Config!J$17="on",Eliminations!J27,0)</f>
        <v>50911.774164070353</v>
      </c>
      <c r="K17" s="180">
        <f>CoreBusiness!K17+IF(Config!K$10="on",Corporate!K119,0)+IF(Config!K$14="on",RockCodeAcq!K161,0)+IF(Config!K$15="on",AcqPipeline!K254,0)+IF(Config!K$16="on",MintyTools!K114,0)+IF(Config!K$17="on",Eliminations!K27,0)</f>
        <v>64731.700353739972</v>
      </c>
      <c r="L17" s="180">
        <f>CoreBusiness!L17+IF(Config!L$10="on",Corporate!L119,0)+IF(Config!L$14="on",RockCodeAcq!L161,0)+IF(Config!L$15="on",AcqPipeline!L254,0)+IF(Config!L$16="on",MintyTools!L114,0)+IF(Config!L$17="on",Eliminations!L27,0)</f>
        <v>91203.038947678375</v>
      </c>
    </row>
    <row r="18" spans="2:14" x14ac:dyDescent="0.2">
      <c r="B18" s="49" t="s">
        <v>10</v>
      </c>
      <c r="C18" s="49"/>
      <c r="D18" s="49"/>
      <c r="E18" s="180">
        <f>CoreBusiness!E18+IF(Config!E$10="on",Corporate!E120,0)+IF(Config!E$14="on",RockCodeAcq!E162,0)+IF(Config!E$15="on",AcqPipeline!E255,0)+IF(Config!E$16="on",MintyTools!E115,0)+IF(Config!E$17="on",Eliminations!E28,0)</f>
        <v>38028.1548095693</v>
      </c>
      <c r="F18" s="180">
        <f>CoreBusiness!F18+IF(Config!F$10="on",Corporate!F120,0)+IF(Config!F$14="on",RockCodeAcq!F162,0)+IF(Config!F$15="on",AcqPipeline!F255,0)+IF(Config!F$16="on",MintyTools!F115,0)+IF(Config!F$17="on",Eliminations!F28,0)</f>
        <v>40672.901716205379</v>
      </c>
      <c r="G18" s="180">
        <f>CoreBusiness!G18+IF(Config!G$10="on",Corporate!G120,0)+IF(Config!G$14="on",RockCodeAcq!G162,0)+IF(Config!G$15="on",AcqPipeline!G255,0)+IF(Config!G$16="on",MintyTools!G115,0)+IF(Config!G$17="on",Eliminations!G28,0)</f>
        <v>48489.755389894613</v>
      </c>
      <c r="H18" s="180">
        <f>CoreBusiness!H18+IF(Config!H$10="on",Corporate!H120,0)+IF(Config!H$14="on",RockCodeAcq!H162,0)+IF(Config!H$15="on",AcqPipeline!H255,0)+IF(Config!H$16="on",MintyTools!H115,0)+IF(Config!H$17="on",Eliminations!H28,0)</f>
        <v>62782.042589174285</v>
      </c>
      <c r="I18" s="180">
        <f>CoreBusiness!I18+IF(Config!I$10="on",Corporate!I120,0)+IF(Config!I$14="on",RockCodeAcq!I162,0)+IF(Config!I$15="on",AcqPipeline!I255,0)+IF(Config!I$16="on",MintyTools!I115,0)+IF(Config!I$17="on",Eliminations!I28,0)</f>
        <v>75928.583445864933</v>
      </c>
      <c r="J18" s="180">
        <f>CoreBusiness!J18+IF(Config!J$10="on",Corporate!J120,0)+IF(Config!J$14="on",RockCodeAcq!J162,0)+IF(Config!J$15="on",AcqPipeline!J255,0)+IF(Config!J$16="on",MintyTools!J115,0)+IF(Config!J$17="on",Eliminations!J28,0)</f>
        <v>92616.487367826732</v>
      </c>
      <c r="K18" s="180">
        <f>CoreBusiness!K18+IF(Config!K$10="on",Corporate!K120,0)+IF(Config!K$14="on",RockCodeAcq!K162,0)+IF(Config!K$15="on",AcqPipeline!K255,0)+IF(Config!K$16="on",MintyTools!K115,0)+IF(Config!K$17="on",Eliminations!K28,0)</f>
        <v>118722.68208318207</v>
      </c>
      <c r="L18" s="180">
        <f>CoreBusiness!L18+IF(Config!L$10="on",Corporate!L120,0)+IF(Config!L$14="on",RockCodeAcq!L162,0)+IF(Config!L$15="on",AcqPipeline!L255,0)+IF(Config!L$16="on",MintyTools!L115,0)+IF(Config!L$17="on",Eliminations!L28,0)</f>
        <v>167155.90071148286</v>
      </c>
    </row>
    <row r="19" spans="2:14" x14ac:dyDescent="0.2">
      <c r="B19" s="49" t="s">
        <v>11</v>
      </c>
      <c r="C19" s="49"/>
      <c r="D19" s="49"/>
      <c r="E19" s="180">
        <f>CoreBusiness!E19+IF(Config!E$10="on",Corporate!E121,0)+IF(Config!E$14="on",RockCodeAcq!E163,0)+IF(Config!E$15="on",AcqPipeline!E256,0)+IF(Config!E$16="on",MintyTools!E116,0)+IF(Config!E$17="on",Eliminations!E29,0)</f>
        <v>12557.285160059759</v>
      </c>
      <c r="F19" s="180">
        <f>CoreBusiness!F19+IF(Config!F$10="on",Corporate!F121,0)+IF(Config!F$14="on",RockCodeAcq!F163,0)+IF(Config!F$15="on",AcqPipeline!F256,0)+IF(Config!F$16="on",MintyTools!F116,0)+IF(Config!F$17="on",Eliminations!F29,0)</f>
        <v>14659.205863906474</v>
      </c>
      <c r="G19" s="180">
        <f>CoreBusiness!G19+IF(Config!G$10="on",Corporate!G121,0)+IF(Config!G$14="on",RockCodeAcq!G163,0)+IF(Config!G$15="on",AcqPipeline!G256,0)+IF(Config!G$16="on",MintyTools!G116,0)+IF(Config!G$17="on",Eliminations!G29,0)</f>
        <v>16601.625407658143</v>
      </c>
      <c r="H19" s="180">
        <f>CoreBusiness!H19+IF(Config!H$10="on",Corporate!H121,0)+IF(Config!H$14="on",RockCodeAcq!H163,0)+IF(Config!H$15="on",AcqPipeline!H256,0)+IF(Config!H$16="on",MintyTools!H116,0)+IF(Config!H$17="on",Eliminations!H29,0)</f>
        <v>20478.62269723371</v>
      </c>
      <c r="I19" s="180">
        <f>CoreBusiness!I19+IF(Config!I$10="on",Corporate!I121,0)+IF(Config!I$14="on",RockCodeAcq!I163,0)+IF(Config!I$15="on",AcqPipeline!I256,0)+IF(Config!I$16="on",MintyTools!I116,0)+IF(Config!I$17="on",Eliminations!I29,0)</f>
        <v>24851.628713764618</v>
      </c>
      <c r="J19" s="180">
        <f>CoreBusiness!J19+IF(Config!J$10="on",Corporate!J121,0)+IF(Config!J$14="on",RockCodeAcq!J163,0)+IF(Config!J$15="on",AcqPipeline!J256,0)+IF(Config!J$16="on",MintyTools!J116,0)+IF(Config!J$17="on",Eliminations!J29,0)</f>
        <v>29777.946838150361</v>
      </c>
      <c r="K19" s="180">
        <f>CoreBusiness!K19+IF(Config!K$10="on",Corporate!K121,0)+IF(Config!K$14="on",RockCodeAcq!K163,0)+IF(Config!K$15="on",AcqPipeline!K256,0)+IF(Config!K$16="on",MintyTools!K116,0)+IF(Config!K$17="on",Eliminations!K29,0)</f>
        <v>37583.98147902693</v>
      </c>
      <c r="L19" s="180">
        <f>CoreBusiness!L19+IF(Config!L$10="on",Corporate!L121,0)+IF(Config!L$14="on",RockCodeAcq!L163,0)+IF(Config!L$15="on",AcqPipeline!L256,0)+IF(Config!L$16="on",MintyTools!L116,0)+IF(Config!L$17="on",Eliminations!L29,0)</f>
        <v>52184.868679211664</v>
      </c>
    </row>
    <row r="20" spans="2:14" x14ac:dyDescent="0.2">
      <c r="B20" s="49" t="s">
        <v>12</v>
      </c>
      <c r="C20" s="49"/>
      <c r="D20" s="49"/>
      <c r="E20" s="180">
        <f>CoreBusiness!E20+IF(Config!E$10="on",Corporate!E122,0)+IF(Config!E$14="on",RockCodeAcq!E164,0)+IF(Config!E$15="on",AcqPipeline!E257,0)+IF(Config!E$16="on",MintyTools!E117,0)+IF(Config!E$17="on",Eliminations!E30,0)</f>
        <v>20593.984804891028</v>
      </c>
      <c r="F20" s="180">
        <f>CoreBusiness!F20+IF(Config!F$10="on",Corporate!F122,0)+IF(Config!F$14="on",RockCodeAcq!F164,0)+IF(Config!F$15="on",AcqPipeline!F257,0)+IF(Config!F$16="on",MintyTools!F117,0)+IF(Config!F$17="on",Eliminations!F30,0)</f>
        <v>23452.279263556549</v>
      </c>
      <c r="G20" s="180">
        <f>CoreBusiness!G20+IF(Config!G$10="on",Corporate!G122,0)+IF(Config!G$14="on",RockCodeAcq!G164,0)+IF(Config!G$15="on",AcqPipeline!G257,0)+IF(Config!G$16="on",MintyTools!G117,0)+IF(Config!G$17="on",Eliminations!G30,0)</f>
        <v>27515.237083534095</v>
      </c>
      <c r="H20" s="180">
        <f>CoreBusiness!H20+IF(Config!H$10="on",Corporate!H122,0)+IF(Config!H$14="on",RockCodeAcq!H164,0)+IF(Config!H$15="on",AcqPipeline!H257,0)+IF(Config!H$16="on",MintyTools!H117,0)+IF(Config!H$17="on",Eliminations!H30,0)</f>
        <v>33090.442083416208</v>
      </c>
      <c r="I20" s="180">
        <f>CoreBusiness!I20+IF(Config!I$10="on",Corporate!I122,0)+IF(Config!I$14="on",RockCodeAcq!I164,0)+IF(Config!I$15="on",AcqPipeline!I257,0)+IF(Config!I$16="on",MintyTools!I117,0)+IF(Config!I$17="on",Eliminations!I30,0)</f>
        <v>39290.962408716667</v>
      </c>
      <c r="J20" s="180">
        <f>CoreBusiness!J20+IF(Config!J$10="on",Corporate!J122,0)+IF(Config!J$14="on",RockCodeAcq!J164,0)+IF(Config!J$15="on",AcqPipeline!J257,0)+IF(Config!J$16="on",MintyTools!J117,0)+IF(Config!J$17="on",Eliminations!J30,0)</f>
        <v>46616.780108230007</v>
      </c>
      <c r="K20" s="180">
        <f>CoreBusiness!K20+IF(Config!K$10="on",Corporate!K122,0)+IF(Config!K$14="on",RockCodeAcq!K164,0)+IF(Config!K$15="on",AcqPipeline!K257,0)+IF(Config!K$16="on",MintyTools!K117,0)+IF(Config!K$17="on",Eliminations!K30,0)</f>
        <v>57759.478577283473</v>
      </c>
      <c r="L20" s="180">
        <f>CoreBusiness!L20+IF(Config!L$10="on",Corporate!L122,0)+IF(Config!L$14="on",RockCodeAcq!L164,0)+IF(Config!L$15="on",AcqPipeline!L257,0)+IF(Config!L$16="on",MintyTools!L117,0)+IF(Config!L$17="on",Eliminations!L30,0)</f>
        <v>78489.234371949744</v>
      </c>
    </row>
    <row r="21" spans="2:14" x14ac:dyDescent="0.2">
      <c r="B21" s="49" t="s">
        <v>13</v>
      </c>
      <c r="C21" s="49"/>
      <c r="D21" s="49"/>
      <c r="E21" s="180">
        <f>CoreBusiness!E21+IF(Config!E$10="on",Corporate!E123,0)+IF(Config!E$14="on",RockCodeAcq!E165,0)+IF(Config!E$15="on",AcqPipeline!E258,0)+IF(Config!E$16="on",MintyTools!E118,0)+IF(Config!E$17="on",Eliminations!E31,0)</f>
        <v>2068.8838415094374</v>
      </c>
      <c r="F21" s="180">
        <f>CoreBusiness!F21+IF(Config!F$10="on",Corporate!F123,0)+IF(Config!F$14="on",RockCodeAcq!F165,0)+IF(Config!F$15="on",AcqPipeline!F258,0)+IF(Config!F$16="on",MintyTools!F118,0)+IF(Config!F$17="on",Eliminations!F31,0)</f>
        <v>2672.7607554930155</v>
      </c>
      <c r="G21" s="180">
        <f>CoreBusiness!G21+IF(Config!G$10="on",Corporate!G123,0)+IF(Config!G$14="on",RockCodeAcq!G165,0)+IF(Config!G$15="on",AcqPipeline!G258,0)+IF(Config!G$16="on",MintyTools!G118,0)+IF(Config!G$17="on",Eliminations!G31,0)</f>
        <v>2386.6402182153647</v>
      </c>
      <c r="H21" s="180">
        <f>CoreBusiness!H21+IF(Config!H$10="on",Corporate!H123,0)+IF(Config!H$14="on",RockCodeAcq!H165,0)+IF(Config!H$15="on",AcqPipeline!H258,0)+IF(Config!H$16="on",MintyTools!H118,0)+IF(Config!H$17="on",Eliminations!H31,0)</f>
        <v>3342.9607923157314</v>
      </c>
      <c r="I21" s="180">
        <f>CoreBusiness!I21+IF(Config!I$10="on",Corporate!I123,0)+IF(Config!I$14="on",RockCodeAcq!I165,0)+IF(Config!I$15="on",AcqPipeline!I258,0)+IF(Config!I$16="on",MintyTools!I118,0)+IF(Config!I$17="on",Eliminations!I31,0)</f>
        <v>4209.339146725827</v>
      </c>
      <c r="J21" s="180">
        <f>CoreBusiness!J21+IF(Config!J$10="on",Corporate!J123,0)+IF(Config!J$14="on",RockCodeAcq!J165,0)+IF(Config!J$15="on",AcqPipeline!J258,0)+IF(Config!J$16="on",MintyTools!J118,0)+IF(Config!J$17="on",Eliminations!J31,0)</f>
        <v>4967.8630427404514</v>
      </c>
      <c r="K21" s="180">
        <f>CoreBusiness!K21+IF(Config!K$10="on",Corporate!K123,0)+IF(Config!K$14="on",RockCodeAcq!K165,0)+IF(Config!K$15="on",AcqPipeline!K258,0)+IF(Config!K$16="on",MintyTools!K118,0)+IF(Config!K$17="on",Eliminations!K31,0)</f>
        <v>6565.9809986748596</v>
      </c>
      <c r="L21" s="180">
        <f>CoreBusiness!L21+IF(Config!L$10="on",Corporate!L123,0)+IF(Config!L$14="on",RockCodeAcq!L165,0)+IF(Config!L$15="on",AcqPipeline!L258,0)+IF(Config!L$16="on",MintyTools!L118,0)+IF(Config!L$17="on",Eliminations!L31,0)</f>
        <v>9368.0092568197051</v>
      </c>
    </row>
    <row r="22" spans="2:14" x14ac:dyDescent="0.2">
      <c r="B22" s="49" t="s">
        <v>14</v>
      </c>
      <c r="C22" s="49"/>
      <c r="D22" s="49"/>
      <c r="E22" s="180">
        <f>CoreBusiness!E22+IF(Config!E$10="on",Corporate!E124,0)+IF(Config!E$14="on",RockCodeAcq!E166,0)+IF(Config!E$15="on",AcqPipeline!E259,0)+IF(Config!E$16="on",MintyTools!E119,0)+IF(Config!E$17="on",Eliminations!E32,0)</f>
        <v>2573.9113267141579</v>
      </c>
      <c r="F22" s="180">
        <f>CoreBusiness!F22+IF(Config!F$10="on",Corporate!F124,0)+IF(Config!F$14="on",RockCodeAcq!F166,0)+IF(Config!F$15="on",AcqPipeline!F259,0)+IF(Config!F$16="on",MintyTools!F119,0)+IF(Config!F$17="on",Eliminations!F32,0)</f>
        <v>2755.7214084675516</v>
      </c>
      <c r="G22" s="180">
        <f>CoreBusiness!G22+IF(Config!G$10="on",Corporate!G124,0)+IF(Config!G$14="on",RockCodeAcq!G166,0)+IF(Config!G$15="on",AcqPipeline!G259,0)+IF(Config!G$16="on",MintyTools!G119,0)+IF(Config!G$17="on",Eliminations!G32,0)</f>
        <v>3476.9928907940807</v>
      </c>
      <c r="H22" s="180">
        <f>CoreBusiness!H22+IF(Config!H$10="on",Corporate!H124,0)+IF(Config!H$14="on",RockCodeAcq!H166,0)+IF(Config!H$15="on",AcqPipeline!H259,0)+IF(Config!H$16="on",MintyTools!H119,0)+IF(Config!H$17="on",Eliminations!H32,0)</f>
        <v>4089.9448703766607</v>
      </c>
      <c r="I22" s="180">
        <f>CoreBusiness!I22+IF(Config!I$10="on",Corporate!I124,0)+IF(Config!I$14="on",RockCodeAcq!I166,0)+IF(Config!I$15="on",AcqPipeline!I259,0)+IF(Config!I$16="on",MintyTools!I119,0)+IF(Config!I$17="on",Eliminations!I32,0)</f>
        <v>4975.5104410031345</v>
      </c>
      <c r="J22" s="180">
        <f>CoreBusiness!J22+IF(Config!J$10="on",Corporate!J124,0)+IF(Config!J$14="on",RockCodeAcq!J166,0)+IF(Config!J$15="on",AcqPipeline!J259,0)+IF(Config!J$16="on",MintyTools!J119,0)+IF(Config!J$17="on",Eliminations!J32,0)</f>
        <v>6087.7280345766039</v>
      </c>
      <c r="K22" s="180">
        <f>CoreBusiness!K22+IF(Config!K$10="on",Corporate!K124,0)+IF(Config!K$14="on",RockCodeAcq!K166,0)+IF(Config!K$15="on",AcqPipeline!K259,0)+IF(Config!K$16="on",MintyTools!K119,0)+IF(Config!K$17="on",Eliminations!K32,0)</f>
        <v>7643.5242208387845</v>
      </c>
      <c r="L22" s="180">
        <f>CoreBusiness!L22+IF(Config!L$10="on",Corporate!L124,0)+IF(Config!L$14="on",RockCodeAcq!L166,0)+IF(Config!L$15="on",AcqPipeline!L259,0)+IF(Config!L$16="on",MintyTools!L119,0)+IF(Config!L$17="on",Eliminations!L32,0)</f>
        <v>10683.216032840221</v>
      </c>
    </row>
    <row r="23" spans="2:14" x14ac:dyDescent="0.2">
      <c r="B23" s="49" t="s">
        <v>15</v>
      </c>
      <c r="C23" s="49"/>
      <c r="D23" s="49"/>
      <c r="E23" s="180">
        <f>CoreBusiness!E23+IF(Config!E$10="on",Corporate!E125,0)+IF(Config!E$14="on",RockCodeAcq!E167,0)+IF(Config!E$15="on",AcqPipeline!E260,0)+IF(Config!E$16="on",MintyTools!E120,0)+IF(Config!E$17="on",Eliminations!E33,0)</f>
        <v>2733.715814892972</v>
      </c>
      <c r="F23" s="180">
        <f>CoreBusiness!F23+IF(Config!F$10="on",Corporate!F125,0)+IF(Config!F$14="on",RockCodeAcq!F167,0)+IF(Config!F$15="on",AcqPipeline!F260,0)+IF(Config!F$16="on",MintyTools!F120,0)+IF(Config!F$17="on",Eliminations!F33,0)</f>
        <v>2732.0229432531419</v>
      </c>
      <c r="G23" s="180">
        <f>CoreBusiness!G23+IF(Config!G$10="on",Corporate!G125,0)+IF(Config!G$14="on",RockCodeAcq!G167,0)+IF(Config!G$15="on",AcqPipeline!G260,0)+IF(Config!G$16="on",MintyTools!G120,0)+IF(Config!G$17="on",Eliminations!G33,0)</f>
        <v>3939.1689806697232</v>
      </c>
      <c r="H23" s="180">
        <f>CoreBusiness!H23+IF(Config!H$10="on",Corporate!H125,0)+IF(Config!H$14="on",RockCodeAcq!H167,0)+IF(Config!H$15="on",AcqPipeline!H260,0)+IF(Config!H$16="on",MintyTools!H120,0)+IF(Config!H$17="on",Eliminations!H33,0)</f>
        <v>4394.9667218124323</v>
      </c>
      <c r="I23" s="180">
        <f>CoreBusiness!I23+IF(Config!I$10="on",Corporate!I125,0)+IF(Config!I$14="on",RockCodeAcq!I167,0)+IF(Config!I$15="on",AcqPipeline!I260,0)+IF(Config!I$16="on",MintyTools!I120,0)+IF(Config!I$17="on",Eliminations!I33,0)</f>
        <v>5466.1785068585632</v>
      </c>
      <c r="J23" s="180">
        <f>CoreBusiness!J23+IF(Config!J$10="on",Corporate!J125,0)+IF(Config!J$14="on",RockCodeAcq!J167,0)+IF(Config!J$15="on",AcqPipeline!J260,0)+IF(Config!J$16="on",MintyTools!J120,0)+IF(Config!J$17="on",Eliminations!J33,0)</f>
        <v>6956.4506547816509</v>
      </c>
      <c r="K23" s="180">
        <f>CoreBusiness!K23+IF(Config!K$10="on",Corporate!K125,0)+IF(Config!K$14="on",RockCodeAcq!K167,0)+IF(Config!K$15="on",AcqPipeline!K260,0)+IF(Config!K$16="on",MintyTools!K120,0)+IF(Config!K$17="on",Eliminations!K33,0)</f>
        <v>8707.1322802163577</v>
      </c>
      <c r="L23" s="180">
        <f>CoreBusiness!L23+IF(Config!L$10="on",Corporate!L125,0)+IF(Config!L$14="on",RockCodeAcq!L167,0)+IF(Config!L$15="on",AcqPipeline!L260,0)+IF(Config!L$16="on",MintyTools!L120,0)+IF(Config!L$17="on",Eliminations!L33,0)</f>
        <v>12448.342700092535</v>
      </c>
    </row>
    <row r="24" spans="2:14" x14ac:dyDescent="0.2">
      <c r="B24" s="49" t="s">
        <v>16</v>
      </c>
      <c r="C24" s="49"/>
      <c r="D24" s="49"/>
      <c r="E24" s="180">
        <f>CoreBusiness!E24+IF(Config!E$10="on",Corporate!E126,0)+IF(Config!E$14="on",RockCodeAcq!E168,0)+IF(Config!E$15="on",AcqPipeline!E261,0)+IF(Config!E$16="on",MintyTools!E121,0)+IF(Config!E$17="on",Eliminations!E34,0)</f>
        <v>9751.3584010983304</v>
      </c>
      <c r="F24" s="180">
        <f>CoreBusiness!F24+IF(Config!F$10="on",Corporate!F126,0)+IF(Config!F$14="on",RockCodeAcq!F168,0)+IF(Config!F$15="on",AcqPipeline!F261,0)+IF(Config!F$16="on",MintyTools!F121,0)+IF(Config!F$17="on",Eliminations!F34,0)</f>
        <v>11027.23577392181</v>
      </c>
      <c r="G24" s="180">
        <f>CoreBusiness!G24+IF(Config!G$10="on",Corporate!G126,0)+IF(Config!G$14="on",RockCodeAcq!G168,0)+IF(Config!G$15="on",AcqPipeline!G261,0)+IF(Config!G$16="on",MintyTools!G121,0)+IF(Config!G$17="on",Eliminations!G34,0)</f>
        <v>13392.887421923395</v>
      </c>
      <c r="H24" s="180">
        <f>CoreBusiness!H24+IF(Config!H$10="on",Corporate!H126,0)+IF(Config!H$14="on",RockCodeAcq!H168,0)+IF(Config!H$15="on",AcqPipeline!H261,0)+IF(Config!H$16="on",MintyTools!H121,0)+IF(Config!H$17="on",Eliminations!H34,0)</f>
        <v>16015.360591945739</v>
      </c>
      <c r="I24" s="180">
        <f>CoreBusiness!I24+IF(Config!I$10="on",Corporate!I126,0)+IF(Config!I$14="on",RockCodeAcq!I168,0)+IF(Config!I$15="on",AcqPipeline!I261,0)+IF(Config!I$16="on",MintyTools!I121,0)+IF(Config!I$17="on",Eliminations!I34,0)</f>
        <v>19463.17597906859</v>
      </c>
      <c r="J24" s="180">
        <f>CoreBusiness!J24+IF(Config!J$10="on",Corporate!J126,0)+IF(Config!J$14="on",RockCodeAcq!J168,0)+IF(Config!J$15="on",AcqPipeline!J261,0)+IF(Config!J$16="on",MintyTools!J121,0)+IF(Config!J$17="on",Eliminations!J34,0)</f>
        <v>23601.304077454261</v>
      </c>
      <c r="K24" s="180">
        <f>CoreBusiness!K24+IF(Config!K$10="on",Corporate!K126,0)+IF(Config!K$14="on",RockCodeAcq!K168,0)+IF(Config!K$15="on",AcqPipeline!K261,0)+IF(Config!K$16="on",MintyTools!K121,0)+IF(Config!K$17="on",Eliminations!K34,0)</f>
        <v>29662.944671798814</v>
      </c>
      <c r="L24" s="180">
        <f>CoreBusiness!L24+IF(Config!L$10="on",Corporate!L126,0)+IF(Config!L$14="on",RockCodeAcq!L168,0)+IF(Config!L$15="on",AcqPipeline!L261,0)+IF(Config!L$16="on",MintyTools!L121,0)+IF(Config!L$17="on",Eliminations!L34,0)</f>
        <v>41301.745995869431</v>
      </c>
    </row>
    <row r="25" spans="2:14" x14ac:dyDescent="0.2">
      <c r="B25" s="49" t="s">
        <v>17</v>
      </c>
      <c r="C25" s="49"/>
      <c r="D25" s="49"/>
      <c r="E25" s="180">
        <f>CoreBusiness!E25+IF(Config!E$10="on",Corporate!E127,0)+IF(Config!E$14="on",RockCodeAcq!E169,0)+IF(Config!E$15="on",AcqPipeline!E262,0)+IF(Config!E$16="on",MintyTools!E122,0)+IF(Config!E$17="on",Eliminations!E35,0)</f>
        <v>7891.3346472169451</v>
      </c>
      <c r="F25" s="180">
        <f>CoreBusiness!F25+IF(Config!F$10="on",Corporate!F127,0)+IF(Config!F$14="on",RockCodeAcq!F169,0)+IF(Config!F$15="on",AcqPipeline!F262,0)+IF(Config!F$16="on",MintyTools!F122,0)+IF(Config!F$17="on",Eliminations!F35,0)</f>
        <v>9127.4574013964448</v>
      </c>
      <c r="G25" s="180">
        <f>CoreBusiness!G25+IF(Config!G$10="on",Corporate!G127,0)+IF(Config!G$14="on",RockCodeAcq!G169,0)+IF(Config!G$15="on",AcqPipeline!G262,0)+IF(Config!G$16="on",MintyTools!G122,0)+IF(Config!G$17="on",Eliminations!G35,0)</f>
        <v>10286.032617136247</v>
      </c>
      <c r="H25" s="180">
        <f>CoreBusiness!H25+IF(Config!H$10="on",Corporate!H127,0)+IF(Config!H$14="on",RockCodeAcq!H169,0)+IF(Config!H$15="on",AcqPipeline!H262,0)+IF(Config!H$16="on",MintyTools!H122,0)+IF(Config!H$17="on",Eliminations!H35,0)</f>
        <v>12646.68658861262</v>
      </c>
      <c r="I25" s="180">
        <f>CoreBusiness!I25+IF(Config!I$10="on",Corporate!I127,0)+IF(Config!I$14="on",RockCodeAcq!I169,0)+IF(Config!I$15="on",AcqPipeline!I262,0)+IF(Config!I$16="on",MintyTools!I122,0)+IF(Config!I$17="on",Eliminations!I35,0)</f>
        <v>14966.473486324128</v>
      </c>
      <c r="J25" s="180">
        <f>CoreBusiness!J25+IF(Config!J$10="on",Corporate!J127,0)+IF(Config!J$14="on",RockCodeAcq!J169,0)+IF(Config!J$15="on",AcqPipeline!J262,0)+IF(Config!J$16="on",MintyTools!J122,0)+IF(Config!J$17="on",Eliminations!J35,0)</f>
        <v>17645.409576501672</v>
      </c>
      <c r="K25" s="180">
        <f>CoreBusiness!K25+IF(Config!K$10="on",Corporate!K127,0)+IF(Config!K$14="on",RockCodeAcq!K169,0)+IF(Config!K$15="on",AcqPipeline!K262,0)+IF(Config!K$16="on",MintyTools!K122,0)+IF(Config!K$17="on",Eliminations!K35,0)</f>
        <v>21845.169875105981</v>
      </c>
      <c r="L25" s="180">
        <f>CoreBusiness!L25+IF(Config!L$10="on",Corporate!L127,0)+IF(Config!L$14="on",RockCodeAcq!L169,0)+IF(Config!L$15="on",AcqPipeline!L262,0)+IF(Config!L$16="on",MintyTools!L122,0)+IF(Config!L$17="on",Eliminations!L35,0)</f>
        <v>29607.577154868421</v>
      </c>
    </row>
    <row r="26" spans="2:14" x14ac:dyDescent="0.2">
      <c r="B26" s="51" t="s">
        <v>18</v>
      </c>
      <c r="C26" s="51"/>
      <c r="D26" s="51"/>
      <c r="E26" s="25">
        <f>SUM(E16:E25)</f>
        <v>223139.23867639145</v>
      </c>
      <c r="F26" s="25">
        <f t="shared" ref="F26:L26" si="3">SUM(F16:F25)</f>
        <v>242018.76181650176</v>
      </c>
      <c r="G26" s="25">
        <f t="shared" si="3"/>
        <v>275947.51660636289</v>
      </c>
      <c r="H26" s="25">
        <f t="shared" si="3"/>
        <v>349053.62276554748</v>
      </c>
      <c r="I26" s="25">
        <f t="shared" si="3"/>
        <v>419664.85232656292</v>
      </c>
      <c r="J26" s="25">
        <f t="shared" si="3"/>
        <v>506665.63521025318</v>
      </c>
      <c r="K26" s="25">
        <f t="shared" si="3"/>
        <v>644406.59371724003</v>
      </c>
      <c r="L26" s="25">
        <f t="shared" si="3"/>
        <v>897406.04124699254</v>
      </c>
    </row>
    <row r="27" spans="2:14" ht="10.8" thickBot="1" x14ac:dyDescent="0.25">
      <c r="B27" s="53" t="s">
        <v>20</v>
      </c>
      <c r="C27" s="53"/>
      <c r="D27" s="53"/>
      <c r="E27" s="183">
        <f>E13-E26</f>
        <v>76974.062523608533</v>
      </c>
      <c r="F27" s="183">
        <f t="shared" ref="F27:L27" si="4">F13-F26</f>
        <v>89589.268573498266</v>
      </c>
      <c r="G27" s="183">
        <f t="shared" si="4"/>
        <v>101789.98806394113</v>
      </c>
      <c r="H27" s="183">
        <f t="shared" si="4"/>
        <v>146659.09017816768</v>
      </c>
      <c r="I27" s="183">
        <f t="shared" si="4"/>
        <v>225870.90234023606</v>
      </c>
      <c r="J27" s="183">
        <f t="shared" si="4"/>
        <v>316050.4956831407</v>
      </c>
      <c r="K27" s="183">
        <f t="shared" si="4"/>
        <v>397419.27097483934</v>
      </c>
      <c r="L27" s="183">
        <f t="shared" si="4"/>
        <v>460479.34698288771</v>
      </c>
    </row>
    <row r="28" spans="2:14" x14ac:dyDescent="0.2">
      <c r="B28" s="54" t="s">
        <v>85</v>
      </c>
      <c r="C28" s="54"/>
      <c r="D28" s="54"/>
      <c r="E28" s="180"/>
      <c r="F28" s="180"/>
      <c r="G28" s="180"/>
      <c r="H28" s="132"/>
      <c r="I28" s="132"/>
      <c r="J28" s="132"/>
      <c r="K28" s="132"/>
      <c r="L28" s="132"/>
    </row>
    <row r="29" spans="2:14" x14ac:dyDescent="0.2">
      <c r="B29" s="49"/>
      <c r="C29" s="49"/>
      <c r="D29" s="49"/>
      <c r="E29" s="180"/>
      <c r="F29" s="180"/>
      <c r="G29" s="180"/>
      <c r="H29" s="132"/>
      <c r="I29" s="132"/>
      <c r="J29" s="132"/>
      <c r="K29" s="132"/>
      <c r="L29" s="132"/>
    </row>
    <row r="30" spans="2:14" x14ac:dyDescent="0.2">
      <c r="B30" s="49" t="s">
        <v>21</v>
      </c>
      <c r="C30" s="49"/>
      <c r="D30" s="49"/>
      <c r="E30" s="180">
        <f>CoreBusiness!E30+IF(Config!E$10="on",Corporate!E132,0)+IF(Config!E$14="on",RockCodeAcq!E174,0)+IF(Config!E$15="on",AcqPipeline!E267,0)+IF(Config!E$16="on",MintyTools!E127,0)+IF(Config!E$17="on",Eliminations!E40,0)</f>
        <v>52425.803</v>
      </c>
      <c r="F30" s="180">
        <f>CoreBusiness!F30+IF(Config!F$10="on",Corporate!F132,0)+IF(Config!F$14="on",RockCodeAcq!F174,0)+IF(Config!F$15="on",AcqPipeline!F267,0)+IF(Config!F$16="on",MintyTools!F127,0)+IF(Config!F$17="on",Eliminations!F40,0)</f>
        <v>53041.154562000003</v>
      </c>
      <c r="G30" s="180">
        <f>CoreBusiness!G30+IF(Config!G$10="on",Corporate!G132,0)+IF(Config!G$14="on",RockCodeAcq!G174,0)+IF(Config!G$15="on",AcqPipeline!G267,0)+IF(Config!G$16="on",MintyTools!G127,0)+IF(Config!G$17="on",Eliminations!G40,0)</f>
        <v>58098.024892294001</v>
      </c>
      <c r="H30" s="180">
        <f>CoreBusiness!H30+IF(Config!H$10="on",Corporate!H132,0)+IF(Config!H$14="on",RockCodeAcq!H174,0)+IF(Config!H$15="on",AcqPipeline!H267,0)+IF(Config!H$16="on",MintyTools!H127,0)+IF(Config!H$17="on",Eliminations!H40,0)</f>
        <v>64853.118347412397</v>
      </c>
      <c r="I30" s="180">
        <f>CoreBusiness!I30+IF(Config!I$10="on",Corporate!I132,0)+IF(Config!I$14="on",RockCodeAcq!I174,0)+IF(Config!I$15="on",AcqPipeline!I267,0)+IF(Config!I$16="on",MintyTools!I127,0)+IF(Config!I$17="on",Eliminations!I40,0)</f>
        <v>80180.045558242244</v>
      </c>
      <c r="J30" s="180">
        <f>CoreBusiness!J30+IF(Config!J$10="on",Corporate!J132,0)+IF(Config!J$14="on",RockCodeAcq!J174,0)+IF(Config!J$15="on",AcqPipeline!J267,0)+IF(Config!J$16="on",MintyTools!J127,0)+IF(Config!J$17="on",Eliminations!J40,0)</f>
        <v>94590.112293372804</v>
      </c>
      <c r="K30" s="180">
        <f>CoreBusiness!K30+IF(Config!K$10="on",Corporate!K132,0)+IF(Config!K$14="on",RockCodeAcq!K174,0)+IF(Config!K$15="on",AcqPipeline!K267,0)+IF(Config!K$16="on",MintyTools!K127,0)+IF(Config!K$17="on",Eliminations!K40,0)</f>
        <v>107619.46558764226</v>
      </c>
      <c r="L30" s="180">
        <f>CoreBusiness!L30+IF(Config!L$10="on",Corporate!L132,0)+IF(Config!L$14="on",RockCodeAcq!L174,0)+IF(Config!L$15="on",AcqPipeline!L267,0)+IF(Config!L$16="on",MintyTools!L127,0)+IF(Config!L$17="on",Eliminations!L40,0)</f>
        <v>127984.15430327602</v>
      </c>
    </row>
    <row r="31" spans="2:14" x14ac:dyDescent="0.2">
      <c r="B31" s="50" t="s">
        <v>22</v>
      </c>
      <c r="C31" s="50"/>
      <c r="D31" s="50"/>
      <c r="E31" s="180">
        <f>CoreBusiness!E31+IF(Config!E$10="on",Corporate!E133,0)+IF(Config!E$14="on",RockCodeAcq!E175,0)+IF(Config!E$15="on",AcqPipeline!E268,0)+IF(Config!E$16="on",MintyTools!E128,0)+IF(Config!E$17="on",Eliminations!E41,0)</f>
        <v>12120</v>
      </c>
      <c r="F31" s="180">
        <f>CoreBusiness!F31+IF(Config!F$10="on",Corporate!F133,0)+IF(Config!F$14="on",RockCodeAcq!F175,0)+IF(Config!F$15="on",AcqPipeline!F268,0)+IF(Config!F$16="on",MintyTools!F128,0)+IF(Config!F$17="on",Eliminations!F41,0)</f>
        <v>11065.487119672431</v>
      </c>
      <c r="G31" s="180">
        <f>CoreBusiness!G31+IF(Config!G$10="on",Corporate!G133,0)+IF(Config!G$14="on",RockCodeAcq!G175,0)+IF(Config!G$15="on",AcqPipeline!G268,0)+IF(Config!G$16="on",MintyTools!G128,0)+IF(Config!G$17="on",Eliminations!G41,0)</f>
        <v>9947.7034665252104</v>
      </c>
      <c r="H31" s="180">
        <f>CoreBusiness!H31+IF(Config!H$10="on",Corporate!H133,0)+IF(Config!H$14="on",RockCodeAcq!H175,0)+IF(Config!H$15="on",AcqPipeline!H268,0)+IF(Config!H$16="on",MintyTools!H128,0)+IF(Config!H$17="on",Eliminations!H41,0)</f>
        <v>12812.852794189153</v>
      </c>
      <c r="I31" s="180">
        <f>CoreBusiness!I31+IF(Config!I$10="on",Corporate!I133,0)+IF(Config!I$14="on",RockCodeAcq!I175,0)+IF(Config!I$15="on",AcqPipeline!I268,0)+IF(Config!I$16="on",MintyTools!I128,0)+IF(Config!I$17="on",Eliminations!I41,0)</f>
        <v>14149.689565259823</v>
      </c>
      <c r="J31" s="180">
        <f>CoreBusiness!J31+IF(Config!J$10="on",Corporate!J133,0)+IF(Config!J$14="on",RockCodeAcq!J175,0)+IF(Config!J$15="on",AcqPipeline!J268,0)+IF(Config!J$16="on",MintyTools!J128,0)+IF(Config!J$17="on",Eliminations!J41,0)</f>
        <v>14954.736542594736</v>
      </c>
      <c r="K31" s="180">
        <f>CoreBusiness!K31+IF(Config!K$10="on",Corporate!K133,0)+IF(Config!K$14="on",RockCodeAcq!K175,0)+IF(Config!K$15="on",AcqPipeline!K268,0)+IF(Config!K$16="on",MintyTools!K128,0)+IF(Config!K$17="on",Eliminations!K41,0)</f>
        <v>16798.086338569745</v>
      </c>
      <c r="L31" s="180">
        <f>CoreBusiness!L31+IF(Config!L$10="on",Corporate!L133,0)+IF(Config!L$14="on",RockCodeAcq!L175,0)+IF(Config!L$15="on",AcqPipeline!L268,0)+IF(Config!L$16="on",MintyTools!L128,0)+IF(Config!L$17="on",Eliminations!L41,0)</f>
        <v>19449.537122303249</v>
      </c>
      <c r="N31" s="70"/>
    </row>
    <row r="32" spans="2:14" x14ac:dyDescent="0.2">
      <c r="B32" s="50" t="s">
        <v>75</v>
      </c>
      <c r="C32" s="50"/>
      <c r="D32" s="50"/>
      <c r="E32" s="180">
        <f>CoreBusiness!E32+IF(Config!E$10="on",Corporate!E134,0)+IF(Config!E$14="on",RockCodeAcq!E176,0)+IF(Config!E$15="on",AcqPipeline!E269,0)+IF(Config!E$16="on",MintyTools!E129,0)+IF(Config!E$17="on",Eliminations!E42,0)</f>
        <v>-47242.989676391531</v>
      </c>
      <c r="F32" s="180">
        <f>CoreBusiness!F32+IF(Config!F$10="on",Corporate!F134,0)+IF(Config!F$14="on",RockCodeAcq!F176,0)+IF(Config!F$15="on",AcqPipeline!F269,0)+IF(Config!F$16="on",MintyTools!F129,0)+IF(Config!F$17="on",Eliminations!F42,0)</f>
        <v>3069.5515346982233</v>
      </c>
      <c r="G32" s="180">
        <f>CoreBusiness!G32+IF(Config!G$10="on",Corporate!G134,0)+IF(Config!G$14="on",RockCodeAcq!G176,0)+IF(Config!G$15="on",AcqPipeline!G269,0)+IF(Config!G$16="on",MintyTools!G129,0)+IF(Config!G$17="on",Eliminations!G42,0)</f>
        <v>3719.8046759231247</v>
      </c>
      <c r="H32" s="180">
        <f>CoreBusiness!H32+IF(Config!H$10="on",Corporate!H134,0)+IF(Config!H$14="on",RockCodeAcq!H176,0)+IF(Config!H$15="on",AcqPipeline!H269,0)+IF(Config!H$16="on",MintyTools!H129,0)+IF(Config!H$17="on",Eliminations!H42,0)</f>
        <v>3762.0100302445207</v>
      </c>
      <c r="I32" s="180">
        <f>CoreBusiness!I32+IF(Config!I$10="on",Corporate!I134,0)+IF(Config!I$14="on",RockCodeAcq!I176,0)+IF(Config!I$15="on",AcqPipeline!I269,0)+IF(Config!I$16="on",MintyTools!I129,0)+IF(Config!I$17="on",Eliminations!I42,0)</f>
        <v>3963.0046312673958</v>
      </c>
      <c r="J32" s="180">
        <f>CoreBusiness!J32+IF(Config!J$10="on",Corporate!J134,0)+IF(Config!J$14="on",RockCodeAcq!J176,0)+IF(Config!J$15="on",AcqPipeline!J269,0)+IF(Config!J$16="on",MintyTools!J129,0)+IF(Config!J$17="on",Eliminations!J42,0)</f>
        <v>4204.9699363802865</v>
      </c>
      <c r="K32" s="180">
        <f>CoreBusiness!K32+IF(Config!K$10="on",Corporate!K134,0)+IF(Config!K$14="on",RockCodeAcq!K176,0)+IF(Config!K$15="on",AcqPipeline!K269,0)+IF(Config!K$16="on",MintyTools!K129,0)+IF(Config!K$17="on",Eliminations!K42,0)</f>
        <v>4379.8093001444731</v>
      </c>
      <c r="L32" s="180">
        <f>CoreBusiness!L32+IF(Config!L$10="on",Corporate!L134,0)+IF(Config!L$14="on",RockCodeAcq!L176,0)+IF(Config!L$15="on",AcqPipeline!L269,0)+IF(Config!L$16="on",MintyTools!L129,0)+IF(Config!L$17="on",Eliminations!L42,0)</f>
        <v>4607.4841187606271</v>
      </c>
    </row>
    <row r="33" spans="2:12" x14ac:dyDescent="0.2">
      <c r="B33" s="51" t="s">
        <v>23</v>
      </c>
      <c r="C33" s="51"/>
      <c r="D33" s="51"/>
      <c r="E33" s="25">
        <f>SUM(E30:E32)</f>
        <v>17302.813323608469</v>
      </c>
      <c r="F33" s="25">
        <f t="shared" ref="F33:L33" si="5">SUM(F30:F32)</f>
        <v>67176.193216370666</v>
      </c>
      <c r="G33" s="25">
        <f t="shared" si="5"/>
        <v>71765.53303474233</v>
      </c>
      <c r="H33" s="25">
        <f t="shared" si="5"/>
        <v>81427.98117184607</v>
      </c>
      <c r="I33" s="25">
        <f t="shared" si="5"/>
        <v>98292.739754769456</v>
      </c>
      <c r="J33" s="25">
        <f t="shared" si="5"/>
        <v>113749.81877234782</v>
      </c>
      <c r="K33" s="25">
        <f t="shared" si="5"/>
        <v>128797.36122635649</v>
      </c>
      <c r="L33" s="25">
        <f t="shared" si="5"/>
        <v>152041.1755443399</v>
      </c>
    </row>
    <row r="34" spans="2:12" x14ac:dyDescent="0.2">
      <c r="B34" s="55" t="s">
        <v>24</v>
      </c>
      <c r="C34" s="55"/>
      <c r="D34" s="55"/>
      <c r="E34" s="184">
        <f>E27-E33</f>
        <v>59671.249200000064</v>
      </c>
      <c r="F34" s="184">
        <f t="shared" ref="F34:L34" si="6">F27-F33</f>
        <v>22413.0753571276</v>
      </c>
      <c r="G34" s="184">
        <f t="shared" si="6"/>
        <v>30024.455029198798</v>
      </c>
      <c r="H34" s="184">
        <f t="shared" si="6"/>
        <v>65231.109006321611</v>
      </c>
      <c r="I34" s="184">
        <f t="shared" si="6"/>
        <v>127578.16258546661</v>
      </c>
      <c r="J34" s="184">
        <f t="shared" si="6"/>
        <v>202300.67691079288</v>
      </c>
      <c r="K34" s="184">
        <f t="shared" si="6"/>
        <v>268621.90974848287</v>
      </c>
      <c r="L34" s="184">
        <f t="shared" si="6"/>
        <v>308438.17143854778</v>
      </c>
    </row>
    <row r="35" spans="2:12" x14ac:dyDescent="0.2">
      <c r="B35" s="52"/>
      <c r="C35" s="52"/>
      <c r="D35" s="52"/>
      <c r="E35" s="182"/>
      <c r="F35" s="182"/>
      <c r="G35" s="182"/>
      <c r="H35" s="132"/>
      <c r="I35" s="132"/>
      <c r="J35" s="132"/>
      <c r="K35" s="132"/>
      <c r="L35" s="132"/>
    </row>
    <row r="36" spans="2:12" x14ac:dyDescent="0.2">
      <c r="B36" s="50" t="s">
        <v>25</v>
      </c>
      <c r="C36" s="50"/>
      <c r="D36" s="50"/>
      <c r="E36" s="180">
        <f>CoreBusiness!E36+IF(Config!E$10="on",Corporate!E138,0)+IF(Config!E$14="on",RockCodeAcq!E180,0)+IF(Config!E$15="on",AcqPipeline!E273,0)+IF(Config!E$16="on",MintyTools!E133,0)+IF(Config!E$17="on",Eliminations!E46,0)</f>
        <v>21867.390720000007</v>
      </c>
      <c r="F36" s="180">
        <f>CoreBusiness!F36+IF(Config!F$10="on",Corporate!F138,0)+IF(Config!F$14="on",RockCodeAcq!F180,0)+IF(Config!F$15="on",AcqPipeline!F273,0)+IF(Config!F$16="on",MintyTools!F133,0)+IF(Config!F$17="on",Eliminations!F46,0)</f>
        <v>17904.088642580013</v>
      </c>
      <c r="G36" s="180">
        <f>CoreBusiness!G36+IF(Config!G$10="on",Corporate!G138,0)+IF(Config!G$14="on",RockCodeAcq!G180,0)+IF(Config!G$15="on",AcqPipeline!G273,0)+IF(Config!G$16="on",MintyTools!G133,0)+IF(Config!G$17="on",Eliminations!G46,0)</f>
        <v>21255.673099512602</v>
      </c>
      <c r="H36" s="180">
        <f>CoreBusiness!H36+IF(Config!H$10="on",Corporate!H138,0)+IF(Config!H$14="on",RockCodeAcq!H180,0)+IF(Config!H$15="on",AcqPipeline!H273,0)+IF(Config!H$16="on",MintyTools!H133,0)+IF(Config!H$17="on",Eliminations!H46,0)</f>
        <v>33440.021508465768</v>
      </c>
      <c r="I36" s="180">
        <f>CoreBusiness!I36+IF(Config!I$10="on",Corporate!I138,0)+IF(Config!I$14="on",RockCodeAcq!I180,0)+IF(Config!I$15="on",AcqPipeline!I273,0)+IF(Config!I$16="on",MintyTools!I133,0)+IF(Config!I$17="on",Eliminations!I46,0)</f>
        <v>55151.771217787216</v>
      </c>
      <c r="J36" s="180">
        <f>CoreBusiness!J36+IF(Config!J$10="on",Corporate!J138,0)+IF(Config!J$14="on",RockCodeAcq!J180,0)+IF(Config!J$15="on",AcqPipeline!J273,0)+IF(Config!J$16="on",MintyTools!J133,0)+IF(Config!J$17="on",Eliminations!J46,0)</f>
        <v>81421.639224430663</v>
      </c>
      <c r="K36" s="180">
        <f>CoreBusiness!K36+IF(Config!K$10="on",Corporate!K138,0)+IF(Config!K$14="on",RockCodeAcq!K180,0)+IF(Config!K$15="on",AcqPipeline!K273,0)+IF(Config!K$16="on",MintyTools!K133,0)+IF(Config!K$17="on",Eliminations!K46,0)</f>
        <v>104755.17877935362</v>
      </c>
      <c r="L36" s="180">
        <f>CoreBusiness!L36+IF(Config!L$10="on",Corporate!L138,0)+IF(Config!L$14="on",RockCodeAcq!L180,0)+IF(Config!L$15="on",AcqPipeline!L273,0)+IF(Config!L$16="on",MintyTools!L133,0)+IF(Config!L$17="on",Eliminations!L46,0)</f>
        <v>118814.80495961764</v>
      </c>
    </row>
    <row r="37" spans="2:12" ht="10.8" thickBot="1" x14ac:dyDescent="0.25">
      <c r="B37" s="56" t="s">
        <v>26</v>
      </c>
      <c r="C37" s="56"/>
      <c r="D37" s="56"/>
      <c r="E37" s="185">
        <f>E34-E36</f>
        <v>37803.858480000054</v>
      </c>
      <c r="F37" s="185">
        <f t="shared" ref="F37:L37" si="7">F34-F36</f>
        <v>4508.9867145475873</v>
      </c>
      <c r="G37" s="185">
        <f t="shared" si="7"/>
        <v>8768.7819296861962</v>
      </c>
      <c r="H37" s="185">
        <f t="shared" si="7"/>
        <v>31791.087497855842</v>
      </c>
      <c r="I37" s="185">
        <f t="shared" si="7"/>
        <v>72426.391367679389</v>
      </c>
      <c r="J37" s="185">
        <f t="shared" si="7"/>
        <v>120879.03768636222</v>
      </c>
      <c r="K37" s="185">
        <f t="shared" si="7"/>
        <v>163866.73096912925</v>
      </c>
      <c r="L37" s="185">
        <f t="shared" si="7"/>
        <v>189623.36647893014</v>
      </c>
    </row>
    <row r="38" spans="2:12" ht="10.8" thickTop="1" x14ac:dyDescent="0.2">
      <c r="B38" s="54" t="s">
        <v>86</v>
      </c>
      <c r="C38" s="54"/>
      <c r="D38" s="54"/>
      <c r="E38" s="134"/>
      <c r="F38" s="134"/>
      <c r="G38" s="134"/>
      <c r="H38" s="132"/>
      <c r="I38" s="132"/>
      <c r="J38" s="132"/>
      <c r="K38" s="132"/>
      <c r="L38" s="132"/>
    </row>
    <row r="39" spans="2:12" x14ac:dyDescent="0.2">
      <c r="B39" s="57"/>
      <c r="C39" s="57"/>
      <c r="D39" s="57"/>
      <c r="E39" s="134"/>
      <c r="F39" s="134"/>
      <c r="G39" s="134"/>
      <c r="H39" s="132"/>
      <c r="I39" s="132"/>
      <c r="J39" s="132"/>
      <c r="K39" s="132"/>
      <c r="L39" s="132"/>
    </row>
    <row r="40" spans="2:12" x14ac:dyDescent="0.2">
      <c r="B40" s="48" t="s">
        <v>27</v>
      </c>
      <c r="C40" s="48"/>
      <c r="D40" s="48"/>
      <c r="E40" s="36">
        <f>E$7</f>
        <v>2020</v>
      </c>
      <c r="F40" s="36">
        <f t="shared" ref="F40:L40" si="8">F$7</f>
        <v>2021</v>
      </c>
      <c r="G40" s="36">
        <f t="shared" si="8"/>
        <v>2022</v>
      </c>
      <c r="H40" s="36">
        <f t="shared" si="8"/>
        <v>2023</v>
      </c>
      <c r="I40" s="36">
        <f t="shared" si="8"/>
        <v>2024</v>
      </c>
      <c r="J40" s="36">
        <f t="shared" si="8"/>
        <v>2025</v>
      </c>
      <c r="K40" s="36">
        <f t="shared" si="8"/>
        <v>2026</v>
      </c>
      <c r="L40" s="36">
        <f t="shared" si="8"/>
        <v>2027</v>
      </c>
    </row>
    <row r="41" spans="2:12" x14ac:dyDescent="0.2">
      <c r="B41" s="58" t="s">
        <v>28</v>
      </c>
      <c r="C41" s="58"/>
      <c r="D41" s="58"/>
      <c r="E41" s="180"/>
      <c r="F41" s="180"/>
      <c r="G41" s="180"/>
      <c r="H41" s="132"/>
      <c r="I41" s="132"/>
      <c r="J41" s="132"/>
      <c r="K41" s="132"/>
      <c r="L41" s="132"/>
    </row>
    <row r="42" spans="2:12" x14ac:dyDescent="0.2">
      <c r="B42" s="49" t="s">
        <v>29</v>
      </c>
      <c r="C42" s="49"/>
      <c r="D42" s="49"/>
      <c r="E42" s="180">
        <f>CoreBusiness!E42+IF(Config!E$10="on",Corporate!E144,0)+IF(Config!E$14="on",RockCodeAcq!E186,0)+IF(Config!E$15="on",AcqPipeline!E279,0)+IF(Config!E$16="on",MintyTools!E139,0)+IF(Config!E$17="on",Eliminations!E52,0)</f>
        <v>98787.84774694244</v>
      </c>
      <c r="F42" s="180">
        <f>CoreBusiness!F42+IF(Config!F$10="on",Corporate!F144,0)+IF(Config!F$14="on",RockCodeAcq!F186,0)+IF(Config!F$15="on",AcqPipeline!F279,0)+IF(Config!F$16="on",MintyTools!F139,0)+IF(Config!F$17="on",Eliminations!F52,0)</f>
        <v>59284.505297036332</v>
      </c>
      <c r="G42" s="180">
        <f>CoreBusiness!G42+IF(Config!G$10="on",Corporate!G144,0)+IF(Config!G$14="on",RockCodeAcq!G186,0)+IF(Config!G$15="on",AcqPipeline!G279,0)+IF(Config!G$16="on",MintyTools!G139,0)+IF(Config!G$17="on",Eliminations!G52,0)</f>
        <v>34574.516491455608</v>
      </c>
      <c r="H42" s="180">
        <f>CoreBusiness!H42+IF(Config!H$10="on",Corporate!H144,0)+IF(Config!H$14="on",RockCodeAcq!H186,0)+IF(Config!H$15="on",AcqPipeline!H279,0)+IF(Config!H$16="on",MintyTools!H139,0)+IF(Config!H$17="on",Eliminations!H52,0)</f>
        <v>26733.231092293125</v>
      </c>
      <c r="I42" s="180">
        <f>CoreBusiness!I42+IF(Config!I$10="on",Corporate!I144,0)+IF(Config!I$14="on",RockCodeAcq!I186,0)+IF(Config!I$15="on",AcqPipeline!I279,0)+IF(Config!I$16="on",MintyTools!I139,0)+IF(Config!I$17="on",Eliminations!I52,0)</f>
        <v>25981.254223278334</v>
      </c>
      <c r="J42" s="180">
        <f>CoreBusiness!J42+IF(Config!J$10="on",Corporate!J144,0)+IF(Config!J$14="on",RockCodeAcq!J186,0)+IF(Config!J$15="on",AcqPipeline!J279,0)+IF(Config!J$16="on",MintyTools!J139,0)+IF(Config!J$17="on",Eliminations!J52,0)</f>
        <v>74820.739498837152</v>
      </c>
      <c r="K42" s="180">
        <f>CoreBusiness!K42+IF(Config!K$10="on",Corporate!K144,0)+IF(Config!K$14="on",RockCodeAcq!K186,0)+IF(Config!K$15="on",AcqPipeline!K279,0)+IF(Config!K$16="on",MintyTools!K139,0)+IF(Config!K$17="on",Eliminations!K52,0)</f>
        <v>139111.78725360596</v>
      </c>
      <c r="L42" s="180">
        <f>CoreBusiness!L42+IF(Config!L$10="on",Corporate!L144,0)+IF(Config!L$14="on",RockCodeAcq!L186,0)+IF(Config!L$15="on",AcqPipeline!L279,0)+IF(Config!L$16="on",MintyTools!L139,0)+IF(Config!L$17="on",Eliminations!L52,0)</f>
        <v>229414.01904765968</v>
      </c>
    </row>
    <row r="43" spans="2:12" x14ac:dyDescent="0.2">
      <c r="B43" s="49" t="s">
        <v>30</v>
      </c>
      <c r="C43" s="49"/>
      <c r="D43" s="49"/>
      <c r="E43" s="180">
        <f>CoreBusiness!E43+IF(Config!E$10="on",Corporate!E145,0)+IF(Config!E$14="on",RockCodeAcq!E187,0)+IF(Config!E$15="on",AcqPipeline!E280,0)+IF(Config!E$16="on",MintyTools!E140,0)+IF(Config!E$17="on",Eliminations!E53,0)</f>
        <v>46642.555000000008</v>
      </c>
      <c r="F43" s="180">
        <f>CoreBusiness!F43+IF(Config!F$10="on",Corporate!F145,0)+IF(Config!F$14="on",RockCodeAcq!F187,0)+IF(Config!F$15="on",AcqPipeline!F280,0)+IF(Config!F$16="on",MintyTools!F140,0)+IF(Config!F$17="on",Eliminations!F53,0)</f>
        <v>53038.096342000004</v>
      </c>
      <c r="G43" s="180">
        <f>CoreBusiness!G43+IF(Config!G$10="on",Corporate!G145,0)+IF(Config!G$14="on",RockCodeAcq!G187,0)+IF(Config!G$15="on",AcqPipeline!G280,0)+IF(Config!G$16="on",MintyTools!G140,0)+IF(Config!G$17="on",Eliminations!G53,0)</f>
        <v>60271.218780812</v>
      </c>
      <c r="H43" s="180">
        <f>CoreBusiness!H43+IF(Config!H$10="on",Corporate!H145,0)+IF(Config!H$14="on",RockCodeAcq!H187,0)+IF(Config!H$15="on",AcqPipeline!H280,0)+IF(Config!H$16="on",MintyTools!H140,0)+IF(Config!H$17="on",Eliminations!H53,0)</f>
        <v>74312.920651101376</v>
      </c>
      <c r="I43" s="180">
        <f>CoreBusiness!I43+IF(Config!I$10="on",Corporate!I145,0)+IF(Config!I$14="on",RockCodeAcq!I187,0)+IF(Config!I$15="on",AcqPipeline!I280,0)+IF(Config!I$16="on",MintyTools!I140,0)+IF(Config!I$17="on",Eliminations!I53,0)</f>
        <v>116622.62082420656</v>
      </c>
      <c r="J43" s="180">
        <f>CoreBusiness!J43+IF(Config!J$10="on",Corporate!J145,0)+IF(Config!J$14="on",RockCodeAcq!J187,0)+IF(Config!J$15="on",AcqPipeline!J280,0)+IF(Config!J$16="on",MintyTools!J140,0)+IF(Config!J$17="on",Eliminations!J53,0)</f>
        <v>123674.61811704045</v>
      </c>
      <c r="K43" s="180">
        <f>CoreBusiness!K43+IF(Config!K$10="on",Corporate!K145,0)+IF(Config!K$14="on",RockCodeAcq!K187,0)+IF(Config!K$15="on",AcqPipeline!K280,0)+IF(Config!K$16="on",MintyTools!K140,0)+IF(Config!K$17="on",Eliminations!K53,0)</f>
        <v>180507.8920159906</v>
      </c>
      <c r="L43" s="180">
        <f>CoreBusiness!L43+IF(Config!L$10="on",Corporate!L145,0)+IF(Config!L$14="on",RockCodeAcq!L187,0)+IF(Config!L$15="on",AcqPipeline!L280,0)+IF(Config!L$16="on",MintyTools!L140,0)+IF(Config!L$17="on",Eliminations!L53,0)</f>
        <v>210742.21014543265</v>
      </c>
    </row>
    <row r="44" spans="2:12" x14ac:dyDescent="0.2">
      <c r="B44" s="49" t="s">
        <v>31</v>
      </c>
      <c r="C44" s="49"/>
      <c r="D44" s="49"/>
      <c r="E44" s="180">
        <f>CoreBusiness!E44+IF(Config!E$10="on",Corporate!E146,0)+IF(Config!E$14="on",RockCodeAcq!E188,0)+IF(Config!E$15="on",AcqPipeline!E281,0)+IF(Config!E$16="on",MintyTools!E141,0)+IF(Config!E$17="on",Eliminations!E54,0)</f>
        <v>0</v>
      </c>
      <c r="F44" s="180">
        <f>CoreBusiness!F44+IF(Config!F$10="on",Corporate!F146,0)+IF(Config!F$14="on",RockCodeAcq!F188,0)+IF(Config!F$15="on",AcqPipeline!F281,0)+IF(Config!F$16="on",MintyTools!F141,0)+IF(Config!F$17="on",Eliminations!F54,0)</f>
        <v>0</v>
      </c>
      <c r="G44" s="180">
        <f>CoreBusiness!G44+IF(Config!G$10="on",Corporate!G146,0)+IF(Config!G$14="on",RockCodeAcq!G188,0)+IF(Config!G$15="on",AcqPipeline!G281,0)+IF(Config!G$16="on",MintyTools!G141,0)+IF(Config!G$17="on",Eliminations!G54,0)</f>
        <v>0</v>
      </c>
      <c r="H44" s="180">
        <f>CoreBusiness!H44+IF(Config!H$10="on",Corporate!H146,0)+IF(Config!H$14="on",RockCodeAcq!H188,0)+IF(Config!H$15="on",AcqPipeline!H281,0)+IF(Config!H$16="on",MintyTools!H141,0)+IF(Config!H$17="on",Eliminations!H54,0)</f>
        <v>0</v>
      </c>
      <c r="I44" s="180">
        <f>CoreBusiness!I44+IF(Config!I$10="on",Corporate!I146,0)+IF(Config!I$14="on",RockCodeAcq!I188,0)+IF(Config!I$15="on",AcqPipeline!I281,0)+IF(Config!I$16="on",MintyTools!I141,0)+IF(Config!I$17="on",Eliminations!I54,0)</f>
        <v>0</v>
      </c>
      <c r="J44" s="180">
        <f>CoreBusiness!J44+IF(Config!J$10="on",Corporate!J146,0)+IF(Config!J$14="on",RockCodeAcq!J188,0)+IF(Config!J$15="on",AcqPipeline!J281,0)+IF(Config!J$16="on",MintyTools!J141,0)+IF(Config!J$17="on",Eliminations!J54,0)</f>
        <v>0</v>
      </c>
      <c r="K44" s="180">
        <f>CoreBusiness!K44+IF(Config!K$10="on",Corporate!K146,0)+IF(Config!K$14="on",RockCodeAcq!K188,0)+IF(Config!K$15="on",AcqPipeline!K281,0)+IF(Config!K$16="on",MintyTools!K141,0)+IF(Config!K$17="on",Eliminations!K54,0)</f>
        <v>0</v>
      </c>
      <c r="L44" s="180">
        <f>CoreBusiness!L44+IF(Config!L$10="on",Corporate!L146,0)+IF(Config!L$14="on",RockCodeAcq!L188,0)+IF(Config!L$15="on",AcqPipeline!L281,0)+IF(Config!L$16="on",MintyTools!L141,0)+IF(Config!L$17="on",Eliminations!L54,0)</f>
        <v>0</v>
      </c>
    </row>
    <row r="45" spans="2:12" x14ac:dyDescent="0.2">
      <c r="B45" s="49" t="s">
        <v>32</v>
      </c>
      <c r="C45" s="49"/>
      <c r="D45" s="49"/>
      <c r="E45" s="180">
        <f>CoreBusiness!E45+IF(Config!E$10="on",Corporate!E147,0)+IF(Config!E$14="on",RockCodeAcq!E189,0)+IF(Config!E$15="on",AcqPipeline!E282,0)+IF(Config!E$16="on",MintyTools!E142,0)+IF(Config!E$17="on",Eliminations!E55,0)</f>
        <v>36822.595000000001</v>
      </c>
      <c r="F45" s="180">
        <f>CoreBusiness!F45+IF(Config!F$10="on",Corporate!F147,0)+IF(Config!F$14="on",RockCodeAcq!F189,0)+IF(Config!F$15="on",AcqPipeline!F282,0)+IF(Config!F$16="on",MintyTools!F142,0)+IF(Config!F$17="on",Eliminations!F55,0)</f>
        <v>42584.241072000004</v>
      </c>
      <c r="G45" s="180">
        <f>CoreBusiness!G45+IF(Config!G$10="on",Corporate!G147,0)+IF(Config!G$14="on",RockCodeAcq!G189,0)+IF(Config!G$15="on",AcqPipeline!G282,0)+IF(Config!G$16="on",MintyTools!G142,0)+IF(Config!G$17="on",Eliminations!G55,0)</f>
        <v>48743.923233763999</v>
      </c>
      <c r="H45" s="180">
        <f>CoreBusiness!H45+IF(Config!H$10="on",Corporate!H147,0)+IF(Config!H$14="on",RockCodeAcq!H189,0)+IF(Config!H$15="on",AcqPipeline!H282,0)+IF(Config!H$16="on",MintyTools!H142,0)+IF(Config!H$17="on",Eliminations!H55,0)</f>
        <v>56990.709979021507</v>
      </c>
      <c r="I45" s="180">
        <f>CoreBusiness!I45+IF(Config!I$10="on",Corporate!I147,0)+IF(Config!I$14="on",RockCodeAcq!I189,0)+IF(Config!I$15="on",AcqPipeline!I282,0)+IF(Config!I$16="on",MintyTools!I142,0)+IF(Config!I$17="on",Eliminations!I55,0)</f>
        <v>80651.800936199565</v>
      </c>
      <c r="J45" s="180">
        <f>CoreBusiness!J45+IF(Config!J$10="on",Corporate!J147,0)+IF(Config!J$14="on",RockCodeAcq!J189,0)+IF(Config!J$15="on",AcqPipeline!J282,0)+IF(Config!J$16="on",MintyTools!J142,0)+IF(Config!J$17="on",Eliminations!J55,0)</f>
        <v>84051.192799419005</v>
      </c>
      <c r="K45" s="180">
        <f>CoreBusiness!K45+IF(Config!K$10="on",Corporate!K147,0)+IF(Config!K$14="on",RockCodeAcq!K189,0)+IF(Config!K$15="on",AcqPipeline!K282,0)+IF(Config!K$16="on",MintyTools!K142,0)+IF(Config!K$17="on",Eliminations!K55,0)</f>
        <v>125593.8909963426</v>
      </c>
      <c r="L45" s="180">
        <f>CoreBusiness!L45+IF(Config!L$10="on",Corporate!L147,0)+IF(Config!L$14="on",RockCodeAcq!L189,0)+IF(Config!L$15="on",AcqPipeline!L282,0)+IF(Config!L$16="on",MintyTools!L142,0)+IF(Config!L$17="on",Eliminations!L55,0)</f>
        <v>162873.92403314926</v>
      </c>
    </row>
    <row r="46" spans="2:12" x14ac:dyDescent="0.2">
      <c r="B46" s="49" t="s">
        <v>33</v>
      </c>
      <c r="C46" s="49"/>
      <c r="D46" s="49"/>
      <c r="E46" s="180">
        <f>CoreBusiness!E46+IF(Config!E$10="on",Corporate!E148,0)+IF(Config!E$14="on",RockCodeAcq!E190,0)+IF(Config!E$15="on",AcqPipeline!E283,0)+IF(Config!E$16="on",MintyTools!E143,0)+IF(Config!E$17="on",Eliminations!E56,0)</f>
        <v>210896</v>
      </c>
      <c r="F46" s="180">
        <f>CoreBusiness!F46+IF(Config!F$10="on",Corporate!F148,0)+IF(Config!F$14="on",RockCodeAcq!F190,0)+IF(Config!F$15="on",AcqPipeline!F283,0)+IF(Config!F$16="on",MintyTools!F143,0)+IF(Config!F$17="on",Eliminations!F56,0)</f>
        <v>232386</v>
      </c>
      <c r="G46" s="180">
        <f>CoreBusiness!G46+IF(Config!G$10="on",Corporate!G148,0)+IF(Config!G$14="on",RockCodeAcq!G190,0)+IF(Config!G$15="on",AcqPipeline!G283,0)+IF(Config!G$16="on",MintyTools!G143,0)+IF(Config!G$17="on",Eliminations!G56,0)</f>
        <v>246343</v>
      </c>
      <c r="H46" s="180">
        <f>CoreBusiness!H46+IF(Config!H$10="on",Corporate!H148,0)+IF(Config!H$14="on",RockCodeAcq!H190,0)+IF(Config!H$15="on",AcqPipeline!H283,0)+IF(Config!H$16="on",MintyTools!H143,0)+IF(Config!H$17="on",Eliminations!H56,0)</f>
        <v>322843</v>
      </c>
      <c r="I46" s="180">
        <f>CoreBusiness!I46+IF(Config!I$10="on",Corporate!I148,0)+IF(Config!I$14="on",RockCodeAcq!I190,0)+IF(Config!I$15="on",AcqPipeline!I283,0)+IF(Config!I$16="on",MintyTools!I143,0)+IF(Config!I$17="on",Eliminations!I56,0)</f>
        <v>367218</v>
      </c>
      <c r="J46" s="180">
        <f>CoreBusiness!J46+IF(Config!J$10="on",Corporate!J148,0)+IF(Config!J$14="on",RockCodeAcq!J190,0)+IF(Config!J$15="on",AcqPipeline!J283,0)+IF(Config!J$16="on",MintyTools!J143,0)+IF(Config!J$17="on",Eliminations!J56,0)</f>
        <v>402499.25</v>
      </c>
      <c r="K46" s="180">
        <f>CoreBusiness!K46+IF(Config!K$10="on",Corporate!K148,0)+IF(Config!K$14="on",RockCodeAcq!K190,0)+IF(Config!K$15="on",AcqPipeline!K283,0)+IF(Config!K$16="on",MintyTools!K143,0)+IF(Config!K$17="on",Eliminations!K56,0)</f>
        <v>471335.1875</v>
      </c>
      <c r="L46" s="180">
        <f>CoreBusiness!L46+IF(Config!L$10="on",Corporate!L148,0)+IF(Config!L$14="on",RockCodeAcq!L190,0)+IF(Config!L$15="on",AcqPipeline!L283,0)+IF(Config!L$16="on",MintyTools!L143,0)+IF(Config!L$17="on",Eliminations!L56,0)</f>
        <v>575087.140625</v>
      </c>
    </row>
    <row r="47" spans="2:12" x14ac:dyDescent="0.2">
      <c r="B47" s="49" t="s">
        <v>76</v>
      </c>
      <c r="C47" s="49"/>
      <c r="D47" s="49"/>
      <c r="E47" s="180">
        <f>CoreBusiness!E47+IF(Config!E$10="on",Corporate!E149,0)+IF(Config!E$14="on",RockCodeAcq!E191,0)+IF(Config!E$15="on",AcqPipeline!E284,0)+IF(Config!E$16="on",MintyTools!E144,0)+IF(Config!E$17="on",Eliminations!E57,0)</f>
        <v>125700</v>
      </c>
      <c r="F47" s="180">
        <f>CoreBusiness!F47+IF(Config!F$10="on",Corporate!F149,0)+IF(Config!F$14="on",RockCodeAcq!F191,0)+IF(Config!F$15="on",AcqPipeline!F284,0)+IF(Config!F$16="on",MintyTools!F144,0)+IF(Config!F$17="on",Eliminations!F57,0)</f>
        <v>125700</v>
      </c>
      <c r="G47" s="180">
        <f>CoreBusiness!G47+IF(Config!G$10="on",Corporate!G149,0)+IF(Config!G$14="on",RockCodeAcq!G191,0)+IF(Config!G$15="on",AcqPipeline!G284,0)+IF(Config!G$16="on",MintyTools!G144,0)+IF(Config!G$17="on",Eliminations!G57,0)</f>
        <v>125700</v>
      </c>
      <c r="H47" s="180">
        <f>CoreBusiness!H47+IF(Config!H$10="on",Corporate!H149,0)+IF(Config!H$14="on",RockCodeAcq!H191,0)+IF(Config!H$15="on",AcqPipeline!H284,0)+IF(Config!H$16="on",MintyTools!H144,0)+IF(Config!H$17="on",Eliminations!H57,0)</f>
        <v>198200</v>
      </c>
      <c r="I47" s="180">
        <f>CoreBusiness!I47+IF(Config!I$10="on",Corporate!I149,0)+IF(Config!I$14="on",RockCodeAcq!I191,0)+IF(Config!I$15="on",AcqPipeline!I284,0)+IF(Config!I$16="on",MintyTools!I144,0)+IF(Config!I$17="on",Eliminations!I57,0)</f>
        <v>250700</v>
      </c>
      <c r="J47" s="180">
        <f>CoreBusiness!J47+IF(Config!J$10="on",Corporate!J149,0)+IF(Config!J$14="on",RockCodeAcq!J191,0)+IF(Config!J$15="on",AcqPipeline!J284,0)+IF(Config!J$16="on",MintyTools!J144,0)+IF(Config!J$17="on",Eliminations!J57,0)</f>
        <v>303200</v>
      </c>
      <c r="K47" s="180">
        <f>CoreBusiness!K47+IF(Config!K$10="on",Corporate!K149,0)+IF(Config!K$14="on",RockCodeAcq!K191,0)+IF(Config!K$15="on",AcqPipeline!K284,0)+IF(Config!K$16="on",MintyTools!K144,0)+IF(Config!K$17="on",Eliminations!K57,0)</f>
        <v>395075</v>
      </c>
      <c r="L47" s="180">
        <f>CoreBusiness!L47+IF(Config!L$10="on",Corporate!L149,0)+IF(Config!L$14="on",RockCodeAcq!L191,0)+IF(Config!L$15="on",AcqPipeline!L284,0)+IF(Config!L$16="on",MintyTools!L144,0)+IF(Config!L$17="on",Eliminations!L57,0)</f>
        <v>535075</v>
      </c>
    </row>
    <row r="48" spans="2:12" x14ac:dyDescent="0.2">
      <c r="B48" s="49" t="s">
        <v>77</v>
      </c>
      <c r="C48" s="49"/>
      <c r="D48" s="49"/>
      <c r="E48" s="180">
        <f>CoreBusiness!E48+IF(Config!E$10="on",Corporate!E150,0)+IF(Config!E$14="on",RockCodeAcq!E192,0)+IF(Config!E$15="on",AcqPipeline!E285,0)+IF(Config!E$16="on",MintyTools!E145,0)+IF(Config!E$17="on",Eliminations!E58,0)</f>
        <v>0</v>
      </c>
      <c r="F48" s="180">
        <f>CoreBusiness!F48+IF(Config!F$10="on",Corporate!F150,0)+IF(Config!F$14="on",RockCodeAcq!F192,0)+IF(Config!F$15="on",AcqPipeline!F285,0)+IF(Config!F$16="on",MintyTools!F145,0)+IF(Config!F$17="on",Eliminations!F58,0)</f>
        <v>0</v>
      </c>
      <c r="G48" s="180">
        <f>CoreBusiness!G48+IF(Config!G$10="on",Corporate!G150,0)+IF(Config!G$14="on",RockCodeAcq!G192,0)+IF(Config!G$15="on",AcqPipeline!G285,0)+IF(Config!G$16="on",MintyTools!G145,0)+IF(Config!G$17="on",Eliminations!G58,0)</f>
        <v>0</v>
      </c>
      <c r="H48" s="180">
        <f>CoreBusiness!H48+IF(Config!H$10="on",Corporate!H150,0)+IF(Config!H$14="on",RockCodeAcq!H192,0)+IF(Config!H$15="on",AcqPipeline!H285,0)+IF(Config!H$16="on",MintyTools!H145,0)+IF(Config!H$17="on",Eliminations!H58,0)</f>
        <v>0</v>
      </c>
      <c r="I48" s="180">
        <f>CoreBusiness!I48+IF(Config!I$10="on",Corporate!I150,0)+IF(Config!I$14="on",RockCodeAcq!I192,0)+IF(Config!I$15="on",AcqPipeline!I285,0)+IF(Config!I$16="on",MintyTools!I145,0)+IF(Config!I$17="on",Eliminations!I58,0)</f>
        <v>0</v>
      </c>
      <c r="J48" s="180">
        <f>CoreBusiness!J48+IF(Config!J$10="on",Corporate!J150,0)+IF(Config!J$14="on",RockCodeAcq!J192,0)+IF(Config!J$15="on",AcqPipeline!J285,0)+IF(Config!J$16="on",MintyTools!J145,0)+IF(Config!J$17="on",Eliminations!J58,0)</f>
        <v>0</v>
      </c>
      <c r="K48" s="180">
        <f>CoreBusiness!K48+IF(Config!K$10="on",Corporate!K150,0)+IF(Config!K$14="on",RockCodeAcq!K192,0)+IF(Config!K$15="on",AcqPipeline!K285,0)+IF(Config!K$16="on",MintyTools!K145,0)+IF(Config!K$17="on",Eliminations!K58,0)</f>
        <v>0</v>
      </c>
      <c r="L48" s="180">
        <f>CoreBusiness!L48+IF(Config!L$10="on",Corporate!L150,0)+IF(Config!L$14="on",RockCodeAcq!L192,0)+IF(Config!L$15="on",AcqPipeline!L285,0)+IF(Config!L$16="on",MintyTools!L145,0)+IF(Config!L$17="on",Eliminations!L58,0)</f>
        <v>0</v>
      </c>
    </row>
    <row r="49" spans="2:12" ht="10.8" thickBot="1" x14ac:dyDescent="0.25">
      <c r="B49" s="56" t="s">
        <v>34</v>
      </c>
      <c r="C49" s="56"/>
      <c r="D49" s="56"/>
      <c r="E49" s="185">
        <f>SUM(E42:E48)</f>
        <v>518848.99774694245</v>
      </c>
      <c r="F49" s="185">
        <f t="shared" ref="F49:L49" si="9">SUM(F42:F48)</f>
        <v>512992.84271103633</v>
      </c>
      <c r="G49" s="185">
        <f t="shared" si="9"/>
        <v>515632.65850603161</v>
      </c>
      <c r="H49" s="185">
        <f t="shared" si="9"/>
        <v>679079.86172241601</v>
      </c>
      <c r="I49" s="185">
        <f t="shared" si="9"/>
        <v>841173.67598368449</v>
      </c>
      <c r="J49" s="185">
        <f t="shared" si="9"/>
        <v>988245.80041529657</v>
      </c>
      <c r="K49" s="185">
        <f t="shared" si="9"/>
        <v>1311623.7577659392</v>
      </c>
      <c r="L49" s="185">
        <f t="shared" si="9"/>
        <v>1713192.2938512415</v>
      </c>
    </row>
    <row r="50" spans="2:12" ht="10.8" thickTop="1" x14ac:dyDescent="0.2">
      <c r="B50" s="52"/>
      <c r="C50" s="52"/>
      <c r="D50" s="52"/>
      <c r="E50" s="182"/>
      <c r="F50" s="182"/>
      <c r="G50" s="182"/>
      <c r="H50" s="132"/>
      <c r="I50" s="132"/>
      <c r="J50" s="132"/>
      <c r="K50" s="132"/>
      <c r="L50" s="132"/>
    </row>
    <row r="51" spans="2:12" x14ac:dyDescent="0.2">
      <c r="B51" s="58" t="s">
        <v>35</v>
      </c>
      <c r="C51" s="58"/>
      <c r="D51" s="58"/>
      <c r="E51" s="180"/>
      <c r="F51" s="180"/>
      <c r="G51" s="180"/>
      <c r="H51" s="132"/>
      <c r="I51" s="132"/>
      <c r="J51" s="132"/>
      <c r="K51" s="132"/>
      <c r="L51" s="132"/>
    </row>
    <row r="52" spans="2:12" x14ac:dyDescent="0.2">
      <c r="B52" s="49" t="s">
        <v>36</v>
      </c>
      <c r="C52" s="49"/>
      <c r="D52" s="49"/>
      <c r="E52" s="180">
        <f>CoreBusiness!E52+IF(Config!E$10="on",Corporate!E154,0)+IF(Config!E$14="on",RockCodeAcq!E196,0)+IF(Config!E$15="on",AcqPipeline!E289,0)+IF(Config!E$16="on",MintyTools!E149,0)+IF(Config!E$17="on",Eliminations!E62,0)</f>
        <v>79058.53</v>
      </c>
      <c r="F52" s="180">
        <f>CoreBusiness!F52+IF(Config!F$10="on",Corporate!F154,0)+IF(Config!F$14="on",RockCodeAcq!F196,0)+IF(Config!F$15="on",AcqPipeline!F289,0)+IF(Config!F$16="on",MintyTools!F149,0)+IF(Config!F$17="on",Eliminations!F62,0)</f>
        <v>87323.115802</v>
      </c>
      <c r="G52" s="180">
        <f>CoreBusiness!G52+IF(Config!G$10="on",Corporate!G154,0)+IF(Config!G$14="on",RockCodeAcq!G196,0)+IF(Config!G$15="on",AcqPipeline!G289,0)+IF(Config!G$16="on",MintyTools!G149,0)+IF(Config!G$17="on",Eliminations!G62,0)</f>
        <v>100941.66087291003</v>
      </c>
      <c r="H52" s="180">
        <f>CoreBusiness!H52+IF(Config!H$10="on",Corporate!H154,0)+IF(Config!H$14="on",RockCodeAcq!H196,0)+IF(Config!H$15="on",AcqPipeline!H289,0)+IF(Config!H$16="on",MintyTools!H149,0)+IF(Config!H$17="on",Eliminations!H62,0)</f>
        <v>117817.16374026058</v>
      </c>
      <c r="I52" s="180">
        <f>CoreBusiness!I52+IF(Config!I$10="on",Corporate!I154,0)+IF(Config!I$14="on",RockCodeAcq!I196,0)+IF(Config!I$15="on",AcqPipeline!I289,0)+IF(Config!I$16="on",MintyTools!I149,0)+IF(Config!I$17="on",Eliminations!I62,0)</f>
        <v>164692.13701160092</v>
      </c>
      <c r="J52" s="180">
        <f>CoreBusiness!J52+IF(Config!J$10="on",Corporate!J154,0)+IF(Config!J$14="on",RockCodeAcq!J196,0)+IF(Config!J$15="on",AcqPipeline!J289,0)+IF(Config!J$16="on",MintyTools!J149,0)+IF(Config!J$17="on",Eliminations!J62,0)</f>
        <v>170162.72715726725</v>
      </c>
      <c r="K52" s="180">
        <f>CoreBusiness!K52+IF(Config!K$10="on",Corporate!K154,0)+IF(Config!K$14="on",RockCodeAcq!K196,0)+IF(Config!K$15="on",AcqPipeline!K289,0)+IF(Config!K$16="on",MintyTools!K149,0)+IF(Config!K$17="on",Eliminations!K62,0)</f>
        <v>256108.10714322218</v>
      </c>
      <c r="L52" s="180">
        <f>CoreBusiness!L52+IF(Config!L$10="on",Corporate!L154,0)+IF(Config!L$14="on",RockCodeAcq!L196,0)+IF(Config!L$15="on",AcqPipeline!L289,0)+IF(Config!L$16="on",MintyTools!L149,0)+IF(Config!L$17="on",Eliminations!L62,0)</f>
        <v>321795.95863123378</v>
      </c>
    </row>
    <row r="53" spans="2:12" x14ac:dyDescent="0.2">
      <c r="B53" s="49" t="s">
        <v>37</v>
      </c>
      <c r="C53" s="49"/>
      <c r="D53" s="49"/>
      <c r="E53" s="180">
        <f>CoreBusiness!E53+IF(Config!E$10="on",Corporate!E155,0)+IF(Config!E$14="on",RockCodeAcq!E197,0)+IF(Config!E$15="on",AcqPipeline!E290,0)+IF(Config!E$16="on",MintyTools!E150,0)+IF(Config!E$17="on",Eliminations!E63,0)</f>
        <v>0</v>
      </c>
      <c r="F53" s="180">
        <f>CoreBusiness!F53+IF(Config!F$10="on",Corporate!F155,0)+IF(Config!F$14="on",RockCodeAcq!F197,0)+IF(Config!F$15="on",AcqPipeline!F290,0)+IF(Config!F$16="on",MintyTools!F150,0)+IF(Config!F$17="on",Eliminations!F63,0)</f>
        <v>0</v>
      </c>
      <c r="G53" s="180">
        <f>CoreBusiness!G53+IF(Config!G$10="on",Corporate!G155,0)+IF(Config!G$14="on",RockCodeAcq!G197,0)+IF(Config!G$15="on",AcqPipeline!G290,0)+IF(Config!G$16="on",MintyTools!G150,0)+IF(Config!G$17="on",Eliminations!G63,0)</f>
        <v>0</v>
      </c>
      <c r="H53" s="180">
        <f>CoreBusiness!H53+IF(Config!H$10="on",Corporate!H155,0)+IF(Config!H$14="on",RockCodeAcq!H197,0)+IF(Config!H$15="on",AcqPipeline!H290,0)+IF(Config!H$16="on",MintyTools!H150,0)+IF(Config!H$17="on",Eliminations!H63,0)</f>
        <v>0</v>
      </c>
      <c r="I53" s="180">
        <f>CoreBusiness!I53+IF(Config!I$10="on",Corporate!I155,0)+IF(Config!I$14="on",RockCodeAcq!I197,0)+IF(Config!I$15="on",AcqPipeline!I290,0)+IF(Config!I$16="on",MintyTools!I150,0)+IF(Config!I$17="on",Eliminations!I63,0)</f>
        <v>0</v>
      </c>
      <c r="J53" s="180">
        <f>CoreBusiness!J53+IF(Config!J$10="on",Corporate!J155,0)+IF(Config!J$14="on",RockCodeAcq!J197,0)+IF(Config!J$15="on",AcqPipeline!J290,0)+IF(Config!J$16="on",MintyTools!J150,0)+IF(Config!J$17="on",Eliminations!J63,0)</f>
        <v>0</v>
      </c>
      <c r="K53" s="180">
        <f>CoreBusiness!K53+IF(Config!K$10="on",Corporate!K155,0)+IF(Config!K$14="on",RockCodeAcq!K197,0)+IF(Config!K$15="on",AcqPipeline!K290,0)+IF(Config!K$16="on",MintyTools!K150,0)+IF(Config!K$17="on",Eliminations!K63,0)</f>
        <v>0</v>
      </c>
      <c r="L53" s="180">
        <f>CoreBusiness!L53+IF(Config!L$10="on",Corporate!L155,0)+IF(Config!L$14="on",RockCodeAcq!L197,0)+IF(Config!L$15="on",AcqPipeline!L290,0)+IF(Config!L$16="on",MintyTools!L150,0)+IF(Config!L$17="on",Eliminations!L63,0)</f>
        <v>0</v>
      </c>
    </row>
    <row r="54" spans="2:12" x14ac:dyDescent="0.2">
      <c r="B54" s="49" t="s">
        <v>38</v>
      </c>
      <c r="C54" s="49"/>
      <c r="D54" s="49"/>
      <c r="E54" s="180">
        <f>CoreBusiness!E54+IF(Config!E$10="on",Corporate!E156,0)+IF(Config!E$14="on",RockCodeAcq!E198,0)+IF(Config!E$15="on",AcqPipeline!E291,0)+IF(Config!E$16="on",MintyTools!E151,0)+IF(Config!E$17="on",Eliminations!E64,0)</f>
        <v>184424.78532787383</v>
      </c>
      <c r="F54" s="180">
        <f>CoreBusiness!F54+IF(Config!F$10="on",Corporate!F156,0)+IF(Config!F$14="on",RockCodeAcq!F198,0)+IF(Config!F$15="on",AcqPipeline!F291,0)+IF(Config!F$16="on",MintyTools!F151,0)+IF(Config!F$17="on",Eliminations!F64,0)</f>
        <v>165795.05777542014</v>
      </c>
      <c r="G54" s="180">
        <f>CoreBusiness!G54+IF(Config!G$10="on",Corporate!G156,0)+IF(Config!G$14="on",RockCodeAcq!G198,0)+IF(Config!G$15="on",AcqPipeline!G291,0)+IF(Config!G$16="on",MintyTools!G151,0)+IF(Config!G$17="on",Eliminations!G64,0)</f>
        <v>146047.54656981921</v>
      </c>
      <c r="H54" s="180">
        <f>CoreBusiness!H54+IF(Config!H$10="on",Corporate!H156,0)+IF(Config!H$14="on",RockCodeAcq!H198,0)+IF(Config!H$15="on",AcqPipeline!H291,0)+IF(Config!H$16="on",MintyTools!H151,0)+IF(Config!H$17="on",Eliminations!H64,0)</f>
        <v>183328.15942099705</v>
      </c>
      <c r="I54" s="180">
        <f>CoreBusiness!I54+IF(Config!I$10="on",Corporate!I156,0)+IF(Config!I$14="on",RockCodeAcq!I198,0)+IF(Config!I$15="on",AcqPipeline!I291,0)+IF(Config!I$16="on",MintyTools!I151,0)+IF(Config!I$17="on",Eliminations!I64,0)</f>
        <v>196745.60904324558</v>
      </c>
      <c r="J54" s="180">
        <f>CoreBusiness!J54+IF(Config!J$10="on",Corporate!J156,0)+IF(Config!J$14="on",RockCodeAcq!J198,0)+IF(Config!J$15="on",AcqPipeline!J291,0)+IF(Config!J$16="on",MintyTools!J151,0)+IF(Config!J$17="on",Eliminations!J64,0)</f>
        <v>201218.105642829</v>
      </c>
      <c r="K54" s="180">
        <f>CoreBusiness!K54+IF(Config!K$10="on",Corporate!K156,0)+IF(Config!K$14="on",RockCodeAcq!K198,0)+IF(Config!K$15="on",AcqPipeline!K291,0)+IF(Config!K$16="on",MintyTools!K151,0)+IF(Config!K$17="on",Eliminations!K64,0)</f>
        <v>219158.95203838742</v>
      </c>
      <c r="L54" s="180">
        <f>CoreBusiness!L54+IF(Config!L$10="on",Corporate!L156,0)+IF(Config!L$14="on",RockCodeAcq!L198,0)+IF(Config!L$15="on",AcqPipeline!L291,0)+IF(Config!L$16="on",MintyTools!L151,0)+IF(Config!L$17="on",Eliminations!L64,0)</f>
        <v>256041.27015674795</v>
      </c>
    </row>
    <row r="55" spans="2:12" x14ac:dyDescent="0.2">
      <c r="B55" s="44" t="s">
        <v>87</v>
      </c>
      <c r="C55" s="44"/>
      <c r="D55" s="44"/>
      <c r="E55" s="180">
        <f>CoreBusiness!E55+IF(Config!E$10="on",Corporate!E157,0)+IF(Config!E$14="on",RockCodeAcq!E199,0)+IF(Config!E$15="on",AcqPipeline!E292,0)+IF(Config!E$16="on",MintyTools!E152,0)+IF(Config!E$17="on",Eliminations!E65,0)</f>
        <v>0</v>
      </c>
      <c r="F55" s="180">
        <f>CoreBusiness!F55+IF(Config!F$10="on",Corporate!F157,0)+IF(Config!F$14="on",RockCodeAcq!F199,0)+IF(Config!F$15="on",AcqPipeline!F292,0)+IF(Config!F$16="on",MintyTools!F152,0)+IF(Config!F$17="on",Eliminations!F65,0)</f>
        <v>0</v>
      </c>
      <c r="G55" s="180">
        <f>CoreBusiness!G55+IF(Config!G$10="on",Corporate!G157,0)+IF(Config!G$14="on",RockCodeAcq!G199,0)+IF(Config!G$15="on",AcqPipeline!G292,0)+IF(Config!G$16="on",MintyTools!G152,0)+IF(Config!G$17="on",Eliminations!G65,0)</f>
        <v>0</v>
      </c>
      <c r="H55" s="180">
        <f>CoreBusiness!H55+IF(Config!H$10="on",Corporate!H157,0)+IF(Config!H$14="on",RockCodeAcq!H199,0)+IF(Config!H$15="on",AcqPipeline!H292,0)+IF(Config!H$16="on",MintyTools!H152,0)+IF(Config!H$17="on",Eliminations!H65,0)</f>
        <v>82500</v>
      </c>
      <c r="I55" s="180">
        <f>CoreBusiness!I55+IF(Config!I$10="on",Corporate!I157,0)+IF(Config!I$14="on",RockCodeAcq!I199,0)+IF(Config!I$15="on",AcqPipeline!I292,0)+IF(Config!I$16="on",MintyTools!I152,0)+IF(Config!I$17="on",Eliminations!I65,0)</f>
        <v>111875</v>
      </c>
      <c r="J55" s="180">
        <f>CoreBusiness!J55+IF(Config!J$10="on",Corporate!J157,0)+IF(Config!J$14="on",RockCodeAcq!J199,0)+IF(Config!J$15="on",AcqPipeline!J292,0)+IF(Config!J$16="on",MintyTools!J152,0)+IF(Config!J$17="on",Eliminations!J65,0)</f>
        <v>128125</v>
      </c>
      <c r="K55" s="180">
        <f>CoreBusiness!K55+IF(Config!K$10="on",Corporate!K157,0)+IF(Config!K$14="on",RockCodeAcq!K199,0)+IF(Config!K$15="on",AcqPipeline!K292,0)+IF(Config!K$16="on",MintyTools!K152,0)+IF(Config!K$17="on",Eliminations!K65,0)</f>
        <v>183750</v>
      </c>
      <c r="L55" s="180">
        <f>CoreBusiness!L55+IF(Config!L$10="on",Corporate!L157,0)+IF(Config!L$14="on",RockCodeAcq!L199,0)+IF(Config!L$15="on",AcqPipeline!L292,0)+IF(Config!L$16="on",MintyTools!L152,0)+IF(Config!L$17="on",Eliminations!L65,0)</f>
        <v>293125</v>
      </c>
    </row>
    <row r="56" spans="2:12" x14ac:dyDescent="0.2">
      <c r="B56" s="55" t="s">
        <v>39</v>
      </c>
      <c r="C56" s="55"/>
      <c r="D56" s="55"/>
      <c r="E56" s="184">
        <f>SUM(E52:E55)</f>
        <v>263483.3153278738</v>
      </c>
      <c r="F56" s="184">
        <f t="shared" ref="F56:L56" si="10">SUM(F52:F55)</f>
        <v>253118.17357742012</v>
      </c>
      <c r="G56" s="184">
        <f t="shared" si="10"/>
        <v>246989.20744272924</v>
      </c>
      <c r="H56" s="184">
        <f t="shared" si="10"/>
        <v>383645.32316125766</v>
      </c>
      <c r="I56" s="184">
        <f t="shared" si="10"/>
        <v>473312.7460548465</v>
      </c>
      <c r="J56" s="184">
        <f t="shared" si="10"/>
        <v>499505.83280009625</v>
      </c>
      <c r="K56" s="184">
        <f t="shared" si="10"/>
        <v>659017.05918160966</v>
      </c>
      <c r="L56" s="184">
        <f t="shared" si="10"/>
        <v>870962.22878798167</v>
      </c>
    </row>
    <row r="57" spans="2:12" x14ac:dyDescent="0.2">
      <c r="B57" s="58" t="s">
        <v>40</v>
      </c>
      <c r="C57" s="58"/>
      <c r="D57" s="58"/>
      <c r="E57" s="180"/>
      <c r="F57" s="180"/>
      <c r="G57" s="180"/>
      <c r="H57" s="132"/>
      <c r="I57" s="132"/>
      <c r="J57" s="132"/>
      <c r="K57" s="132"/>
      <c r="L57" s="132"/>
    </row>
    <row r="58" spans="2:12" x14ac:dyDescent="0.2">
      <c r="B58" s="49" t="s">
        <v>41</v>
      </c>
      <c r="C58" s="49"/>
      <c r="D58" s="49"/>
      <c r="E58" s="180">
        <f>CoreBusiness!E58+IF(Config!E$10="on",Corporate!E160,0)+IF(Config!E$14="on",RockCodeAcq!E202,0)+IF(Config!E$15="on",AcqPipeline!E295,0)+IF(Config!E$16="on",MintyTools!E155,0)+IF(Config!E$17="on",Eliminations!E68,0)</f>
        <v>55000</v>
      </c>
      <c r="F58" s="180">
        <f>CoreBusiness!F58+IF(Config!F$10="on",Corporate!F160,0)+IF(Config!F$14="on",RockCodeAcq!F202,0)+IF(Config!F$15="on",AcqPipeline!F295,0)+IF(Config!F$16="on",MintyTools!F155,0)+IF(Config!F$17="on",Eliminations!F68,0)</f>
        <v>55000</v>
      </c>
      <c r="G58" s="180">
        <f>CoreBusiness!G58+IF(Config!G$10="on",Corporate!G160,0)+IF(Config!G$14="on",RockCodeAcq!G202,0)+IF(Config!G$15="on",AcqPipeline!G295,0)+IF(Config!G$16="on",MintyTools!G155,0)+IF(Config!G$17="on",Eliminations!G68,0)</f>
        <v>55000</v>
      </c>
      <c r="H58" s="180">
        <f>CoreBusiness!H58+IF(Config!H$10="on",Corporate!H160,0)+IF(Config!H$14="on",RockCodeAcq!H202,0)+IF(Config!H$15="on",AcqPipeline!H295,0)+IF(Config!H$16="on",MintyTools!H155,0)+IF(Config!H$17="on",Eliminations!H68,0)</f>
        <v>50000</v>
      </c>
      <c r="I58" s="180">
        <f>CoreBusiness!I58+IF(Config!I$10="on",Corporate!I160,0)+IF(Config!I$14="on",RockCodeAcq!I202,0)+IF(Config!I$15="on",AcqPipeline!I295,0)+IF(Config!I$16="on",MintyTools!I155,0)+IF(Config!I$17="on",Eliminations!I68,0)</f>
        <v>50000</v>
      </c>
      <c r="J58" s="180">
        <f>CoreBusiness!J58+IF(Config!J$10="on",Corporate!J160,0)+IF(Config!J$14="on",RockCodeAcq!J202,0)+IF(Config!J$15="on",AcqPipeline!J295,0)+IF(Config!J$16="on",MintyTools!J155,0)+IF(Config!J$17="on",Eliminations!J68,0)</f>
        <v>50000</v>
      </c>
      <c r="K58" s="180">
        <f>CoreBusiness!K58+IF(Config!K$10="on",Corporate!K160,0)+IF(Config!K$14="on",RockCodeAcq!K202,0)+IF(Config!K$15="on",AcqPipeline!K295,0)+IF(Config!K$16="on",MintyTools!K155,0)+IF(Config!K$17="on",Eliminations!K68,0)</f>
        <v>50000</v>
      </c>
      <c r="L58" s="180">
        <f>CoreBusiness!L58+IF(Config!L$10="on",Corporate!L160,0)+IF(Config!L$14="on",RockCodeAcq!L202,0)+IF(Config!L$15="on",AcqPipeline!L295,0)+IF(Config!L$16="on",MintyTools!L155,0)+IF(Config!L$17="on",Eliminations!L68,0)</f>
        <v>50000</v>
      </c>
    </row>
    <row r="59" spans="2:12" x14ac:dyDescent="0.2">
      <c r="B59" s="49" t="s">
        <v>42</v>
      </c>
      <c r="C59" s="49"/>
      <c r="D59" s="49"/>
      <c r="E59" s="180">
        <f>CoreBusiness!E59+IF(Config!E$10="on",Corporate!E161,0)+IF(Config!E$14="on",RockCodeAcq!E203,0)+IF(Config!E$15="on",AcqPipeline!E296,0)+IF(Config!E$16="on",MintyTools!E156,0)+IF(Config!E$17="on",Eliminations!E69,0)</f>
        <v>200365.1</v>
      </c>
      <c r="F59" s="180">
        <f>CoreBusiness!F59+IF(Config!F$10="on",Corporate!F161,0)+IF(Config!F$14="on",RockCodeAcq!F203,0)+IF(Config!F$15="on",AcqPipeline!F296,0)+IF(Config!F$16="on",MintyTools!F156,0)+IF(Config!F$17="on",Eliminations!F69,0)</f>
        <v>204874.08671454759</v>
      </c>
      <c r="G59" s="180">
        <f>CoreBusiness!G59+IF(Config!G$10="on",Corporate!G161,0)+IF(Config!G$14="on",RockCodeAcq!G203,0)+IF(Config!G$15="on",AcqPipeline!G296,0)+IF(Config!G$16="on",MintyTools!G156,0)+IF(Config!G$17="on",Eliminations!G69,0)</f>
        <v>213642.86864423382</v>
      </c>
      <c r="H59" s="180">
        <f>CoreBusiness!H59+IF(Config!H$10="on",Corporate!H161,0)+IF(Config!H$14="on",RockCodeAcq!H203,0)+IF(Config!H$15="on",AcqPipeline!H296,0)+IF(Config!H$16="on",MintyTools!H156,0)+IF(Config!H$17="on",Eliminations!H69,0)</f>
        <v>245433.95614208977</v>
      </c>
      <c r="I59" s="180">
        <f>CoreBusiness!I59+IF(Config!I$10="on",Corporate!I161,0)+IF(Config!I$14="on",RockCodeAcq!I203,0)+IF(Config!I$15="on",AcqPipeline!I296,0)+IF(Config!I$16="on",MintyTools!I156,0)+IF(Config!I$17="on",Eliminations!I69,0)</f>
        <v>317860.34750976937</v>
      </c>
      <c r="J59" s="180">
        <f>CoreBusiness!J59+IF(Config!J$10="on",Corporate!J161,0)+IF(Config!J$14="on",RockCodeAcq!J203,0)+IF(Config!J$15="on",AcqPipeline!J296,0)+IF(Config!J$16="on",MintyTools!J156,0)+IF(Config!J$17="on",Eliminations!J69,0)</f>
        <v>438739.38519613171</v>
      </c>
      <c r="K59" s="180">
        <f>CoreBusiness!K59+IF(Config!K$10="on",Corporate!K161,0)+IF(Config!K$14="on",RockCodeAcq!K203,0)+IF(Config!K$15="on",AcqPipeline!K296,0)+IF(Config!K$16="on",MintyTools!K156,0)+IF(Config!K$17="on",Eliminations!K69,0)</f>
        <v>602606.11616526102</v>
      </c>
      <c r="L59" s="180">
        <f>CoreBusiness!L59+IF(Config!L$10="on",Corporate!L161,0)+IF(Config!L$14="on",RockCodeAcq!L203,0)+IF(Config!L$15="on",AcqPipeline!L296,0)+IF(Config!L$16="on",MintyTools!L156,0)+IF(Config!L$17="on",Eliminations!L69,0)</f>
        <v>792229.48264419101</v>
      </c>
    </row>
    <row r="60" spans="2:12" x14ac:dyDescent="0.2">
      <c r="B60" s="51" t="s">
        <v>40</v>
      </c>
      <c r="C60" s="51"/>
      <c r="D60" s="51"/>
      <c r="E60" s="25">
        <f>SUM(E58:E59)</f>
        <v>255365.1</v>
      </c>
      <c r="F60" s="25">
        <f t="shared" ref="F60:L60" si="11">SUM(F58:F59)</f>
        <v>259874.08671454759</v>
      </c>
      <c r="G60" s="25">
        <f t="shared" si="11"/>
        <v>268642.86864423379</v>
      </c>
      <c r="H60" s="25">
        <f t="shared" si="11"/>
        <v>295433.9561420898</v>
      </c>
      <c r="I60" s="25">
        <f t="shared" si="11"/>
        <v>367860.34750976937</v>
      </c>
      <c r="J60" s="25">
        <f t="shared" si="11"/>
        <v>488739.38519613171</v>
      </c>
      <c r="K60" s="25">
        <f t="shared" si="11"/>
        <v>652606.11616526102</v>
      </c>
      <c r="L60" s="25">
        <f t="shared" si="11"/>
        <v>842229.48264419101</v>
      </c>
    </row>
    <row r="61" spans="2:12" ht="10.8" thickBot="1" x14ac:dyDescent="0.25">
      <c r="B61" s="56" t="s">
        <v>43</v>
      </c>
      <c r="C61" s="56"/>
      <c r="D61" s="56"/>
      <c r="E61" s="185">
        <f>E56+E60</f>
        <v>518848.41532787378</v>
      </c>
      <c r="F61" s="185">
        <f t="shared" ref="F61:L61" si="12">F56+F60</f>
        <v>512992.26029196772</v>
      </c>
      <c r="G61" s="185">
        <f t="shared" si="12"/>
        <v>515632.07608696306</v>
      </c>
      <c r="H61" s="185">
        <f t="shared" si="12"/>
        <v>679079.27930334746</v>
      </c>
      <c r="I61" s="185">
        <f t="shared" si="12"/>
        <v>841173.09356461582</v>
      </c>
      <c r="J61" s="185">
        <f t="shared" si="12"/>
        <v>988245.21799622802</v>
      </c>
      <c r="K61" s="185">
        <f t="shared" si="12"/>
        <v>1311623.1753468707</v>
      </c>
      <c r="L61" s="185">
        <f t="shared" si="12"/>
        <v>1713191.7114321727</v>
      </c>
    </row>
    <row r="62" spans="2:12" ht="10.8" thickTop="1" x14ac:dyDescent="0.2">
      <c r="B62" s="49"/>
      <c r="C62" s="49"/>
      <c r="D62" s="49"/>
      <c r="E62" s="26"/>
      <c r="F62" s="26"/>
      <c r="G62" s="26"/>
      <c r="H62" s="26"/>
      <c r="I62" s="26"/>
      <c r="J62" s="26"/>
      <c r="K62" s="26"/>
      <c r="L62" s="26"/>
    </row>
    <row r="63" spans="2:12" x14ac:dyDescent="0.2">
      <c r="B63" s="59" t="s">
        <v>44</v>
      </c>
      <c r="C63" s="59"/>
      <c r="D63" s="59"/>
      <c r="E63" s="5">
        <f>E61-E49</f>
        <v>-0.58241906866896898</v>
      </c>
      <c r="F63" s="5">
        <f>F61-F49</f>
        <v>-0.58241906861076131</v>
      </c>
      <c r="G63" s="5">
        <f>G61-G49</f>
        <v>-0.58241906855255365</v>
      </c>
      <c r="H63" s="5">
        <f t="shared" ref="H63:L63" si="13">H61-H49</f>
        <v>-0.58241906855255365</v>
      </c>
      <c r="I63" s="5">
        <f t="shared" si="13"/>
        <v>-0.58241906866896898</v>
      </c>
      <c r="J63" s="5">
        <f t="shared" si="13"/>
        <v>-0.58241906855255365</v>
      </c>
      <c r="K63" s="5">
        <f t="shared" si="13"/>
        <v>-0.58241906855255365</v>
      </c>
      <c r="L63" s="5">
        <f t="shared" si="13"/>
        <v>-0.5824190687853843</v>
      </c>
    </row>
    <row r="64" spans="2:12" x14ac:dyDescent="0.2">
      <c r="B64" s="59"/>
      <c r="C64" s="59"/>
      <c r="D64" s="59"/>
      <c r="E64" s="5"/>
      <c r="F64" s="5"/>
      <c r="G64" s="5"/>
    </row>
    <row r="65" spans="2:12" x14ac:dyDescent="0.2">
      <c r="B65" s="59"/>
      <c r="C65" s="59"/>
      <c r="D65" s="59"/>
      <c r="E65" s="5"/>
      <c r="F65" s="5"/>
      <c r="G65" s="5"/>
    </row>
    <row r="66" spans="2:12" x14ac:dyDescent="0.2">
      <c r="B66" s="60" t="s">
        <v>45</v>
      </c>
      <c r="C66" s="60"/>
      <c r="D66" s="60"/>
      <c r="E66" s="36">
        <f>E$7</f>
        <v>2020</v>
      </c>
      <c r="F66" s="36">
        <f t="shared" ref="F66:L66" si="14">F$7</f>
        <v>2021</v>
      </c>
      <c r="G66" s="36">
        <f t="shared" si="14"/>
        <v>2022</v>
      </c>
      <c r="H66" s="36">
        <f t="shared" si="14"/>
        <v>2023</v>
      </c>
      <c r="I66" s="36">
        <f t="shared" si="14"/>
        <v>2024</v>
      </c>
      <c r="J66" s="36">
        <f t="shared" si="14"/>
        <v>2025</v>
      </c>
      <c r="K66" s="36">
        <f t="shared" si="14"/>
        <v>2026</v>
      </c>
      <c r="L66" s="36">
        <f t="shared" si="14"/>
        <v>2027</v>
      </c>
    </row>
    <row r="67" spans="2:12" x14ac:dyDescent="0.2">
      <c r="B67" s="58" t="s">
        <v>46</v>
      </c>
      <c r="C67" s="58"/>
      <c r="D67" s="58"/>
      <c r="E67" s="26"/>
      <c r="F67" s="26"/>
      <c r="G67" s="26"/>
    </row>
    <row r="68" spans="2:12" x14ac:dyDescent="0.2">
      <c r="B68" s="49" t="s">
        <v>26</v>
      </c>
      <c r="C68" s="49"/>
      <c r="D68" s="49"/>
      <c r="E68" s="180">
        <f>CoreBusiness!E68+IF(Config!E$10="on",Corporate!E170,0)+IF(Config!E$14="on",RockCodeAcq!E212,0)+IF(Config!E$15="on",AcqPipeline!E305,0)+IF(Config!E$16="on",MintyTools!E165,0)+IF(Config!E$17="on",Eliminations!E78,0)</f>
        <v>37803.858480000003</v>
      </c>
      <c r="F68" s="180">
        <f>CoreBusiness!F68+IF(Config!F$10="on",Corporate!F170,0)+IF(Config!F$14="on",RockCodeAcq!F212,0)+IF(Config!F$15="on",AcqPipeline!F305,0)+IF(Config!F$16="on",MintyTools!F165,0)+IF(Config!F$17="on",Eliminations!F78,0)</f>
        <v>4508.9867145476001</v>
      </c>
      <c r="G68" s="180">
        <f>CoreBusiness!G68+IF(Config!G$10="on",Corporate!G170,0)+IF(Config!G$14="on",RockCodeAcq!G212,0)+IF(Config!G$15="on",AcqPipeline!G305,0)+IF(Config!G$16="on",MintyTools!G165,0)+IF(Config!G$17="on",Eliminations!G78,0)</f>
        <v>8768.7819296862017</v>
      </c>
      <c r="H68" s="180">
        <f>CoreBusiness!H68+IF(Config!H$10="on",Corporate!H170,0)+IF(Config!H$14="on",RockCodeAcq!H212,0)+IF(Config!H$15="on",AcqPipeline!H305,0)+IF(Config!H$16="on",MintyTools!H165,0)+IF(Config!H$17="on",Eliminations!H78,0)</f>
        <v>31791.087497855962</v>
      </c>
      <c r="I68" s="180">
        <f>CoreBusiness!I68+IF(Config!I$10="on",Corporate!I170,0)+IF(Config!I$14="on",RockCodeAcq!I212,0)+IF(Config!I$15="on",AcqPipeline!I305,0)+IF(Config!I$16="on",MintyTools!I165,0)+IF(Config!I$17="on",Eliminations!I78,0)</f>
        <v>72426.391367679578</v>
      </c>
      <c r="J68" s="180">
        <f>CoreBusiness!J68+IF(Config!J$10="on",Corporate!J170,0)+IF(Config!J$14="on",RockCodeAcq!J212,0)+IF(Config!J$15="on",AcqPipeline!J305,0)+IF(Config!J$16="on",MintyTools!J165,0)+IF(Config!J$17="on",Eliminations!J78,0)</f>
        <v>120879.03768636241</v>
      </c>
      <c r="K68" s="180">
        <f>CoreBusiness!K68+IF(Config!K$10="on",Corporate!K170,0)+IF(Config!K$14="on",RockCodeAcq!K212,0)+IF(Config!K$15="on",AcqPipeline!K305,0)+IF(Config!K$16="on",MintyTools!K165,0)+IF(Config!K$17="on",Eliminations!K78,0)</f>
        <v>163866.73096912916</v>
      </c>
      <c r="L68" s="180">
        <f>CoreBusiness!L68+IF(Config!L$10="on",Corporate!L170,0)+IF(Config!L$14="on",RockCodeAcq!L212,0)+IF(Config!L$15="on",AcqPipeline!L305,0)+IF(Config!L$16="on",MintyTools!L165,0)+IF(Config!L$17="on",Eliminations!L78,0)</f>
        <v>189623.36647893026</v>
      </c>
    </row>
    <row r="69" spans="2:12" x14ac:dyDescent="0.2">
      <c r="B69" s="49" t="s">
        <v>47</v>
      </c>
      <c r="C69" s="49"/>
      <c r="D69" s="49"/>
      <c r="E69" s="180">
        <f>CoreBusiness!E69+IF(Config!E$10="on",Corporate!E171,0)+IF(Config!E$14="on",RockCodeAcq!E213,0)+IF(Config!E$15="on",AcqPipeline!E306,0)+IF(Config!E$16="on",MintyTools!E166,0)+IF(Config!E$17="on",Eliminations!E79,0)</f>
        <v>52425.803</v>
      </c>
      <c r="F69" s="180">
        <f>CoreBusiness!F69+IF(Config!F$10="on",Corporate!F171,0)+IF(Config!F$14="on",RockCodeAcq!F213,0)+IF(Config!F$15="on",AcqPipeline!F306,0)+IF(Config!F$16="on",MintyTools!F166,0)+IF(Config!F$17="on",Eliminations!F79,0)</f>
        <v>53041.154562000003</v>
      </c>
      <c r="G69" s="180">
        <f>CoreBusiness!G69+IF(Config!G$10="on",Corporate!G171,0)+IF(Config!G$14="on",RockCodeAcq!G213,0)+IF(Config!G$15="on",AcqPipeline!G306,0)+IF(Config!G$16="on",MintyTools!G166,0)+IF(Config!G$17="on",Eliminations!G79,0)</f>
        <v>58098.024892294001</v>
      </c>
      <c r="H69" s="180">
        <f>CoreBusiness!H69+IF(Config!H$10="on",Corporate!H171,0)+IF(Config!H$14="on",RockCodeAcq!H213,0)+IF(Config!H$15="on",AcqPipeline!H306,0)+IF(Config!H$16="on",MintyTools!H166,0)+IF(Config!H$17="on",Eliminations!H79,0)</f>
        <v>64853.118347412397</v>
      </c>
      <c r="I69" s="180">
        <f>CoreBusiness!I69+IF(Config!I$10="on",Corporate!I171,0)+IF(Config!I$14="on",RockCodeAcq!I213,0)+IF(Config!I$15="on",AcqPipeline!I306,0)+IF(Config!I$16="on",MintyTools!I166,0)+IF(Config!I$17="on",Eliminations!I79,0)</f>
        <v>80180.045558242244</v>
      </c>
      <c r="J69" s="180">
        <f>CoreBusiness!J69+IF(Config!J$10="on",Corporate!J171,0)+IF(Config!J$14="on",RockCodeAcq!J213,0)+IF(Config!J$15="on",AcqPipeline!J306,0)+IF(Config!J$16="on",MintyTools!J166,0)+IF(Config!J$17="on",Eliminations!J79,0)</f>
        <v>94590.112293372804</v>
      </c>
      <c r="K69" s="180">
        <f>CoreBusiness!K69+IF(Config!K$10="on",Corporate!K171,0)+IF(Config!K$14="on",RockCodeAcq!K213,0)+IF(Config!K$15="on",AcqPipeline!K306,0)+IF(Config!K$16="on",MintyTools!K166,0)+IF(Config!K$17="on",Eliminations!K79,0)</f>
        <v>107619.46558764226</v>
      </c>
      <c r="L69" s="180">
        <f>CoreBusiness!L69+IF(Config!L$10="on",Corporate!L171,0)+IF(Config!L$14="on",RockCodeAcq!L213,0)+IF(Config!L$15="on",AcqPipeline!L306,0)+IF(Config!L$16="on",MintyTools!L166,0)+IF(Config!L$17="on",Eliminations!L79,0)</f>
        <v>127984.15430327602</v>
      </c>
    </row>
    <row r="70" spans="2:12" x14ac:dyDescent="0.2">
      <c r="B70" s="49" t="s">
        <v>48</v>
      </c>
      <c r="C70" s="49"/>
      <c r="D70" s="49"/>
      <c r="E70" s="180">
        <f>CoreBusiness!E70+IF(Config!E$10="on",Corporate!E172,0)+IF(Config!E$14="on",RockCodeAcq!E214,0)+IF(Config!E$15="on",AcqPipeline!E307,0)+IF(Config!E$16="on",MintyTools!E167,0)+IF(Config!E$17="on",Eliminations!E80,0)</f>
        <v>12120</v>
      </c>
      <c r="F70" s="180">
        <f>CoreBusiness!F70+IF(Config!F$10="on",Corporate!F172,0)+IF(Config!F$14="on",RockCodeAcq!F214,0)+IF(Config!F$15="on",AcqPipeline!F307,0)+IF(Config!F$16="on",MintyTools!F167,0)+IF(Config!F$17="on",Eliminations!F80,0)</f>
        <v>11065.487119672431</v>
      </c>
      <c r="G70" s="180">
        <f>CoreBusiness!G70+IF(Config!G$10="on",Corporate!G172,0)+IF(Config!G$14="on",RockCodeAcq!G214,0)+IF(Config!G$15="on",AcqPipeline!G307,0)+IF(Config!G$16="on",MintyTools!G167,0)+IF(Config!G$17="on",Eliminations!G80,0)</f>
        <v>9947.7034665252104</v>
      </c>
      <c r="H70" s="180">
        <f>CoreBusiness!H70+IF(Config!H$10="on",Corporate!H172,0)+IF(Config!H$14="on",RockCodeAcq!H214,0)+IF(Config!H$15="on",AcqPipeline!H307,0)+IF(Config!H$16="on",MintyTools!H167,0)+IF(Config!H$17="on",Eliminations!H80,0)</f>
        <v>12812.852794189153</v>
      </c>
      <c r="I70" s="180">
        <f>CoreBusiness!I70+IF(Config!I$10="on",Corporate!I172,0)+IF(Config!I$14="on",RockCodeAcq!I214,0)+IF(Config!I$15="on",AcqPipeline!I307,0)+IF(Config!I$16="on",MintyTools!I167,0)+IF(Config!I$17="on",Eliminations!I80,0)</f>
        <v>14149.689565259823</v>
      </c>
      <c r="J70" s="180">
        <f>CoreBusiness!J70+IF(Config!J$10="on",Corporate!J172,0)+IF(Config!J$14="on",RockCodeAcq!J214,0)+IF(Config!J$15="on",AcqPipeline!J307,0)+IF(Config!J$16="on",MintyTools!J167,0)+IF(Config!J$17="on",Eliminations!J80,0)</f>
        <v>14954.736542594736</v>
      </c>
      <c r="K70" s="180">
        <f>CoreBusiness!K70+IF(Config!K$10="on",Corporate!K172,0)+IF(Config!K$14="on",RockCodeAcq!K214,0)+IF(Config!K$15="on",AcqPipeline!K307,0)+IF(Config!K$16="on",MintyTools!K167,0)+IF(Config!K$17="on",Eliminations!K80,0)</f>
        <v>16798.086338569745</v>
      </c>
      <c r="L70" s="180">
        <f>CoreBusiness!L70+IF(Config!L$10="on",Corporate!L172,0)+IF(Config!L$14="on",RockCodeAcq!L214,0)+IF(Config!L$15="on",AcqPipeline!L307,0)+IF(Config!L$16="on",MintyTools!L167,0)+IF(Config!L$17="on",Eliminations!L80,0)</f>
        <v>19449.537122303249</v>
      </c>
    </row>
    <row r="71" spans="2:12" x14ac:dyDescent="0.2">
      <c r="B71" s="49" t="s">
        <v>49</v>
      </c>
      <c r="C71" s="49"/>
      <c r="D71" s="49"/>
      <c r="E71" s="180">
        <f>CoreBusiness!E71+IF(Config!E$10="on",Corporate!E173,0)+IF(Config!E$14="on",RockCodeAcq!E215,0)+IF(Config!E$15="on",AcqPipeline!E308,0)+IF(Config!E$16="on",MintyTools!E168,0)+IF(Config!E$17="on",Eliminations!E81,0)</f>
        <v>-862.38000000000284</v>
      </c>
      <c r="F71" s="180">
        <f>CoreBusiness!F71+IF(Config!F$10="on",Corporate!F173,0)+IF(Config!F$14="on",RockCodeAcq!F215,0)+IF(Config!F$15="on",AcqPipeline!F308,0)+IF(Config!F$16="on",MintyTools!F168,0)+IF(Config!F$17="on",Eliminations!F81,0)</f>
        <v>3892.6016120000058</v>
      </c>
      <c r="G71" s="180">
        <f>CoreBusiness!G71+IF(Config!G$10="on",Corporate!G173,0)+IF(Config!G$14="on",RockCodeAcq!G215,0)+IF(Config!G$15="on",AcqPipeline!G308,0)+IF(Config!G$16="on",MintyTools!G168,0)+IF(Config!G$17="on",Eliminations!G81,0)</f>
        <v>-225.74047033400529</v>
      </c>
      <c r="H71" s="180">
        <f>CoreBusiness!H71+IF(Config!H$10="on",Corporate!H173,0)+IF(Config!H$14="on",RockCodeAcq!H215,0)+IF(Config!H$15="on",AcqPipeline!H308,0)+IF(Config!H$16="on",MintyTools!H168,0)+IF(Config!H$17="on",Eliminations!H81,0)</f>
        <v>5412.985748196289</v>
      </c>
      <c r="I71" s="180">
        <f>CoreBusiness!I71+IF(Config!I$10="on",Corporate!I173,0)+IF(Config!I$14="on",RockCodeAcq!I215,0)+IF(Config!I$15="on",AcqPipeline!I308,0)+IF(Config!I$16="on",MintyTools!I168,0)+IF(Config!I$17="on",Eliminations!I81,0)</f>
        <v>19095.817858942908</v>
      </c>
      <c r="J71" s="180">
        <f>CoreBusiness!J71+IF(Config!J$10="on",Corporate!J173,0)+IF(Config!J$14="on",RockCodeAcq!J215,0)+IF(Config!J$15="on",AcqPipeline!J308,0)+IF(Config!J$16="on",MintyTools!J168,0)+IF(Config!J$17="on",Eliminations!J81,0)</f>
        <v>4980.7990103870234</v>
      </c>
      <c r="K71" s="180">
        <f>CoreBusiness!K71+IF(Config!K$10="on",Corporate!K173,0)+IF(Config!K$14="on",RockCodeAcq!K215,0)+IF(Config!K$15="on",AcqPipeline!K308,0)+IF(Config!K$16="on",MintyTools!K168,0)+IF(Config!K$17="on",Eliminations!K81,0)</f>
        <v>12430.5921099188</v>
      </c>
      <c r="L71" s="180">
        <f>CoreBusiness!L71+IF(Config!L$10="on",Corporate!L173,0)+IF(Config!L$14="on",RockCodeAcq!L215,0)+IF(Config!L$15="on",AcqPipeline!L308,0)+IF(Config!L$16="on",MintyTools!L168,0)+IF(Config!L$17="on",Eliminations!L81,0)</f>
        <v>1826.4996782371381</v>
      </c>
    </row>
    <row r="72" spans="2:12" x14ac:dyDescent="0.2">
      <c r="B72" s="51" t="s">
        <v>50</v>
      </c>
      <c r="C72" s="51"/>
      <c r="D72" s="51"/>
      <c r="E72" s="25">
        <f>E68+E69+E70-E71</f>
        <v>103212.04148000001</v>
      </c>
      <c r="F72" s="25">
        <f t="shared" ref="F72:L72" si="15">F68+F69+F70-F71</f>
        <v>64723.026784220034</v>
      </c>
      <c r="G72" s="25">
        <f t="shared" si="15"/>
        <v>77040.250758839422</v>
      </c>
      <c r="H72" s="25">
        <f t="shared" si="15"/>
        <v>104044.07289126122</v>
      </c>
      <c r="I72" s="25">
        <f t="shared" si="15"/>
        <v>147660.30863223874</v>
      </c>
      <c r="J72" s="25">
        <f t="shared" si="15"/>
        <v>225443.08751194293</v>
      </c>
      <c r="K72" s="25">
        <f t="shared" si="15"/>
        <v>275853.69078542234</v>
      </c>
      <c r="L72" s="25">
        <f t="shared" si="15"/>
        <v>335230.55822627241</v>
      </c>
    </row>
    <row r="73" spans="2:12" x14ac:dyDescent="0.2">
      <c r="B73" s="52"/>
      <c r="C73" s="52"/>
      <c r="D73" s="52"/>
      <c r="E73" s="182"/>
      <c r="F73" s="182"/>
      <c r="G73" s="182"/>
      <c r="H73" s="132"/>
      <c r="I73" s="132"/>
      <c r="J73" s="132"/>
      <c r="K73" s="132"/>
      <c r="L73" s="132"/>
    </row>
    <row r="74" spans="2:12" x14ac:dyDescent="0.2">
      <c r="B74" s="58" t="s">
        <v>51</v>
      </c>
      <c r="C74" s="58"/>
      <c r="D74" s="58"/>
      <c r="E74" s="181"/>
      <c r="F74" s="181"/>
      <c r="G74" s="181"/>
      <c r="H74" s="132"/>
      <c r="I74" s="132"/>
      <c r="J74" s="132"/>
      <c r="K74" s="132"/>
      <c r="L74" s="132"/>
    </row>
    <row r="75" spans="2:12" x14ac:dyDescent="0.2">
      <c r="B75" s="49" t="s">
        <v>52</v>
      </c>
      <c r="C75" s="49"/>
      <c r="D75" s="49"/>
      <c r="E75" s="180">
        <f>CoreBusiness!E75+IF(Config!E$10="on",Corporate!E177,0)+IF(Config!E$14="on",RockCodeAcq!E219,0)+IF(Config!E$15="on",AcqPipeline!E312,0)+IF(Config!E$16="on",MintyTools!E172,0)+IF(Config!E$17="on",Eliminations!E85,0)</f>
        <v>-92595</v>
      </c>
      <c r="F75" s="180">
        <f>CoreBusiness!F75+IF(Config!F$10="on",Corporate!F177,0)+IF(Config!F$14="on",RockCodeAcq!F219,0)+IF(Config!F$15="on",AcqPipeline!F312,0)+IF(Config!F$16="on",MintyTools!F172,0)+IF(Config!F$17="on",Eliminations!F85,0)</f>
        <v>-74531.154562000011</v>
      </c>
      <c r="G75" s="180">
        <f>CoreBusiness!G75+IF(Config!G$10="on",Corporate!G177,0)+IF(Config!G$14="on",RockCodeAcq!G219,0)+IF(Config!G$15="on",AcqPipeline!G312,0)+IF(Config!G$16="on",MintyTools!G172,0)+IF(Config!G$17="on",Eliminations!G85,0)</f>
        <v>-72055.024892294008</v>
      </c>
      <c r="H75" s="180">
        <f>CoreBusiness!H75+IF(Config!H$10="on",Corporate!H177,0)+IF(Config!H$14="on",RockCodeAcq!H219,0)+IF(Config!H$15="on",AcqPipeline!H312,0)+IF(Config!H$16="on",MintyTools!H172,0)+IF(Config!H$17="on",Eliminations!H85,0)</f>
        <v>-102603.1183474124</v>
      </c>
      <c r="I75" s="180">
        <f>CoreBusiness!I75+IF(Config!I$10="on",Corporate!I177,0)+IF(Config!I$14="on",RockCodeAcq!I219,0)+IF(Config!I$15="on",AcqPipeline!I312,0)+IF(Config!I$16="on",MintyTools!I172,0)+IF(Config!I$17="on",Eliminations!I85,0)</f>
        <v>-109867.54555824224</v>
      </c>
      <c r="J75" s="180">
        <f>CoreBusiness!J75+IF(Config!J$10="on",Corporate!J177,0)+IF(Config!J$14="on",RockCodeAcq!J219,0)+IF(Config!J$15="on",AcqPipeline!J312,0)+IF(Config!J$16="on",MintyTools!J172,0)+IF(Config!J$17="on",Eliminations!J85,0)</f>
        <v>-121746.3622933728</v>
      </c>
      <c r="K75" s="180">
        <f>CoreBusiness!K75+IF(Config!K$10="on",Corporate!K177,0)+IF(Config!K$14="on",RockCodeAcq!K219,0)+IF(Config!K$15="on",AcqPipeline!K312,0)+IF(Config!K$16="on",MintyTools!K172,0)+IF(Config!K$17="on",Eliminations!K85,0)</f>
        <v>-148642.90308764228</v>
      </c>
      <c r="L75" s="180">
        <f>CoreBusiness!L75+IF(Config!L$10="on",Corporate!L177,0)+IF(Config!L$14="on",RockCodeAcq!L219,0)+IF(Config!L$15="on",AcqPipeline!L312,0)+IF(Config!L$16="on",MintyTools!L172,0)+IF(Config!L$17="on",Eliminations!L85,0)</f>
        <v>-177048.60742827604</v>
      </c>
    </row>
    <row r="76" spans="2:12" x14ac:dyDescent="0.2">
      <c r="B76" s="49" t="s">
        <v>78</v>
      </c>
      <c r="C76" s="49"/>
      <c r="D76" s="49"/>
      <c r="E76" s="180">
        <f>CoreBusiness!E76+IF(Config!E$10="on",Corporate!E178,0)+IF(Config!E$14="on",RockCodeAcq!E220,0)+IF(Config!E$15="on",AcqPipeline!E313,0)+IF(Config!E$16="on",MintyTools!E173,0)+IF(Config!E$17="on",Eliminations!E86,0)</f>
        <v>-125700</v>
      </c>
      <c r="F76" s="180">
        <f>CoreBusiness!F76+IF(Config!F$10="on",Corporate!F178,0)+IF(Config!F$14="on",RockCodeAcq!F220,0)+IF(Config!F$15="on",AcqPipeline!F313,0)+IF(Config!F$16="on",MintyTools!F173,0)+IF(Config!F$17="on",Eliminations!F86,0)</f>
        <v>0</v>
      </c>
      <c r="G76" s="180">
        <f>CoreBusiness!G76+IF(Config!G$10="on",Corporate!G178,0)+IF(Config!G$14="on",RockCodeAcq!G220,0)+IF(Config!G$15="on",AcqPipeline!G313,0)+IF(Config!G$16="on",MintyTools!G173,0)+IF(Config!G$17="on",Eliminations!G86,0)</f>
        <v>0</v>
      </c>
      <c r="H76" s="180">
        <f>CoreBusiness!H76+IF(Config!H$10="on",Corporate!H178,0)+IF(Config!H$14="on",RockCodeAcq!H220,0)+IF(Config!H$15="on",AcqPipeline!H313,0)+IF(Config!H$16="on",MintyTools!H173,0)+IF(Config!H$17="on",Eliminations!H86,0)</f>
        <v>-33750</v>
      </c>
      <c r="I76" s="180">
        <f>CoreBusiness!I76+IF(Config!I$10="on",Corporate!I178,0)+IF(Config!I$14="on",RockCodeAcq!I220,0)+IF(Config!I$15="on",AcqPipeline!I313,0)+IF(Config!I$16="on",MintyTools!I173,0)+IF(Config!I$17="on",Eliminations!I86,0)</f>
        <v>-37812.5</v>
      </c>
      <c r="J76" s="180">
        <f>CoreBusiness!J76+IF(Config!J$10="on",Corporate!J178,0)+IF(Config!J$14="on",RockCodeAcq!J220,0)+IF(Config!J$15="on",AcqPipeline!J313,0)+IF(Config!J$16="on",MintyTools!J173,0)+IF(Config!J$17="on",Eliminations!J86,0)</f>
        <v>-44375</v>
      </c>
      <c r="K76" s="180">
        <f>CoreBusiness!K76+IF(Config!K$10="on",Corporate!K178,0)+IF(Config!K$14="on",RockCodeAcq!K220,0)+IF(Config!K$15="on",AcqPipeline!K313,0)+IF(Config!K$16="on",MintyTools!K173,0)+IF(Config!K$17="on",Eliminations!K86,0)</f>
        <v>-64062.5</v>
      </c>
      <c r="L76" s="180">
        <f>CoreBusiness!L76+IF(Config!L$10="on",Corporate!L178,0)+IF(Config!L$14="on",RockCodeAcq!L220,0)+IF(Config!L$15="on",AcqPipeline!L313,0)+IF(Config!L$16="on",MintyTools!L173,0)+IF(Config!L$17="on",Eliminations!L86,0)</f>
        <v>-85312.5</v>
      </c>
    </row>
    <row r="77" spans="2:12" x14ac:dyDescent="0.2">
      <c r="B77" s="49" t="s">
        <v>79</v>
      </c>
      <c r="C77" s="49"/>
      <c r="D77" s="49"/>
      <c r="E77" s="180">
        <f>CoreBusiness!E77+IF(Config!E$10="on",Corporate!E179,0)+IF(Config!E$14="on",RockCodeAcq!E221,0)+IF(Config!E$15="on",AcqPipeline!E314,0)+IF(Config!E$16="on",MintyTools!E174,0)+IF(Config!E$17="on",Eliminations!E87,0)</f>
        <v>-15000</v>
      </c>
      <c r="F77" s="180">
        <f>CoreBusiness!F77+IF(Config!F$10="on",Corporate!F179,0)+IF(Config!F$14="on",RockCodeAcq!F221,0)+IF(Config!F$15="on",AcqPipeline!F314,0)+IF(Config!F$16="on",MintyTools!F174,0)+IF(Config!F$17="on",Eliminations!F87,0)</f>
        <v>0</v>
      </c>
      <c r="G77" s="180">
        <f>CoreBusiness!G77+IF(Config!G$10="on",Corporate!G179,0)+IF(Config!G$14="on",RockCodeAcq!G221,0)+IF(Config!G$15="on",AcqPipeline!G314,0)+IF(Config!G$16="on",MintyTools!G174,0)+IF(Config!G$17="on",Eliminations!G87,0)</f>
        <v>0</v>
      </c>
      <c r="H77" s="180">
        <f>CoreBusiness!H77+IF(Config!H$10="on",Corporate!H179,0)+IF(Config!H$14="on",RockCodeAcq!H221,0)+IF(Config!H$15="on",AcqPipeline!H314,0)+IF(Config!H$16="on",MintyTools!H174,0)+IF(Config!H$17="on",Eliminations!H87,0)</f>
        <v>0</v>
      </c>
      <c r="I77" s="180">
        <f>CoreBusiness!I77+IF(Config!I$10="on",Corporate!I179,0)+IF(Config!I$14="on",RockCodeAcq!I221,0)+IF(Config!I$15="on",AcqPipeline!I314,0)+IF(Config!I$16="on",MintyTools!I174,0)+IF(Config!I$17="on",Eliminations!I87,0)</f>
        <v>0</v>
      </c>
      <c r="J77" s="180">
        <f>CoreBusiness!J77+IF(Config!J$10="on",Corporate!J179,0)+IF(Config!J$14="on",RockCodeAcq!J221,0)+IF(Config!J$15="on",AcqPipeline!J314,0)+IF(Config!J$16="on",MintyTools!J174,0)+IF(Config!J$17="on",Eliminations!J87,0)</f>
        <v>0</v>
      </c>
      <c r="K77" s="180">
        <f>CoreBusiness!K77+IF(Config!K$10="on",Corporate!K179,0)+IF(Config!K$14="on",RockCodeAcq!K221,0)+IF(Config!K$15="on",AcqPipeline!K314,0)+IF(Config!K$16="on",MintyTools!K174,0)+IF(Config!K$17="on",Eliminations!K87,0)</f>
        <v>0</v>
      </c>
      <c r="L77" s="180">
        <f>CoreBusiness!L77+IF(Config!L$10="on",Corporate!L179,0)+IF(Config!L$14="on",RockCodeAcq!L221,0)+IF(Config!L$15="on",AcqPipeline!L314,0)+IF(Config!L$16="on",MintyTools!L174,0)+IF(Config!L$17="on",Eliminations!L87,0)</f>
        <v>0</v>
      </c>
    </row>
    <row r="78" spans="2:12" x14ac:dyDescent="0.2">
      <c r="B78" s="49" t="s">
        <v>88</v>
      </c>
      <c r="C78" s="49"/>
      <c r="D78" s="49"/>
      <c r="E78" s="180">
        <f>CoreBusiness!E78+IF(Config!E$10="on",Corporate!E180,0)+IF(Config!E$14="on",RockCodeAcq!E222,0)+IF(Config!E$15="on",AcqPipeline!E315,0)+IF(Config!E$16="on",MintyTools!E175,0)+IF(Config!E$17="on",Eliminations!E88,0)</f>
        <v>0</v>
      </c>
      <c r="F78" s="180">
        <f>CoreBusiness!F78+IF(Config!F$10="on",Corporate!F180,0)+IF(Config!F$14="on",RockCodeAcq!F222,0)+IF(Config!F$15="on",AcqPipeline!F315,0)+IF(Config!F$16="on",MintyTools!F175,0)+IF(Config!F$17="on",Eliminations!F88,0)</f>
        <v>0</v>
      </c>
      <c r="G78" s="180">
        <f>CoreBusiness!G78+IF(Config!G$10="on",Corporate!G180,0)+IF(Config!G$14="on",RockCodeAcq!G222,0)+IF(Config!G$15="on",AcqPipeline!G315,0)+IF(Config!G$16="on",MintyTools!G175,0)+IF(Config!G$17="on",Eliminations!G88,0)</f>
        <v>0</v>
      </c>
      <c r="H78" s="180">
        <f>CoreBusiness!H78+IF(Config!H$10="on",Corporate!H180,0)+IF(Config!H$14="on",RockCodeAcq!H222,0)+IF(Config!H$15="on",AcqPipeline!H315,0)+IF(Config!H$16="on",MintyTools!H175,0)+IF(Config!H$17="on",Eliminations!H88,0)</f>
        <v>0</v>
      </c>
      <c r="I78" s="180">
        <f>CoreBusiness!I78+IF(Config!I$10="on",Corporate!I180,0)+IF(Config!I$14="on",RockCodeAcq!I222,0)+IF(Config!I$15="on",AcqPipeline!I315,0)+IF(Config!I$16="on",MintyTools!I175,0)+IF(Config!I$17="on",Eliminations!I88,0)</f>
        <v>0</v>
      </c>
      <c r="J78" s="180">
        <f>CoreBusiness!J78+IF(Config!J$10="on",Corporate!J180,0)+IF(Config!J$14="on",RockCodeAcq!J222,0)+IF(Config!J$15="on",AcqPipeline!J315,0)+IF(Config!J$16="on",MintyTools!J175,0)+IF(Config!J$17="on",Eliminations!J88,0)</f>
        <v>0</v>
      </c>
      <c r="K78" s="180">
        <f>CoreBusiness!K78+IF(Config!K$10="on",Corporate!K180,0)+IF(Config!K$14="on",RockCodeAcq!K222,0)+IF(Config!K$15="on",AcqPipeline!K315,0)+IF(Config!K$16="on",MintyTools!K175,0)+IF(Config!K$17="on",Eliminations!K88,0)</f>
        <v>0</v>
      </c>
      <c r="L78" s="180">
        <f>CoreBusiness!L78+IF(Config!L$10="on",Corporate!L180,0)+IF(Config!L$14="on",RockCodeAcq!L222,0)+IF(Config!L$15="on",AcqPipeline!L315,0)+IF(Config!L$16="on",MintyTools!L175,0)+IF(Config!L$17="on",Eliminations!L88,0)</f>
        <v>0</v>
      </c>
    </row>
    <row r="79" spans="2:12" x14ac:dyDescent="0.2">
      <c r="B79" s="61" t="s">
        <v>54</v>
      </c>
      <c r="C79" s="61"/>
      <c r="D79" s="61"/>
      <c r="E79" s="25">
        <f>SUM(E75:E78)</f>
        <v>-233295</v>
      </c>
      <c r="F79" s="25">
        <f t="shared" ref="F79:L79" si="16">SUM(F75:F78)</f>
        <v>-74531.154562000011</v>
      </c>
      <c r="G79" s="25">
        <f t="shared" si="16"/>
        <v>-72055.024892294008</v>
      </c>
      <c r="H79" s="25">
        <f t="shared" si="16"/>
        <v>-136353.11834741238</v>
      </c>
      <c r="I79" s="25">
        <f t="shared" si="16"/>
        <v>-147680.04555824224</v>
      </c>
      <c r="J79" s="25">
        <f t="shared" si="16"/>
        <v>-166121.3622933728</v>
      </c>
      <c r="K79" s="25">
        <f t="shared" si="16"/>
        <v>-212705.40308764228</v>
      </c>
      <c r="L79" s="25">
        <f t="shared" si="16"/>
        <v>-262361.10742827604</v>
      </c>
    </row>
    <row r="80" spans="2:12" x14ac:dyDescent="0.2">
      <c r="B80" s="52"/>
      <c r="C80" s="52"/>
      <c r="D80" s="52"/>
      <c r="E80" s="182"/>
      <c r="F80" s="182"/>
      <c r="G80" s="182"/>
      <c r="H80" s="132"/>
      <c r="I80" s="132"/>
      <c r="J80" s="132"/>
      <c r="K80" s="132"/>
      <c r="L80" s="132"/>
    </row>
    <row r="81" spans="2:12" x14ac:dyDescent="0.2">
      <c r="B81" s="58" t="s">
        <v>55</v>
      </c>
      <c r="C81" s="58"/>
      <c r="D81" s="58"/>
      <c r="E81" s="181"/>
      <c r="F81" s="181"/>
      <c r="G81" s="181"/>
      <c r="H81" s="132"/>
      <c r="I81" s="132"/>
      <c r="J81" s="132"/>
      <c r="K81" s="132"/>
      <c r="L81" s="132"/>
    </row>
    <row r="82" spans="2:12" x14ac:dyDescent="0.2">
      <c r="B82" s="49" t="s">
        <v>56</v>
      </c>
      <c r="C82" s="49"/>
      <c r="D82" s="49"/>
      <c r="E82" s="180">
        <f>CoreBusiness!E82+IF(Config!E$10="on",Corporate!E184,0)+IF(Config!E$14="on",RockCodeAcq!E226,0)+IF(Config!E$15="on",AcqPipeline!E319,0)+IF(Config!E$16="on",MintyTools!E179,0)+IF(Config!E$17="on",Eliminations!E92,0)</f>
        <v>178499.80626694241</v>
      </c>
      <c r="F82" s="180">
        <f>CoreBusiness!F82+IF(Config!F$10="on",Corporate!F184,0)+IF(Config!F$14="on",RockCodeAcq!F226,0)+IF(Config!F$15="on",AcqPipeline!F319,0)+IF(Config!F$16="on",MintyTools!F179,0)+IF(Config!F$17="on",Eliminations!F92,0)</f>
        <v>-29695.214672126142</v>
      </c>
      <c r="G82" s="180">
        <f>CoreBusiness!G82+IF(Config!G$10="on",Corporate!G184,0)+IF(Config!G$14="on",RockCodeAcq!G226,0)+IF(Config!G$15="on",AcqPipeline!G319,0)+IF(Config!G$16="on",MintyTools!G179,0)+IF(Config!G$17="on",Eliminations!G92,0)</f>
        <v>-29695.214672126145</v>
      </c>
      <c r="H82" s="180">
        <f>CoreBusiness!H82+IF(Config!H$10="on",Corporate!H184,0)+IF(Config!H$14="on",RockCodeAcq!H226,0)+IF(Config!H$15="on",AcqPipeline!H319,0)+IF(Config!H$16="on",MintyTools!H179,0)+IF(Config!H$17="on",Eliminations!H92,0)</f>
        <v>24467.760056988693</v>
      </c>
      <c r="I82" s="180">
        <f>CoreBusiness!I82+IF(Config!I$10="on",Corporate!I184,0)+IF(Config!I$14="on",RockCodeAcq!I226,0)+IF(Config!I$15="on",AcqPipeline!I319,0)+IF(Config!I$16="on",MintyTools!I179,0)+IF(Config!I$17="on",Eliminations!I92,0)</f>
        <v>-732.23994301130369</v>
      </c>
      <c r="J82" s="180">
        <f>CoreBusiness!J82+IF(Config!J$10="on",Corporate!J184,0)+IF(Config!J$14="on",RockCodeAcq!J226,0)+IF(Config!J$15="on",AcqPipeline!J319,0)+IF(Config!J$16="on",MintyTools!J179,0)+IF(Config!J$17="on",Eliminations!J92,0)</f>
        <v>-10482.239943011307</v>
      </c>
      <c r="K82" s="180">
        <f>CoreBusiness!K82+IF(Config!K$10="on",Corporate!K184,0)+IF(Config!K$14="on",RockCodeAcq!K226,0)+IF(Config!K$15="on",AcqPipeline!K319,0)+IF(Config!K$16="on",MintyTools!K179,0)+IF(Config!K$17="on",Eliminations!K92,0)</f>
        <v>1142.7600569886927</v>
      </c>
      <c r="L82" s="180">
        <f>CoreBusiness!L82+IF(Config!L$10="on",Corporate!L184,0)+IF(Config!L$14="on",RockCodeAcq!L226,0)+IF(Config!L$15="on",AcqPipeline!L319,0)+IF(Config!L$16="on",MintyTools!L179,0)+IF(Config!L$17="on",Eliminations!L92,0)</f>
        <v>17432.780996057263</v>
      </c>
    </row>
    <row r="83" spans="2:12" x14ac:dyDescent="0.2">
      <c r="B83" s="49" t="s">
        <v>57</v>
      </c>
      <c r="C83" s="49"/>
      <c r="D83" s="49"/>
      <c r="E83" s="180">
        <f>CoreBusiness!E83+IF(Config!E$10="on",Corporate!E185,0)+IF(Config!E$14="on",RockCodeAcq!E227,0)+IF(Config!E$15="on",AcqPipeline!E320,0)+IF(Config!E$16="on",MintyTools!E180,0)+IF(Config!E$17="on",Eliminations!E93,0)</f>
        <v>0</v>
      </c>
      <c r="F83" s="180">
        <f>CoreBusiness!F83+IF(Config!F$10="on",Corporate!F185,0)+IF(Config!F$14="on",RockCodeAcq!F227,0)+IF(Config!F$15="on",AcqPipeline!F320,0)+IF(Config!F$16="on",MintyTools!F180,0)+IF(Config!F$17="on",Eliminations!F93,0)</f>
        <v>0</v>
      </c>
      <c r="G83" s="180">
        <f>CoreBusiness!G83+IF(Config!G$10="on",Corporate!G185,0)+IF(Config!G$14="on",RockCodeAcq!G227,0)+IF(Config!G$15="on",AcqPipeline!G320,0)+IF(Config!G$16="on",MintyTools!G180,0)+IF(Config!G$17="on",Eliminations!G93,0)</f>
        <v>0</v>
      </c>
      <c r="H83" s="180">
        <f>CoreBusiness!H83+IF(Config!H$10="on",Corporate!H185,0)+IF(Config!H$14="on",RockCodeAcq!H227,0)+IF(Config!H$15="on",AcqPipeline!H320,0)+IF(Config!H$16="on",MintyTools!H180,0)+IF(Config!H$17="on",Eliminations!H93,0)</f>
        <v>0</v>
      </c>
      <c r="I83" s="180">
        <f>CoreBusiness!I83+IF(Config!I$10="on",Corporate!I185,0)+IF(Config!I$14="on",RockCodeAcq!I227,0)+IF(Config!I$15="on",AcqPipeline!I320,0)+IF(Config!I$16="on",MintyTools!I180,0)+IF(Config!I$17="on",Eliminations!I93,0)</f>
        <v>0</v>
      </c>
      <c r="J83" s="180">
        <f>CoreBusiness!J83+IF(Config!J$10="on",Corporate!J185,0)+IF(Config!J$14="on",RockCodeAcq!J227,0)+IF(Config!J$15="on",AcqPipeline!J320,0)+IF(Config!J$16="on",MintyTools!J180,0)+IF(Config!J$17="on",Eliminations!J93,0)</f>
        <v>0</v>
      </c>
      <c r="K83" s="180">
        <f>CoreBusiness!K83+IF(Config!K$10="on",Corporate!K185,0)+IF(Config!K$14="on",RockCodeAcq!K227,0)+IF(Config!K$15="on",AcqPipeline!K320,0)+IF(Config!K$16="on",MintyTools!K180,0)+IF(Config!K$17="on",Eliminations!K93,0)</f>
        <v>0</v>
      </c>
      <c r="L83" s="180">
        <f>CoreBusiness!L83+IF(Config!L$10="on",Corporate!L185,0)+IF(Config!L$14="on",RockCodeAcq!L227,0)+IF(Config!L$15="on",AcqPipeline!L320,0)+IF(Config!L$16="on",MintyTools!L180,0)+IF(Config!L$17="on",Eliminations!L93,0)</f>
        <v>0</v>
      </c>
    </row>
    <row r="84" spans="2:12" x14ac:dyDescent="0.2">
      <c r="B84" s="61" t="s">
        <v>58</v>
      </c>
      <c r="C84" s="61"/>
      <c r="D84" s="61"/>
      <c r="E84" s="25">
        <f>SUM(E82:E83)</f>
        <v>178499.80626694241</v>
      </c>
      <c r="F84" s="25">
        <f t="shared" ref="F84:L84" si="17">SUM(F82:F83)</f>
        <v>-29695.214672126142</v>
      </c>
      <c r="G84" s="25">
        <f t="shared" si="17"/>
        <v>-29695.214672126145</v>
      </c>
      <c r="H84" s="25">
        <f t="shared" si="17"/>
        <v>24467.760056988693</v>
      </c>
      <c r="I84" s="25">
        <f t="shared" si="17"/>
        <v>-732.23994301130369</v>
      </c>
      <c r="J84" s="25">
        <f t="shared" si="17"/>
        <v>-10482.239943011307</v>
      </c>
      <c r="K84" s="25">
        <f t="shared" si="17"/>
        <v>1142.7600569886927</v>
      </c>
      <c r="L84" s="25">
        <f t="shared" si="17"/>
        <v>17432.780996057263</v>
      </c>
    </row>
    <row r="85" spans="2:12" x14ac:dyDescent="0.2">
      <c r="B85" s="52"/>
      <c r="C85" s="52"/>
      <c r="D85" s="52"/>
      <c r="E85" s="182"/>
      <c r="F85" s="182"/>
      <c r="G85" s="182"/>
      <c r="H85" s="182"/>
      <c r="I85" s="182"/>
      <c r="J85" s="182"/>
      <c r="K85" s="182"/>
      <c r="L85" s="182"/>
    </row>
    <row r="86" spans="2:12" x14ac:dyDescent="0.2">
      <c r="B86" s="51" t="s">
        <v>59</v>
      </c>
      <c r="C86" s="51"/>
      <c r="D86" s="51"/>
      <c r="E86" s="25">
        <f>E72+E79+E84</f>
        <v>48416.847746942425</v>
      </c>
      <c r="F86" s="25">
        <f t="shared" ref="F86:L86" si="18">F72+F79+F84</f>
        <v>-39503.342449906122</v>
      </c>
      <c r="G86" s="25">
        <f t="shared" si="18"/>
        <v>-24709.988805580731</v>
      </c>
      <c r="H86" s="25">
        <f t="shared" si="18"/>
        <v>-7841.2853991624652</v>
      </c>
      <c r="I86" s="25">
        <f t="shared" si="18"/>
        <v>-751.97686901480847</v>
      </c>
      <c r="J86" s="25">
        <f t="shared" si="18"/>
        <v>48839.485275558814</v>
      </c>
      <c r="K86" s="25">
        <f t="shared" si="18"/>
        <v>64291.047754768755</v>
      </c>
      <c r="L86" s="25">
        <f t="shared" si="18"/>
        <v>90302.23179405363</v>
      </c>
    </row>
    <row r="87" spans="2:12" x14ac:dyDescent="0.2">
      <c r="B87" s="49" t="s">
        <v>60</v>
      </c>
      <c r="C87" s="49"/>
      <c r="D87" s="49"/>
      <c r="E87" s="180">
        <f>CoreBusiness!E87+IF(Config!E$10="on",Corporate!E189,0)+IF(Config!E$14="on",RockCodeAcq!E231,0)+IF(Config!E$15="on",AcqPipeline!E324,0)+IF(Config!E$16="on",MintyTools!E184,0)+IF(Config!E$17="on",Eliminations!E97,0)</f>
        <v>50371</v>
      </c>
      <c r="F87" s="180">
        <f>CoreBusiness!F87+IF(Config!F$10="on",Corporate!F189,0)+IF(Config!F$14="on",RockCodeAcq!F231,0)+IF(Config!F$15="on",AcqPipeline!F324,0)+IF(Config!F$16="on",MintyTools!F184,0)+IF(Config!F$17="on",Eliminations!F97,0)</f>
        <v>98787.84774694244</v>
      </c>
      <c r="G87" s="180">
        <f>CoreBusiness!G87+IF(Config!G$10="on",Corporate!G189,0)+IF(Config!G$14="on",RockCodeAcq!G231,0)+IF(Config!G$15="on",AcqPipeline!G324,0)+IF(Config!G$16="on",MintyTools!G184,0)+IF(Config!G$17="on",Eliminations!G97,0)</f>
        <v>59284.505297036332</v>
      </c>
      <c r="H87" s="180">
        <f>CoreBusiness!H87+IF(Config!H$10="on",Corporate!H189,0)+IF(Config!H$14="on",RockCodeAcq!H231,0)+IF(Config!H$15="on",AcqPipeline!H324,0)+IF(Config!H$16="on",MintyTools!H184,0)+IF(Config!H$17="on",Eliminations!H97,0)</f>
        <v>34574.516491455608</v>
      </c>
      <c r="I87" s="180">
        <f>CoreBusiness!I87+IF(Config!I$10="on",Corporate!I189,0)+IF(Config!I$14="on",RockCodeAcq!I231,0)+IF(Config!I$15="on",AcqPipeline!I324,0)+IF(Config!I$16="on",MintyTools!I184,0)+IF(Config!I$17="on",Eliminations!I97,0)</f>
        <v>26733.231092293125</v>
      </c>
      <c r="J87" s="180">
        <f>CoreBusiness!J87+IF(Config!J$10="on",Corporate!J189,0)+IF(Config!J$14="on",RockCodeAcq!J231,0)+IF(Config!J$15="on",AcqPipeline!J324,0)+IF(Config!J$16="on",MintyTools!J184,0)+IF(Config!J$17="on",Eliminations!J97,0)</f>
        <v>25981.254223278334</v>
      </c>
      <c r="K87" s="180">
        <f>CoreBusiness!K87+IF(Config!K$10="on",Corporate!K189,0)+IF(Config!K$14="on",RockCodeAcq!K231,0)+IF(Config!K$15="on",AcqPipeline!K324,0)+IF(Config!K$16="on",MintyTools!K184,0)+IF(Config!K$17="on",Eliminations!K97,0)</f>
        <v>74820.739498837152</v>
      </c>
      <c r="L87" s="180">
        <f>CoreBusiness!L87+IF(Config!L$10="on",Corporate!L189,0)+IF(Config!L$14="on",RockCodeAcq!L231,0)+IF(Config!L$15="on",AcqPipeline!L324,0)+IF(Config!L$16="on",MintyTools!L184,0)+IF(Config!L$17="on",Eliminations!L97,0)</f>
        <v>139111.78725360596</v>
      </c>
    </row>
    <row r="88" spans="2:12" ht="10.8" thickBot="1" x14ac:dyDescent="0.25">
      <c r="B88" s="53" t="s">
        <v>61</v>
      </c>
      <c r="C88" s="53"/>
      <c r="D88" s="53"/>
      <c r="E88" s="183">
        <f>SUM(E86:E87)</f>
        <v>98787.847746942425</v>
      </c>
      <c r="F88" s="183">
        <f t="shared" ref="F88:L88" si="19">SUM(F86:F87)</f>
        <v>59284.505297036318</v>
      </c>
      <c r="G88" s="183">
        <f t="shared" si="19"/>
        <v>34574.516491455601</v>
      </c>
      <c r="H88" s="183">
        <f t="shared" si="19"/>
        <v>26733.231092293143</v>
      </c>
      <c r="I88" s="183">
        <f t="shared" si="19"/>
        <v>25981.254223278316</v>
      </c>
      <c r="J88" s="183">
        <f t="shared" si="19"/>
        <v>74820.739498837152</v>
      </c>
      <c r="K88" s="183">
        <f t="shared" si="19"/>
        <v>139111.7872536059</v>
      </c>
      <c r="L88" s="183">
        <f t="shared" si="19"/>
        <v>229414.01904765959</v>
      </c>
    </row>
    <row r="89" spans="2:12" x14ac:dyDescent="0.2">
      <c r="B89" s="58"/>
      <c r="C89" s="58"/>
      <c r="D89" s="58"/>
      <c r="E89" s="15"/>
      <c r="F89" s="26"/>
      <c r="G89" s="26"/>
      <c r="H89" s="26"/>
      <c r="I89" s="26"/>
      <c r="J89" s="26"/>
      <c r="K89" s="26"/>
      <c r="L89" s="26"/>
    </row>
    <row r="90" spans="2:12" x14ac:dyDescent="0.2">
      <c r="B90" s="131" t="s">
        <v>62</v>
      </c>
      <c r="C90" s="131"/>
      <c r="D90" s="131"/>
      <c r="E90" s="28">
        <f>E88-E42</f>
        <v>0</v>
      </c>
      <c r="F90" s="28">
        <f>F88-F42</f>
        <v>0</v>
      </c>
      <c r="G90" s="28">
        <f>G88-G42</f>
        <v>0</v>
      </c>
      <c r="H90" s="28">
        <f t="shared" ref="H90:L90" si="20">H88-H42</f>
        <v>0</v>
      </c>
      <c r="I90" s="28">
        <f t="shared" si="20"/>
        <v>0</v>
      </c>
      <c r="J90" s="28">
        <f t="shared" si="20"/>
        <v>0</v>
      </c>
      <c r="K90" s="28">
        <f t="shared" si="20"/>
        <v>0</v>
      </c>
      <c r="L90" s="28">
        <f t="shared" si="20"/>
        <v>0</v>
      </c>
    </row>
    <row r="91" spans="2:12" x14ac:dyDescent="0.2">
      <c r="B91" s="131" t="s">
        <v>63</v>
      </c>
      <c r="C91" s="131"/>
      <c r="D91" s="131"/>
      <c r="E91" s="28">
        <f>E68-E37</f>
        <v>0</v>
      </c>
      <c r="F91" s="28">
        <f>F68-F37</f>
        <v>1.2732925824820995E-11</v>
      </c>
      <c r="G91" s="28">
        <f>G68-G37</f>
        <v>0</v>
      </c>
      <c r="H91" s="28">
        <f t="shared" ref="H91:L91" si="21">H68-H37</f>
        <v>1.2005330063402653E-10</v>
      </c>
      <c r="I91" s="28">
        <f t="shared" si="21"/>
        <v>1.8917489796876907E-10</v>
      </c>
      <c r="J91" s="28">
        <f t="shared" si="21"/>
        <v>1.8917489796876907E-10</v>
      </c>
      <c r="K91" s="28">
        <f t="shared" si="21"/>
        <v>0</v>
      </c>
      <c r="L91" s="28">
        <f t="shared" si="21"/>
        <v>0</v>
      </c>
    </row>
    <row r="92" spans="2:12" x14ac:dyDescent="0.2">
      <c r="B92" s="131" t="s">
        <v>64</v>
      </c>
      <c r="C92" s="131"/>
      <c r="D92" s="131"/>
      <c r="E92" s="28">
        <f t="shared" ref="E92:L93" si="22">E69-E30</f>
        <v>0</v>
      </c>
      <c r="F92" s="28">
        <f t="shared" si="22"/>
        <v>0</v>
      </c>
      <c r="G92" s="28">
        <f t="shared" si="22"/>
        <v>0</v>
      </c>
      <c r="H92" s="28">
        <f t="shared" si="22"/>
        <v>0</v>
      </c>
      <c r="I92" s="28">
        <f t="shared" si="22"/>
        <v>0</v>
      </c>
      <c r="J92" s="28">
        <f t="shared" si="22"/>
        <v>0</v>
      </c>
      <c r="K92" s="28">
        <f t="shared" si="22"/>
        <v>0</v>
      </c>
      <c r="L92" s="28">
        <f t="shared" si="22"/>
        <v>0</v>
      </c>
    </row>
    <row r="93" spans="2:12" x14ac:dyDescent="0.2">
      <c r="B93" s="131" t="s">
        <v>65</v>
      </c>
      <c r="C93" s="131"/>
      <c r="D93" s="131"/>
      <c r="E93" s="28">
        <f t="shared" si="22"/>
        <v>0</v>
      </c>
      <c r="F93" s="28">
        <f t="shared" si="22"/>
        <v>0</v>
      </c>
      <c r="G93" s="28">
        <f t="shared" si="22"/>
        <v>0</v>
      </c>
      <c r="H93" s="28">
        <f t="shared" si="22"/>
        <v>0</v>
      </c>
      <c r="I93" s="28">
        <f t="shared" si="22"/>
        <v>0</v>
      </c>
      <c r="J93" s="28">
        <f t="shared" si="22"/>
        <v>0</v>
      </c>
      <c r="K93" s="28">
        <f t="shared" si="22"/>
        <v>0</v>
      </c>
      <c r="L93" s="28">
        <f t="shared" si="22"/>
        <v>0</v>
      </c>
    </row>
  </sheetData>
  <hyperlinks>
    <hyperlink ref="B1" location="'TOC'!A1" display="Table of Contents" xr:uid="{A2E41FE9-DC1E-4D32-9BBA-255257378F2A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02B3-A030-4761-A842-E8FF561C1CB5}">
  <sheetPr>
    <tabColor rgb="FF92D050"/>
  </sheetPr>
  <dimension ref="B1:N93"/>
  <sheetViews>
    <sheetView showGridLines="0" zoomScaleNormal="100" workbookViewId="0">
      <pane ySplit="7" topLeftCell="A8" activePane="bottomLeft" state="frozen"/>
      <selection pane="bottomLef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6384" width="9.109375" style="39"/>
  </cols>
  <sheetData>
    <row r="1" spans="2:14" x14ac:dyDescent="0.2">
      <c r="B1" s="256" t="s">
        <v>343</v>
      </c>
    </row>
    <row r="2" spans="2:14" ht="15.6" x14ac:dyDescent="0.3">
      <c r="B2" s="37" t="s">
        <v>185</v>
      </c>
      <c r="C2" s="37"/>
      <c r="D2" s="37"/>
    </row>
    <row r="3" spans="2:14" x14ac:dyDescent="0.2">
      <c r="B3" s="38" t="s">
        <v>186</v>
      </c>
      <c r="C3" s="38"/>
      <c r="D3" s="38"/>
    </row>
    <row r="5" spans="2:14" x14ac:dyDescent="0.2">
      <c r="B5" s="40" t="s">
        <v>80</v>
      </c>
      <c r="C5" s="40"/>
      <c r="D5" s="40"/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48" t="s">
        <v>3</v>
      </c>
      <c r="C9" s="48"/>
      <c r="D9" s="48"/>
      <c r="E9" s="36">
        <f>E$7</f>
        <v>2020</v>
      </c>
      <c r="F9" s="36">
        <f t="shared" ref="F9:L9" si="1">F$7</f>
        <v>2021</v>
      </c>
      <c r="G9" s="36">
        <f t="shared" si="1"/>
        <v>2022</v>
      </c>
      <c r="H9" s="36">
        <f t="shared" si="1"/>
        <v>2023</v>
      </c>
      <c r="I9" s="36">
        <f t="shared" si="1"/>
        <v>2024</v>
      </c>
      <c r="J9" s="36">
        <f t="shared" si="1"/>
        <v>2025</v>
      </c>
      <c r="K9" s="36">
        <f t="shared" si="1"/>
        <v>2026</v>
      </c>
      <c r="L9" s="36">
        <f t="shared" si="1"/>
        <v>2027</v>
      </c>
    </row>
    <row r="10" spans="2:14" x14ac:dyDescent="0.2">
      <c r="B10" s="47"/>
      <c r="C10" s="47"/>
      <c r="D10" s="47"/>
      <c r="E10" s="1"/>
      <c r="F10" s="1"/>
      <c r="G10" s="1"/>
    </row>
    <row r="11" spans="2:14" x14ac:dyDescent="0.2">
      <c r="B11" s="49" t="s">
        <v>4</v>
      </c>
      <c r="C11" s="49"/>
      <c r="D11" s="49"/>
      <c r="E11" s="180">
        <f>IF(Config!E$11="on",Dev!E114,0)+IF(Config!E$12="on",Pipeline!E114,0)+IF(Config!E$13="on",Solids!E114,0)</f>
        <v>480425.96059999999</v>
      </c>
      <c r="F11" s="180">
        <f>IF(Config!F$11="on",Dev!F114,0)+IF(Config!F$12="on",Pipeline!F114,0)+IF(Config!F$13="on",Solids!F114,0)</f>
        <v>538423.73080000002</v>
      </c>
      <c r="G11" s="180">
        <f>IF(Config!G$11="on",Dev!G114,0)+IF(Config!G$12="on",Pipeline!G114,0)+IF(Config!G$13="on",Solids!G114,0)</f>
        <v>593488.803266</v>
      </c>
      <c r="H11" s="180">
        <f>IF(Config!H$11="on",Dev!H114,0)+IF(Config!H$12="on",Pipeline!H114,0)+IF(Config!H$13="on",Solids!H114,0)</f>
        <v>623163.24342930003</v>
      </c>
      <c r="I11" s="180">
        <f>IF(Config!I$11="on",Dev!I114,0)+IF(Config!I$12="on",Pipeline!I114,0)+IF(Config!I$13="on",Solids!I114,0)</f>
        <v>654321.40560076502</v>
      </c>
      <c r="J11" s="180">
        <f>IF(Config!J$11="on",Dev!J114,0)+IF(Config!J$12="on",Pipeline!J114,0)+IF(Config!J$13="on",Solids!J114,0)</f>
        <v>687037.47588080331</v>
      </c>
      <c r="K11" s="180">
        <f>IF(Config!K$11="on",Dev!K114,0)+IF(Config!K$12="on",Pipeline!K114,0)+IF(Config!K$13="on",Solids!K114,0)</f>
        <v>721389.3496748436</v>
      </c>
      <c r="L11" s="180">
        <f>IF(Config!L$11="on",Dev!L114,0)+IF(Config!L$12="on",Pipeline!L114,0)+IF(Config!L$13="on",Solids!L114,0)</f>
        <v>757458.81715858565</v>
      </c>
    </row>
    <row r="12" spans="2:14" x14ac:dyDescent="0.2">
      <c r="B12" s="50" t="s">
        <v>5</v>
      </c>
      <c r="C12" s="50"/>
      <c r="D12" s="50"/>
      <c r="E12" s="180">
        <f>IF(Config!E$11="on",Dev!E115,0)+IF(Config!E$12="on",Pipeline!E115,0)+IF(Config!E$13="on",Solids!E115,0)</f>
        <v>210855.41940000001</v>
      </c>
      <c r="F12" s="180">
        <f>IF(Config!F$11="on",Dev!F115,0)+IF(Config!F$12="on",Pipeline!F115,0)+IF(Config!F$13="on",Solids!F115,0)</f>
        <v>244203.75331</v>
      </c>
      <c r="G12" s="180">
        <f>IF(Config!G$11="on",Dev!G115,0)+IF(Config!G$12="on",Pipeline!G115,0)+IF(Config!G$13="on",Solids!G115,0)</f>
        <v>262963.54994429601</v>
      </c>
      <c r="H12" s="180">
        <f>IF(Config!H$11="on",Dev!H115,0)+IF(Config!H$12="on",Pipeline!H115,0)+IF(Config!H$13="on",Solids!H115,0)</f>
        <v>276582.51945025916</v>
      </c>
      <c r="I12" s="180">
        <f>IF(Config!I$11="on",Dev!I115,0)+IF(Config!I$12="on",Pipeline!I115,0)+IF(Config!I$13="on",Solids!I115,0)</f>
        <v>292227.72350748751</v>
      </c>
      <c r="J12" s="180">
        <f>IF(Config!J$11="on",Dev!J115,0)+IF(Config!J$12="on",Pipeline!J115,0)+IF(Config!J$13="on",Solids!J115,0)</f>
        <v>305394.83896034613</v>
      </c>
      <c r="K12" s="180">
        <f>IF(Config!K$11="on",Dev!K115,0)+IF(Config!K$12="on",Pipeline!K115,0)+IF(Config!K$13="on",Solids!K115,0)</f>
        <v>321008.16171799158</v>
      </c>
      <c r="L12" s="180">
        <f>IF(Config!L$11="on",Dev!L115,0)+IF(Config!L$12="on",Pipeline!L115,0)+IF(Config!L$13="on",Solids!L115,0)</f>
        <v>337348.83272767608</v>
      </c>
    </row>
    <row r="13" spans="2:14" x14ac:dyDescent="0.2">
      <c r="B13" s="51" t="s">
        <v>6</v>
      </c>
      <c r="C13" s="51"/>
      <c r="D13" s="51"/>
      <c r="E13" s="25">
        <f>E11-E12</f>
        <v>269570.54119999998</v>
      </c>
      <c r="F13" s="25">
        <f t="shared" ref="F13:L13" si="2">F11-F12</f>
        <v>294219.97749000002</v>
      </c>
      <c r="G13" s="25">
        <f t="shared" si="2"/>
        <v>330525.25332170399</v>
      </c>
      <c r="H13" s="25">
        <f t="shared" si="2"/>
        <v>346580.72397904086</v>
      </c>
      <c r="I13" s="25">
        <f t="shared" si="2"/>
        <v>362093.68209327752</v>
      </c>
      <c r="J13" s="25">
        <f t="shared" si="2"/>
        <v>381642.63692045718</v>
      </c>
      <c r="K13" s="25">
        <f t="shared" si="2"/>
        <v>400381.18795685202</v>
      </c>
      <c r="L13" s="25">
        <f t="shared" si="2"/>
        <v>420109.98443090956</v>
      </c>
    </row>
    <row r="14" spans="2:14" x14ac:dyDescent="0.2">
      <c r="B14" s="52"/>
      <c r="C14" s="52"/>
      <c r="D14" s="52"/>
      <c r="E14" s="182"/>
      <c r="F14" s="182"/>
      <c r="G14" s="182"/>
      <c r="H14" s="132"/>
      <c r="I14" s="132"/>
      <c r="J14" s="132"/>
      <c r="K14" s="132"/>
      <c r="L14" s="132"/>
    </row>
    <row r="15" spans="2:14" x14ac:dyDescent="0.2">
      <c r="B15" s="52" t="s">
        <v>7</v>
      </c>
      <c r="C15" s="52"/>
      <c r="D15" s="52"/>
      <c r="E15" s="182"/>
      <c r="F15" s="182"/>
      <c r="G15" s="182"/>
      <c r="H15" s="132"/>
      <c r="I15" s="132"/>
      <c r="J15" s="132"/>
      <c r="K15" s="132"/>
      <c r="L15" s="132"/>
    </row>
    <row r="16" spans="2:14" x14ac:dyDescent="0.2">
      <c r="B16" s="49" t="s">
        <v>8</v>
      </c>
      <c r="C16" s="49"/>
      <c r="D16" s="49"/>
      <c r="E16" s="180">
        <f>IF(Config!E$11="on",Dev!E119,0)+IF(Config!E$12="on",Pipeline!E119,0)+IF(Config!E$13="on",Solids!E119,0)</f>
        <v>87152.997000000003</v>
      </c>
      <c r="F16" s="180">
        <f>IF(Config!F$11="on",Dev!F119,0)+IF(Config!F$12="on",Pipeline!F119,0)+IF(Config!F$13="on",Solids!F119,0)</f>
        <v>90777.95287600001</v>
      </c>
      <c r="G16" s="180">
        <f>IF(Config!G$11="on",Dev!G119,0)+IF(Config!G$12="on",Pipeline!G119,0)+IF(Config!G$13="on",Solids!G119,0)</f>
        <v>98471.076867112002</v>
      </c>
      <c r="H16" s="180">
        <f>IF(Config!H$11="on",Dev!H119,0)+IF(Config!H$12="on",Pipeline!H119,0)+IF(Config!H$13="on",Solids!H119,0)</f>
        <v>107595.26909006223</v>
      </c>
      <c r="I16" s="180">
        <f>IF(Config!I$11="on",Dev!I119,0)+IF(Config!I$12="on",Pipeline!I119,0)+IF(Config!I$13="on",Solids!I119,0)</f>
        <v>110684.02495114923</v>
      </c>
      <c r="J16" s="180">
        <f>IF(Config!J$11="on",Dev!J119,0)+IF(Config!J$12="on",Pipeline!J119,0)+IF(Config!J$13="on",Solids!J119,0)</f>
        <v>116278.19690959694</v>
      </c>
      <c r="K16" s="180">
        <f>IF(Config!K$11="on",Dev!K119,0)+IF(Config!K$12="on",Pipeline!K119,0)+IF(Config!K$13="on",Solids!K119,0)</f>
        <v>122892.07254803402</v>
      </c>
      <c r="L16" s="180">
        <f>IF(Config!L$11="on",Dev!L119,0)+IF(Config!L$12="on",Pipeline!L119,0)+IF(Config!L$13="on",Solids!L119,0)</f>
        <v>128454.66088411352</v>
      </c>
    </row>
    <row r="17" spans="2:14" x14ac:dyDescent="0.2">
      <c r="B17" s="49" t="s">
        <v>9</v>
      </c>
      <c r="C17" s="49"/>
      <c r="D17" s="49"/>
      <c r="E17" s="180">
        <f>IF(Config!E$11="on",Dev!E120,0)+IF(Config!E$12="on",Pipeline!E120,0)+IF(Config!E$13="on",Solids!E120,0)</f>
        <v>18618.49287043959</v>
      </c>
      <c r="F17" s="180">
        <f>IF(Config!F$11="on",Dev!F120,0)+IF(Config!F$12="on",Pipeline!F120,0)+IF(Config!F$13="on",Solids!F120,0)</f>
        <v>20309.990874301388</v>
      </c>
      <c r="G17" s="180">
        <f>IF(Config!G$11="on",Dev!G120,0)+IF(Config!G$12="on",Pipeline!G120,0)+IF(Config!G$13="on",Solids!G120,0)</f>
        <v>23790.529928225209</v>
      </c>
      <c r="H17" s="180">
        <f>IF(Config!H$11="on",Dev!H120,0)+IF(Config!H$12="on",Pipeline!H120,0)+IF(Config!H$13="on",Solids!H120,0)</f>
        <v>24201.020337299538</v>
      </c>
      <c r="I17" s="180">
        <f>IF(Config!I$11="on",Dev!I120,0)+IF(Config!I$12="on",Pipeline!I120,0)+IF(Config!I$13="on",Solids!I120,0)</f>
        <v>25436.812254167085</v>
      </c>
      <c r="J17" s="180">
        <f>IF(Config!J$11="on",Dev!J120,0)+IF(Config!J$12="on",Pipeline!J120,0)+IF(Config!J$13="on",Solids!J120,0)</f>
        <v>26976.929998969968</v>
      </c>
      <c r="K17" s="180">
        <f>IF(Config!K$11="on",Dev!K120,0)+IF(Config!K$12="on",Pipeline!K120,0)+IF(Config!K$13="on",Solids!K120,0)</f>
        <v>28128.52272570135</v>
      </c>
      <c r="L17" s="180">
        <f>IF(Config!L$11="on",Dev!L120,0)+IF(Config!L$12="on",Pipeline!L120,0)+IF(Config!L$13="on",Solids!L120,0)</f>
        <v>29574.434657193658</v>
      </c>
    </row>
    <row r="18" spans="2:14" x14ac:dyDescent="0.2">
      <c r="B18" s="49" t="s">
        <v>10</v>
      </c>
      <c r="C18" s="49"/>
      <c r="D18" s="49"/>
      <c r="E18" s="180">
        <f>IF(Config!E$11="on",Dev!E121,0)+IF(Config!E$12="on",Pipeline!E121,0)+IF(Config!E$13="on",Solids!E121,0)</f>
        <v>33665.274809569302</v>
      </c>
      <c r="F18" s="180">
        <f>IF(Config!F$11="on",Dev!F121,0)+IF(Config!F$12="on",Pipeline!F121,0)+IF(Config!F$13="on",Solids!F121,0)</f>
        <v>35606.335516205378</v>
      </c>
      <c r="G18" s="180">
        <f>IF(Config!G$11="on",Dev!G121,0)+IF(Config!G$12="on",Pipeline!G121,0)+IF(Config!G$13="on",Solids!G121,0)</f>
        <v>42439.642320094608</v>
      </c>
      <c r="H18" s="180">
        <f>IF(Config!H$11="on",Dev!H121,0)+IF(Config!H$12="on",Pipeline!H121,0)+IF(Config!H$13="on",Solids!H121,0)</f>
        <v>43374.03589261922</v>
      </c>
      <c r="I18" s="180">
        <f>IF(Config!I$11="on",Dev!I121,0)+IF(Config!I$12="on",Pipeline!I121,0)+IF(Config!I$13="on",Solids!I121,0)</f>
        <v>45245.853031434781</v>
      </c>
      <c r="J18" s="180">
        <f>IF(Config!J$11="on",Dev!J121,0)+IF(Config!J$12="on",Pipeline!J121,0)+IF(Config!J$13="on",Solids!J121,0)</f>
        <v>48152.403731806247</v>
      </c>
      <c r="K18" s="180">
        <f>IF(Config!K$11="on",Dev!K121,0)+IF(Config!K$12="on",Pipeline!K121,0)+IF(Config!K$13="on",Solids!K121,0)</f>
        <v>50218.148395248914</v>
      </c>
      <c r="L18" s="180">
        <f>IF(Config!L$11="on",Dev!L121,0)+IF(Config!L$12="on",Pipeline!L121,0)+IF(Config!L$13="on",Solids!L121,0)</f>
        <v>52731.603848280814</v>
      </c>
    </row>
    <row r="19" spans="2:14" x14ac:dyDescent="0.2">
      <c r="B19" s="49" t="s">
        <v>11</v>
      </c>
      <c r="C19" s="49"/>
      <c r="D19" s="49"/>
      <c r="E19" s="180">
        <f>IF(Config!E$11="on",Dev!E122,0)+IF(Config!E$12="on",Pipeline!E122,0)+IF(Config!E$13="on",Solids!E122,0)</f>
        <v>10023.005160059758</v>
      </c>
      <c r="F19" s="180">
        <f>IF(Config!F$11="on",Dev!F122,0)+IF(Config!F$12="on",Pipeline!F122,0)+IF(Config!F$13="on",Solids!F122,0)</f>
        <v>11412.339163906476</v>
      </c>
      <c r="G19" s="180">
        <f>IF(Config!G$11="on",Dev!G122,0)+IF(Config!G$12="on",Pipeline!G122,0)+IF(Config!G$13="on",Solids!G122,0)</f>
        <v>12876.052316258143</v>
      </c>
      <c r="H19" s="180">
        <f>IF(Config!H$11="on",Dev!H122,0)+IF(Config!H$12="on",Pipeline!H122,0)+IF(Config!H$13="on",Solids!H122,0)</f>
        <v>13233.87906012114</v>
      </c>
      <c r="I19" s="180">
        <f>IF(Config!I$11="on",Dev!I122,0)+IF(Config!I$12="on",Pipeline!I122,0)+IF(Config!I$13="on",Solids!I122,0)</f>
        <v>13981.943457036683</v>
      </c>
      <c r="J19" s="180">
        <f>IF(Config!J$11="on",Dev!J122,0)+IF(Config!J$12="on",Pipeline!J122,0)+IF(Config!J$13="on",Solids!J122,0)</f>
        <v>14725.67745209347</v>
      </c>
      <c r="K19" s="180">
        <f>IF(Config!K$11="on",Dev!K122,0)+IF(Config!K$12="on",Pipeline!K122,0)+IF(Config!K$13="on",Solids!K122,0)</f>
        <v>15398.97441101794</v>
      </c>
      <c r="L19" s="180">
        <f>IF(Config!L$11="on",Dev!L122,0)+IF(Config!L$12="on",Pipeline!L122,0)+IF(Config!L$13="on",Solids!L122,0)</f>
        <v>16196.60993898466</v>
      </c>
    </row>
    <row r="20" spans="2:14" x14ac:dyDescent="0.2">
      <c r="B20" s="49" t="s">
        <v>12</v>
      </c>
      <c r="C20" s="49"/>
      <c r="D20" s="49"/>
      <c r="E20" s="180">
        <f>IF(Config!E$11="on",Dev!E123,0)+IF(Config!E$12="on",Pipeline!E123,0)+IF(Config!E$13="on",Solids!E123,0)</f>
        <v>14360.364804891029</v>
      </c>
      <c r="F20" s="180">
        <f>IF(Config!F$11="on",Dev!F123,0)+IF(Config!F$12="on",Pipeline!F123,0)+IF(Config!F$13="on",Solids!F123,0)</f>
        <v>15696.56896355655</v>
      </c>
      <c r="G20" s="180">
        <f>IF(Config!G$11="on",Dev!G123,0)+IF(Config!G$12="on",Pipeline!G123,0)+IF(Config!G$13="on",Solids!G123,0)</f>
        <v>18240.879820534094</v>
      </c>
      <c r="H20" s="180">
        <f>IF(Config!H$11="on",Dev!H123,0)+IF(Config!H$12="on",Pipeline!H123,0)+IF(Config!H$13="on",Solids!H123,0)</f>
        <v>18637.978776854023</v>
      </c>
      <c r="I20" s="180">
        <f>IF(Config!I$11="on",Dev!I123,0)+IF(Config!I$12="on",Pipeline!I123,0)+IF(Config!I$13="on",Solids!I123,0)</f>
        <v>19582.017275394268</v>
      </c>
      <c r="J20" s="180">
        <f>IF(Config!J$11="on",Dev!J123,0)+IF(Config!J$12="on",Pipeline!J123,0)+IF(Config!J$13="on",Solids!J123,0)</f>
        <v>20741.862747630443</v>
      </c>
      <c r="K20" s="180">
        <f>IF(Config!K$11="on",Dev!K123,0)+IF(Config!K$12="on",Pipeline!K123,0)+IF(Config!K$13="on",Solids!K123,0)</f>
        <v>21647.973370896598</v>
      </c>
      <c r="L20" s="180">
        <f>IF(Config!L$11="on",Dev!L123,0)+IF(Config!L$12="on",Pipeline!L123,0)+IF(Config!L$13="on",Solids!L123,0)</f>
        <v>22755.636155710763</v>
      </c>
    </row>
    <row r="21" spans="2:14" x14ac:dyDescent="0.2">
      <c r="B21" s="49" t="s">
        <v>13</v>
      </c>
      <c r="C21" s="49"/>
      <c r="D21" s="49"/>
      <c r="E21" s="180">
        <f>IF(Config!E$11="on",Dev!E124,0)+IF(Config!E$12="on",Pipeline!E124,0)+IF(Config!E$13="on",Solids!E124,0)</f>
        <v>1976.0838415094374</v>
      </c>
      <c r="F21" s="180">
        <f>IF(Config!F$11="on",Dev!F124,0)+IF(Config!F$12="on",Pipeline!F124,0)+IF(Config!F$13="on",Solids!F124,0)</f>
        <v>2555.2759554930153</v>
      </c>
      <c r="G21" s="180">
        <f>IF(Config!G$11="on",Dev!G124,0)+IF(Config!G$12="on",Pipeline!G124,0)+IF(Config!G$13="on",Solids!G124,0)</f>
        <v>2300.7196678153646</v>
      </c>
      <c r="H21" s="180">
        <f>IF(Config!H$11="on",Dev!H124,0)+IF(Config!H$12="on",Pipeline!H124,0)+IF(Config!H$13="on",Solids!H124,0)</f>
        <v>2607.0517248834926</v>
      </c>
      <c r="I21" s="180">
        <f>IF(Config!I$11="on",Dev!I124,0)+IF(Config!I$12="on",Pipeline!I124,0)+IF(Config!I$13="on",Solids!I124,0)</f>
        <v>2783.6133346977849</v>
      </c>
      <c r="J21" s="180">
        <f>IF(Config!J$11="on",Dev!J124,0)+IF(Config!J$12="on",Pipeline!J124,0)+IF(Config!J$13="on",Solids!J124,0)</f>
        <v>2820.1463778571624</v>
      </c>
      <c r="K21" s="180">
        <f>IF(Config!K$11="on",Dev!K124,0)+IF(Config!K$12="on",Pipeline!K124,0)+IF(Config!K$13="on",Solids!K124,0)</f>
        <v>3016.0252170908607</v>
      </c>
      <c r="L21" s="180">
        <f>IF(Config!L$11="on",Dev!L124,0)+IF(Config!L$12="on",Pipeline!L124,0)+IF(Config!L$13="on",Solids!L124,0)</f>
        <v>3166.1394153708161</v>
      </c>
    </row>
    <row r="22" spans="2:14" x14ac:dyDescent="0.2">
      <c r="B22" s="49" t="s">
        <v>14</v>
      </c>
      <c r="C22" s="49"/>
      <c r="D22" s="49"/>
      <c r="E22" s="180">
        <f>IF(Config!E$11="on",Dev!E125,0)+IF(Config!E$12="on",Pipeline!E125,0)+IF(Config!E$13="on",Solids!E125,0)</f>
        <v>2122.9713267141578</v>
      </c>
      <c r="F22" s="180">
        <f>IF(Config!F$11="on",Dev!F125,0)+IF(Config!F$12="on",Pipeline!F125,0)+IF(Config!F$13="on",Solids!F125,0)</f>
        <v>2303.9172084675515</v>
      </c>
      <c r="G22" s="180">
        <f>IF(Config!G$11="on",Dev!G125,0)+IF(Config!G$12="on",Pipeline!G125,0)+IF(Config!G$13="on",Solids!G125,0)</f>
        <v>2735.4715323940809</v>
      </c>
      <c r="H22" s="180">
        <f>IF(Config!H$11="on",Dev!H125,0)+IF(Config!H$12="on",Pipeline!H125,0)+IF(Config!H$13="on",Solids!H125,0)</f>
        <v>2751.1026731494994</v>
      </c>
      <c r="I22" s="180">
        <f>IF(Config!I$11="on",Dev!I125,0)+IF(Config!I$12="on",Pipeline!I125,0)+IF(Config!I$13="on",Solids!I125,0)</f>
        <v>2898.7730499638665</v>
      </c>
      <c r="J22" s="180">
        <f>IF(Config!J$11="on",Dev!J125,0)+IF(Config!J$12="on",Pipeline!J125,0)+IF(Config!J$13="on",Solids!J125,0)</f>
        <v>3081.1508774323606</v>
      </c>
      <c r="K22" s="180">
        <f>IF(Config!K$11="on",Dev!K125,0)+IF(Config!K$12="on",Pipeline!K125,0)+IF(Config!K$13="on",Solids!K125,0)</f>
        <v>3205.2836469646109</v>
      </c>
      <c r="L22" s="180">
        <f>IF(Config!L$11="on",Dev!L125,0)+IF(Config!L$12="on",Pipeline!L125,0)+IF(Config!L$13="on",Solids!L125,0)</f>
        <v>3372.7362745488135</v>
      </c>
    </row>
    <row r="23" spans="2:14" x14ac:dyDescent="0.2">
      <c r="B23" s="49" t="s">
        <v>15</v>
      </c>
      <c r="C23" s="49"/>
      <c r="D23" s="49"/>
      <c r="E23" s="180">
        <f>IF(Config!E$11="on",Dev!E126,0)+IF(Config!E$12="on",Pipeline!E126,0)+IF(Config!E$13="on",Solids!E126,0)</f>
        <v>2510.9958148929722</v>
      </c>
      <c r="F23" s="180">
        <f>IF(Config!F$11="on",Dev!F126,0)+IF(Config!F$12="on",Pipeline!F126,0)+IF(Config!F$13="on",Solids!F126,0)</f>
        <v>2516.6341432531417</v>
      </c>
      <c r="G23" s="180">
        <f>IF(Config!G$11="on",Dev!G126,0)+IF(Config!G$12="on",Pipeline!G126,0)+IF(Config!G$13="on",Solids!G126,0)</f>
        <v>3638.4470542697231</v>
      </c>
      <c r="H23" s="180">
        <f>IF(Config!H$11="on",Dev!H126,0)+IF(Config!H$12="on",Pipeline!H126,0)+IF(Config!H$13="on",Solids!H126,0)</f>
        <v>3322.6242248726535</v>
      </c>
      <c r="I23" s="180">
        <f>IF(Config!I$11="on",Dev!I126,0)+IF(Config!I$12="on",Pipeline!I126,0)+IF(Config!I$13="on",Solids!I126,0)</f>
        <v>3518.8517236523862</v>
      </c>
      <c r="J23" s="180">
        <f>IF(Config!J$11="on",Dev!J126,0)+IF(Config!J$12="on",Pipeline!J126,0)+IF(Config!J$13="on",Solids!J126,0)</f>
        <v>3856.6482629853649</v>
      </c>
      <c r="K23" s="180">
        <f>IF(Config!K$11="on",Dev!K126,0)+IF(Config!K$12="on",Pipeline!K126,0)+IF(Config!K$13="on",Solids!K126,0)</f>
        <v>3925.1225232598645</v>
      </c>
      <c r="L23" s="180">
        <f>IF(Config!L$11="on",Dev!L126,0)+IF(Config!L$12="on",Pipeline!L126,0)+IF(Config!L$13="on",Solids!L126,0)</f>
        <v>4148.9480286524386</v>
      </c>
    </row>
    <row r="24" spans="2:14" x14ac:dyDescent="0.2">
      <c r="B24" s="49" t="s">
        <v>16</v>
      </c>
      <c r="C24" s="49"/>
      <c r="D24" s="49"/>
      <c r="E24" s="180">
        <f>IF(Config!E$11="on",Dev!E127,0)+IF(Config!E$12="on",Pipeline!E127,0)+IF(Config!E$13="on",Solids!E127,0)</f>
        <v>8072.0184010983303</v>
      </c>
      <c r="F24" s="180">
        <f>IF(Config!F$11="on",Dev!F127,0)+IF(Config!F$12="on",Pipeline!F127,0)+IF(Config!F$13="on",Solids!F127,0)</f>
        <v>8811.975573921809</v>
      </c>
      <c r="G24" s="180">
        <f>IF(Config!G$11="on",Dev!G127,0)+IF(Config!G$12="on",Pipeline!G127,0)+IF(Config!G$13="on",Solids!G127,0)</f>
        <v>10408.835688923395</v>
      </c>
      <c r="H24" s="180">
        <f>IF(Config!H$11="on",Dev!H127,0)+IF(Config!H$12="on",Pipeline!H127,0)+IF(Config!H$13="on",Solids!H127,0)</f>
        <v>10559.845942551774</v>
      </c>
      <c r="I24" s="180">
        <f>IF(Config!I$11="on",Dev!I127,0)+IF(Config!I$12="on",Pipeline!I127,0)+IF(Config!I$13="on",Solids!I127,0)</f>
        <v>11095.583918107746</v>
      </c>
      <c r="J24" s="180">
        <f>IF(Config!J$11="on",Dev!J127,0)+IF(Config!J$12="on",Pipeline!J127,0)+IF(Config!J$13="on",Solids!J127,0)</f>
        <v>11780.707226688804</v>
      </c>
      <c r="K24" s="180">
        <f>IF(Config!K$11="on",Dev!K127,0)+IF(Config!K$12="on",Pipeline!K127,0)+IF(Config!K$13="on",Solids!K127,0)</f>
        <v>12275.655172327846</v>
      </c>
      <c r="L24" s="180">
        <f>IF(Config!L$11="on",Dev!L127,0)+IF(Config!L$12="on",Pipeline!L127,0)+IF(Config!L$13="on",Solids!L127,0)</f>
        <v>12907.397660522711</v>
      </c>
    </row>
    <row r="25" spans="2:14" x14ac:dyDescent="0.2">
      <c r="B25" s="49" t="s">
        <v>17</v>
      </c>
      <c r="C25" s="49"/>
      <c r="D25" s="49"/>
      <c r="E25" s="180">
        <f>IF(Config!E$11="on",Dev!E128,0)+IF(Config!E$12="on",Pipeline!E128,0)+IF(Config!E$13="on",Solids!E128,0)</f>
        <v>5119.0146472169472</v>
      </c>
      <c r="F25" s="180">
        <f>IF(Config!F$11="on",Dev!F128,0)+IF(Config!F$12="on",Pipeline!F128,0)+IF(Config!F$13="on",Solids!F128,0)</f>
        <v>5801.7153613964465</v>
      </c>
      <c r="G25" s="180">
        <f>IF(Config!G$11="on",Dev!G128,0)+IF(Config!G$12="on",Pipeline!G128,0)+IF(Config!G$13="on",Solids!G128,0)</f>
        <v>6951.5290631362495</v>
      </c>
      <c r="H25" s="180">
        <f>IF(Config!H$11="on",Dev!H128,0)+IF(Config!H$12="on",Pipeline!H128,0)+IF(Config!H$13="on",Solids!H128,0)</f>
        <v>6876.0332189219416</v>
      </c>
      <c r="I25" s="180">
        <f>IF(Config!I$11="on",Dev!I128,0)+IF(Config!I$12="on",Pipeline!I128,0)+IF(Config!I$13="on",Solids!I128,0)</f>
        <v>7308.4275831870827</v>
      </c>
      <c r="J25" s="180">
        <f>IF(Config!J$11="on",Dev!J128,0)+IF(Config!J$12="on",Pipeline!J128,0)+IF(Config!J$13="on",Solids!J128,0)</f>
        <v>7767.3131393069925</v>
      </c>
      <c r="K25" s="180">
        <f>IF(Config!K$11="on",Dev!K128,0)+IF(Config!K$12="on",Pipeline!K128,0)+IF(Config!K$13="on",Solids!K128,0)</f>
        <v>8057.6960539302054</v>
      </c>
      <c r="L25" s="180">
        <f>IF(Config!L$11="on",Dev!L128,0)+IF(Config!L$12="on",Pipeline!L128,0)+IF(Config!L$13="on",Solids!L128,0)</f>
        <v>8494.820691233208</v>
      </c>
    </row>
    <row r="26" spans="2:14" x14ac:dyDescent="0.2">
      <c r="B26" s="51" t="s">
        <v>18</v>
      </c>
      <c r="C26" s="51"/>
      <c r="D26" s="51"/>
      <c r="E26" s="25">
        <f>SUM(E16:E25)</f>
        <v>183621.21867639149</v>
      </c>
      <c r="F26" s="25">
        <f t="shared" ref="F26:L26" si="3">SUM(F16:F25)</f>
        <v>195792.70563650175</v>
      </c>
      <c r="G26" s="25">
        <f t="shared" si="3"/>
        <v>221853.18425876289</v>
      </c>
      <c r="H26" s="25">
        <f t="shared" si="3"/>
        <v>233158.84094133551</v>
      </c>
      <c r="I26" s="25">
        <f t="shared" si="3"/>
        <v>242535.90057879096</v>
      </c>
      <c r="J26" s="25">
        <f t="shared" si="3"/>
        <v>256181.03672436779</v>
      </c>
      <c r="K26" s="25">
        <f t="shared" si="3"/>
        <v>268765.47406447219</v>
      </c>
      <c r="L26" s="25">
        <f t="shared" si="3"/>
        <v>281802.98755461141</v>
      </c>
    </row>
    <row r="27" spans="2:14" ht="10.8" thickBot="1" x14ac:dyDescent="0.25">
      <c r="B27" s="53" t="s">
        <v>20</v>
      </c>
      <c r="C27" s="53"/>
      <c r="D27" s="53"/>
      <c r="E27" s="183">
        <f>E13-E26</f>
        <v>85949.322523608484</v>
      </c>
      <c r="F27" s="183">
        <f t="shared" ref="F27:L27" si="4">F13-F26</f>
        <v>98427.271853498271</v>
      </c>
      <c r="G27" s="183">
        <f t="shared" si="4"/>
        <v>108672.0690629411</v>
      </c>
      <c r="H27" s="183">
        <f t="shared" si="4"/>
        <v>113421.88303770535</v>
      </c>
      <c r="I27" s="183">
        <f t="shared" si="4"/>
        <v>119557.78151448656</v>
      </c>
      <c r="J27" s="183">
        <f t="shared" si="4"/>
        <v>125461.60019608939</v>
      </c>
      <c r="K27" s="183">
        <f t="shared" si="4"/>
        <v>131615.71389237983</v>
      </c>
      <c r="L27" s="183">
        <f t="shared" si="4"/>
        <v>138306.99687629816</v>
      </c>
    </row>
    <row r="28" spans="2:14" x14ac:dyDescent="0.2">
      <c r="B28" s="54" t="s">
        <v>85</v>
      </c>
      <c r="C28" s="54"/>
      <c r="D28" s="54"/>
      <c r="E28" s="180"/>
      <c r="F28" s="180"/>
      <c r="G28" s="180"/>
      <c r="H28" s="132"/>
      <c r="I28" s="132"/>
      <c r="J28" s="132"/>
      <c r="K28" s="132"/>
      <c r="L28" s="132"/>
    </row>
    <row r="29" spans="2:14" x14ac:dyDescent="0.2">
      <c r="B29" s="49"/>
      <c r="C29" s="49"/>
      <c r="D29" s="49"/>
      <c r="E29" s="180"/>
      <c r="F29" s="180"/>
      <c r="G29" s="180"/>
      <c r="H29" s="132"/>
      <c r="I29" s="132"/>
      <c r="J29" s="132"/>
      <c r="K29" s="132"/>
      <c r="L29" s="132"/>
    </row>
    <row r="30" spans="2:14" x14ac:dyDescent="0.2">
      <c r="B30" s="49" t="s">
        <v>21</v>
      </c>
      <c r="C30" s="49"/>
      <c r="D30" s="49"/>
      <c r="E30" s="180">
        <f>IF(Config!E$11="on",Dev!E133,0)+IF(Config!E$12="on",Pipeline!E133,0)+IF(Config!E$13="on",Solids!E133,0)</f>
        <v>45779.402999999998</v>
      </c>
      <c r="F30" s="180">
        <f>IF(Config!F$11="on",Dev!F133,0)+IF(Config!F$12="on",Pipeline!F133,0)+IF(Config!F$13="on",Solids!F133,0)</f>
        <v>44982.368562000003</v>
      </c>
      <c r="G30" s="180">
        <f>IF(Config!G$11="on",Dev!G133,0)+IF(Config!G$12="on",Pipeline!G133,0)+IF(Config!G$13="on",Solids!G133,0)</f>
        <v>47857.620384294001</v>
      </c>
      <c r="H30" s="180">
        <f>IF(Config!H$11="on",Dev!H133,0)+IF(Config!H$12="on",Pipeline!H133,0)+IF(Config!H$13="on",Solids!H133,0)</f>
        <v>54099.789315512397</v>
      </c>
      <c r="I30" s="180">
        <f>IF(Config!I$11="on",Dev!I133,0)+IF(Config!I$12="on",Pipeline!I133,0)+IF(Config!I$13="on",Solids!I133,0)</f>
        <v>54760.263528697244</v>
      </c>
      <c r="J30" s="180">
        <f>IF(Config!J$11="on",Dev!J133,0)+IF(Config!J$12="on",Pipeline!J133,0)+IF(Config!J$13="on",Solids!J133,0)</f>
        <v>57514.824074284297</v>
      </c>
      <c r="K30" s="180">
        <f>IF(Config!K$11="on",Dev!K133,0)+IF(Config!K$12="on",Pipeline!K133,0)+IF(Config!K$13="on",Solids!K133,0)</f>
        <v>61130.341474919085</v>
      </c>
      <c r="L30" s="180">
        <f>IF(Config!L$11="on",Dev!L133,0)+IF(Config!L$12="on",Pipeline!L133,0)+IF(Config!L$13="on",Solids!L133,0)</f>
        <v>63662.934052657205</v>
      </c>
    </row>
    <row r="31" spans="2:14" x14ac:dyDescent="0.2">
      <c r="B31" s="50" t="s">
        <v>22</v>
      </c>
      <c r="C31" s="50"/>
      <c r="D31" s="50"/>
      <c r="E31" s="180">
        <f>IF(Config!E$11="on",Dev!E134,0)+IF(Config!E$12="on",Pipeline!E134,0)+IF(Config!E$13="on",Solids!E134,0)</f>
        <v>3120</v>
      </c>
      <c r="F31" s="180">
        <f>IF(Config!F$11="on",Dev!F134,0)+IF(Config!F$12="on",Pipeline!F134,0)+IF(Config!F$13="on",Solids!F134,0)</f>
        <v>2748.2987436558856</v>
      </c>
      <c r="G31" s="180">
        <f>IF(Config!G$11="on",Dev!G134,0)+IF(Config!G$12="on",Pipeline!G134,0)+IF(Config!G$13="on",Solids!G134,0)</f>
        <v>2354.2954119311257</v>
      </c>
      <c r="H31" s="180">
        <f>IF(Config!H$11="on",Dev!H134,0)+IF(Config!H$12="on",Pipeline!H134,0)+IF(Config!H$13="on",Solids!H134,0)</f>
        <v>1936.6518803028791</v>
      </c>
      <c r="I31" s="180">
        <f>IF(Config!I$11="on",Dev!I134,0)+IF(Config!I$12="on",Pipeline!I134,0)+IF(Config!I$13="on",Solids!I134,0)</f>
        <v>1493.9497367769375</v>
      </c>
      <c r="J31" s="180">
        <f>IF(Config!J$11="on",Dev!J134,0)+IF(Config!J$12="on",Pipeline!J134,0)+IF(Config!J$13="on",Solids!J134,0)</f>
        <v>1024.6854646394399</v>
      </c>
      <c r="K31" s="180">
        <f>IF(Config!K$11="on",Dev!K134,0)+IF(Config!K$12="on",Pipeline!K134,0)+IF(Config!K$13="on",Solids!K134,0)</f>
        <v>527.2653361736925</v>
      </c>
      <c r="L31" s="180">
        <f>IF(Config!L$11="on",Dev!L134,0)+IF(Config!L$12="on",Pipeline!L134,0)+IF(Config!L$13="on",Solids!L134,0)</f>
        <v>0</v>
      </c>
      <c r="N31" s="70"/>
    </row>
    <row r="32" spans="2:14" x14ac:dyDescent="0.2">
      <c r="B32" s="50" t="s">
        <v>75</v>
      </c>
      <c r="C32" s="50"/>
      <c r="D32" s="50"/>
      <c r="E32" s="180">
        <f>IF(Config!E$11="on",Dev!E135,0)+IF(Config!E$12="on",Pipeline!E135,0)+IF(Config!E$13="on",Solids!E135,0)</f>
        <v>2298.4103236084734</v>
      </c>
      <c r="F32" s="180">
        <f>IF(Config!F$11="on",Dev!F135,0)+IF(Config!F$12="on",Pipeline!F135,0)+IF(Config!F$13="on",Solids!F135,0)</f>
        <v>2512.3525346982233</v>
      </c>
      <c r="G32" s="180">
        <f>IF(Config!G$11="on",Dev!G135,0)+IF(Config!G$12="on",Pipeline!G135,0)+IF(Config!G$13="on",Solids!G135,0)</f>
        <v>2865.2842895231247</v>
      </c>
      <c r="H32" s="180">
        <f>IF(Config!H$11="on",Dev!H135,0)+IF(Config!H$12="on",Pipeline!H135,0)+IF(Config!H$13="on",Solids!H135,0)</f>
        <v>2964.4576696045206</v>
      </c>
      <c r="I32" s="180">
        <f>IF(Config!I$11="on",Dev!I135,0)+IF(Config!I$12="on",Pipeline!I135,0)+IF(Config!I$13="on",Solids!I135,0)</f>
        <v>3108.1281947063958</v>
      </c>
      <c r="J32" s="180">
        <f>IF(Config!J$11="on",Dev!J135,0)+IF(Config!J$12="on",Pipeline!J135,0)+IF(Config!J$13="on",Solids!J135,0)</f>
        <v>3282.9246369466359</v>
      </c>
      <c r="K32" s="180">
        <f>IF(Config!K$11="on",Dev!K135,0)+IF(Config!K$12="on",Pipeline!K135,0)+IF(Config!K$13="on",Solids!K135,0)</f>
        <v>3435.170837744568</v>
      </c>
      <c r="L32" s="180">
        <f>IF(Config!L$11="on",Dev!L135,0)+IF(Config!L$12="on",Pipeline!L135,0)+IF(Config!L$13="on",Solids!L135,0)</f>
        <v>3608.1335644208184</v>
      </c>
    </row>
    <row r="33" spans="2:12" x14ac:dyDescent="0.2">
      <c r="B33" s="51" t="s">
        <v>23</v>
      </c>
      <c r="C33" s="51"/>
      <c r="D33" s="51"/>
      <c r="E33" s="25">
        <f>SUM(E30:E32)</f>
        <v>51197.813323608469</v>
      </c>
      <c r="F33" s="25">
        <f t="shared" ref="F33:L33" si="5">SUM(F30:F32)</f>
        <v>50243.019840354107</v>
      </c>
      <c r="G33" s="25">
        <f t="shared" si="5"/>
        <v>53077.200085748249</v>
      </c>
      <c r="H33" s="25">
        <f t="shared" si="5"/>
        <v>59000.898865419796</v>
      </c>
      <c r="I33" s="25">
        <f t="shared" si="5"/>
        <v>59362.341460180578</v>
      </c>
      <c r="J33" s="25">
        <f t="shared" si="5"/>
        <v>61822.434175870374</v>
      </c>
      <c r="K33" s="25">
        <f t="shared" si="5"/>
        <v>65092.777648837349</v>
      </c>
      <c r="L33" s="25">
        <f t="shared" si="5"/>
        <v>67271.067617078021</v>
      </c>
    </row>
    <row r="34" spans="2:12" x14ac:dyDescent="0.2">
      <c r="B34" s="55" t="s">
        <v>24</v>
      </c>
      <c r="C34" s="55"/>
      <c r="D34" s="55"/>
      <c r="E34" s="184">
        <f>E27-E33</f>
        <v>34751.509200000015</v>
      </c>
      <c r="F34" s="184">
        <f t="shared" ref="F34:L34" si="6">F27-F33</f>
        <v>48184.252013144163</v>
      </c>
      <c r="G34" s="184">
        <f t="shared" si="6"/>
        <v>55594.868977192848</v>
      </c>
      <c r="H34" s="184">
        <f t="shared" si="6"/>
        <v>54420.984172285556</v>
      </c>
      <c r="I34" s="184">
        <f t="shared" si="6"/>
        <v>60195.440054305982</v>
      </c>
      <c r="J34" s="184">
        <f t="shared" si="6"/>
        <v>63639.166020219018</v>
      </c>
      <c r="K34" s="184">
        <f t="shared" si="6"/>
        <v>66522.936243542485</v>
      </c>
      <c r="L34" s="184">
        <f t="shared" si="6"/>
        <v>71035.929259220138</v>
      </c>
    </row>
    <row r="35" spans="2:12" x14ac:dyDescent="0.2">
      <c r="B35" s="52"/>
      <c r="C35" s="52"/>
      <c r="D35" s="52"/>
      <c r="E35" s="182"/>
      <c r="F35" s="182"/>
      <c r="G35" s="182"/>
      <c r="H35" s="132"/>
      <c r="I35" s="132"/>
      <c r="J35" s="132"/>
      <c r="K35" s="132"/>
      <c r="L35" s="132"/>
    </row>
    <row r="36" spans="2:12" x14ac:dyDescent="0.2">
      <c r="B36" s="50" t="s">
        <v>25</v>
      </c>
      <c r="C36" s="50"/>
      <c r="D36" s="50"/>
      <c r="E36" s="180">
        <f>IF(Config!E$11="on",Dev!E139,0)+IF(Config!E$12="on",Pipeline!E139,0)+IF(Config!E$13="on",Solids!E139,0)</f>
        <v>13145.481720000003</v>
      </c>
      <c r="F36" s="180">
        <f>IF(Config!F$11="on",Dev!F139,0)+IF(Config!F$12="on",Pipeline!F139,0)+IF(Config!F$13="on",Solids!F139,0)</f>
        <v>17069.404540580013</v>
      </c>
      <c r="G36" s="180">
        <f>IF(Config!G$11="on",Dev!G139,0)+IF(Config!G$12="on",Pipeline!G139,0)+IF(Config!G$13="on",Solids!G139,0)</f>
        <v>19934.727002202606</v>
      </c>
      <c r="H36" s="180">
        <f>IF(Config!H$11="on",Dev!H139,0)+IF(Config!H$12="on",Pipeline!H139,0)+IF(Config!H$13="on",Solids!H139,0)</f>
        <v>19273.447924217937</v>
      </c>
      <c r="I36" s="180">
        <f>IF(Config!I$11="on",Dev!I139,0)+IF(Config!I$12="on",Pipeline!I139,0)+IF(Config!I$13="on",Solids!I139,0)</f>
        <v>21068.404019007117</v>
      </c>
      <c r="J36" s="180">
        <f>IF(Config!J$11="on",Dev!J139,0)+IF(Config!J$12="on",Pipeline!J139,0)+IF(Config!J$13="on",Solids!J139,0)</f>
        <v>22273.708107076705</v>
      </c>
      <c r="K36" s="180">
        <f>IF(Config!K$11="on",Dev!K139,0)+IF(Config!K$12="on",Pipeline!K139,0)+IF(Config!K$13="on",Solids!K139,0)</f>
        <v>23283.027685239838</v>
      </c>
      <c r="L36" s="180">
        <f>IF(Config!L$11="on",Dev!L139,0)+IF(Config!L$12="on",Pipeline!L139,0)+IF(Config!L$13="on",Solids!L139,0)</f>
        <v>24862.575240727092</v>
      </c>
    </row>
    <row r="37" spans="2:12" ht="10.8" thickBot="1" x14ac:dyDescent="0.25">
      <c r="B37" s="56" t="s">
        <v>26</v>
      </c>
      <c r="C37" s="56"/>
      <c r="D37" s="56"/>
      <c r="E37" s="185">
        <f>E34-E36</f>
        <v>21606.027480000012</v>
      </c>
      <c r="F37" s="185">
        <f t="shared" ref="F37:L37" si="7">F34-F36</f>
        <v>31114.84747256415</v>
      </c>
      <c r="G37" s="185">
        <f t="shared" si="7"/>
        <v>35660.141974990242</v>
      </c>
      <c r="H37" s="185">
        <f t="shared" si="7"/>
        <v>35147.536248067619</v>
      </c>
      <c r="I37" s="185">
        <f t="shared" si="7"/>
        <v>39127.036035298865</v>
      </c>
      <c r="J37" s="185">
        <f t="shared" si="7"/>
        <v>41365.457913142309</v>
      </c>
      <c r="K37" s="185">
        <f t="shared" si="7"/>
        <v>43239.908558302646</v>
      </c>
      <c r="L37" s="185">
        <f t="shared" si="7"/>
        <v>46173.354018493046</v>
      </c>
    </row>
    <row r="38" spans="2:12" ht="10.8" thickTop="1" x14ac:dyDescent="0.2">
      <c r="B38" s="54" t="s">
        <v>86</v>
      </c>
      <c r="C38" s="54"/>
      <c r="D38" s="54"/>
      <c r="E38" s="134"/>
      <c r="F38" s="134"/>
      <c r="G38" s="134"/>
      <c r="H38" s="132"/>
      <c r="I38" s="132"/>
      <c r="J38" s="132"/>
      <c r="K38" s="132"/>
      <c r="L38" s="132"/>
    </row>
    <row r="39" spans="2:12" x14ac:dyDescent="0.2">
      <c r="B39" s="57"/>
      <c r="C39" s="57"/>
      <c r="D39" s="57"/>
      <c r="E39" s="134"/>
      <c r="F39" s="134"/>
      <c r="G39" s="134"/>
      <c r="H39" s="132"/>
      <c r="I39" s="132"/>
      <c r="J39" s="132"/>
      <c r="K39" s="132"/>
      <c r="L39" s="132"/>
    </row>
    <row r="40" spans="2:12" x14ac:dyDescent="0.2">
      <c r="B40" s="48" t="s">
        <v>27</v>
      </c>
      <c r="C40" s="48"/>
      <c r="D40" s="48"/>
      <c r="E40" s="36">
        <f>E$7</f>
        <v>2020</v>
      </c>
      <c r="F40" s="36">
        <f t="shared" ref="F40:L40" si="8">F$7</f>
        <v>2021</v>
      </c>
      <c r="G40" s="36">
        <f t="shared" si="8"/>
        <v>2022</v>
      </c>
      <c r="H40" s="36">
        <f t="shared" si="8"/>
        <v>2023</v>
      </c>
      <c r="I40" s="36">
        <f t="shared" si="8"/>
        <v>2024</v>
      </c>
      <c r="J40" s="36">
        <f t="shared" si="8"/>
        <v>2025</v>
      </c>
      <c r="K40" s="36">
        <f t="shared" si="8"/>
        <v>2026</v>
      </c>
      <c r="L40" s="36">
        <f t="shared" si="8"/>
        <v>2027</v>
      </c>
    </row>
    <row r="41" spans="2:12" x14ac:dyDescent="0.2">
      <c r="B41" s="58" t="s">
        <v>28</v>
      </c>
      <c r="C41" s="58"/>
      <c r="D41" s="58"/>
      <c r="E41" s="180"/>
      <c r="F41" s="180"/>
      <c r="G41" s="180"/>
      <c r="H41" s="132"/>
      <c r="I41" s="132"/>
      <c r="J41" s="132"/>
      <c r="K41" s="132"/>
      <c r="L41" s="132"/>
    </row>
    <row r="42" spans="2:12" x14ac:dyDescent="0.2">
      <c r="B42" s="49" t="s">
        <v>29</v>
      </c>
      <c r="C42" s="49"/>
      <c r="D42" s="49"/>
      <c r="E42" s="180">
        <f>IF(Config!E$11="on",Dev!E145,0)+IF(Config!E$12="on",Pipeline!E145,0)+IF(Config!E$13="on",Solids!E145,0)</f>
        <v>69693.610480000003</v>
      </c>
      <c r="F42" s="180">
        <f>IF(Config!F$11="on",Dev!F145,0)+IF(Config!F$12="on",Pipeline!F145,0)+IF(Config!F$13="on",Solids!F145,0)</f>
        <v>69168.647245151486</v>
      </c>
      <c r="G42" s="180">
        <f>IF(Config!G$11="on",Dev!G145,0)+IF(Config!G$12="on",Pipeline!G145,0)+IF(Config!G$13="on",Solids!G145,0)</f>
        <v>81164.231719338335</v>
      </c>
      <c r="H42" s="180">
        <f>IF(Config!H$11="on",Dev!H145,0)+IF(Config!H$12="on",Pipeline!H145,0)+IF(Config!H$13="on",Solids!H145,0)</f>
        <v>107104.1156604896</v>
      </c>
      <c r="I42" s="180">
        <f>IF(Config!I$11="on",Dev!I145,0)+IF(Config!I$12="on",Pipeline!I145,0)+IF(Config!I$13="on",Solids!I145,0)</f>
        <v>138590.51987735735</v>
      </c>
      <c r="J42" s="180">
        <f>IF(Config!J$11="on",Dev!J145,0)+IF(Config!J$12="on",Pipeline!J145,0)+IF(Config!J$13="on",Solids!J145,0)</f>
        <v>170101.6000129423</v>
      </c>
      <c r="K42" s="180">
        <f>IF(Config!K$11="on",Dev!K145,0)+IF(Config!K$12="on",Pipeline!K145,0)+IF(Config!K$13="on",Solids!K145,0)</f>
        <v>204801.13334776714</v>
      </c>
      <c r="L42" s="180">
        <f>IF(Config!L$11="on",Dev!L145,0)+IF(Config!L$12="on",Pipeline!L145,0)+IF(Config!L$13="on",Solids!L145,0)</f>
        <v>249123.10171694757</v>
      </c>
    </row>
    <row r="43" spans="2:12" x14ac:dyDescent="0.2">
      <c r="B43" s="49" t="s">
        <v>30</v>
      </c>
      <c r="C43" s="49"/>
      <c r="D43" s="49"/>
      <c r="E43" s="180">
        <f>IF(Config!E$11="on",Dev!E146,0)+IF(Config!E$12="on",Pipeline!E146,0)+IF(Config!E$13="on",Solids!E146,0)</f>
        <v>38387.755000000005</v>
      </c>
      <c r="F43" s="180">
        <f>IF(Config!F$11="on",Dev!F146,0)+IF(Config!F$12="on",Pipeline!F146,0)+IF(Config!F$13="on",Solids!F146,0)</f>
        <v>43008.514342000002</v>
      </c>
      <c r="G43" s="180">
        <f>IF(Config!G$11="on",Dev!G146,0)+IF(Config!G$12="on",Pipeline!G146,0)+IF(Config!G$13="on",Solids!G146,0)</f>
        <v>47453.412984811999</v>
      </c>
      <c r="H43" s="180">
        <f>IF(Config!H$11="on",Dev!H146,0)+IF(Config!H$12="on",Pipeline!H146,0)+IF(Config!H$13="on",Solids!H146,0)</f>
        <v>48180.738361304706</v>
      </c>
      <c r="I43" s="180">
        <f>IF(Config!I$11="on",Dev!I146,0)+IF(Config!I$12="on",Pipeline!I146,0)+IF(Config!I$13="on",Solids!I146,0)</f>
        <v>51383.767398410324</v>
      </c>
      <c r="J43" s="180">
        <f>IF(Config!J$11="on",Dev!J146,0)+IF(Config!J$12="on",Pipeline!J146,0)+IF(Config!J$13="on",Solids!J146,0)</f>
        <v>53516.356444421413</v>
      </c>
      <c r="K43" s="180">
        <f>IF(Config!K$11="on",Dev!K146,0)+IF(Config!K$12="on",Pipeline!K146,0)+IF(Config!K$13="on",Solids!K146,0)</f>
        <v>56691.470917947772</v>
      </c>
      <c r="L43" s="180">
        <f>IF(Config!L$11="on",Dev!L146,0)+IF(Config!L$12="on",Pipeline!L146,0)+IF(Config!L$13="on",Solids!L146,0)</f>
        <v>58851.517831152159</v>
      </c>
    </row>
    <row r="44" spans="2:12" x14ac:dyDescent="0.2">
      <c r="B44" s="49" t="s">
        <v>31</v>
      </c>
      <c r="C44" s="49"/>
      <c r="D44" s="49"/>
      <c r="E44" s="180">
        <f>IF(Config!E$11="on",Dev!E147,0)+IF(Config!E$12="on",Pipeline!E147,0)+IF(Config!E$13="on",Solids!E147,0)</f>
        <v>0</v>
      </c>
      <c r="F44" s="180">
        <f>IF(Config!F$11="on",Dev!F147,0)+IF(Config!F$12="on",Pipeline!F147,0)+IF(Config!F$13="on",Solids!F147,0)</f>
        <v>0</v>
      </c>
      <c r="G44" s="180">
        <f>IF(Config!G$11="on",Dev!G147,0)+IF(Config!G$12="on",Pipeline!G147,0)+IF(Config!G$13="on",Solids!G147,0)</f>
        <v>0</v>
      </c>
      <c r="H44" s="180">
        <f>IF(Config!H$11="on",Dev!H147,0)+IF(Config!H$12="on",Pipeline!H147,0)+IF(Config!H$13="on",Solids!H147,0)</f>
        <v>0</v>
      </c>
      <c r="I44" s="180">
        <f>IF(Config!I$11="on",Dev!I147,0)+IF(Config!I$12="on",Pipeline!I147,0)+IF(Config!I$13="on",Solids!I147,0)</f>
        <v>0</v>
      </c>
      <c r="J44" s="180">
        <f>IF(Config!J$11="on",Dev!J147,0)+IF(Config!J$12="on",Pipeline!J147,0)+IF(Config!J$13="on",Solids!J147,0)</f>
        <v>0</v>
      </c>
      <c r="K44" s="180">
        <f>IF(Config!K$11="on",Dev!K147,0)+IF(Config!K$12="on",Pipeline!K147,0)+IF(Config!K$13="on",Solids!K147,0)</f>
        <v>0</v>
      </c>
      <c r="L44" s="180">
        <f>IF(Config!L$11="on",Dev!L147,0)+IF(Config!L$12="on",Pipeline!L147,0)+IF(Config!L$13="on",Solids!L147,0)</f>
        <v>0</v>
      </c>
    </row>
    <row r="45" spans="2:12" x14ac:dyDescent="0.2">
      <c r="B45" s="49" t="s">
        <v>32</v>
      </c>
      <c r="C45" s="49"/>
      <c r="D45" s="49"/>
      <c r="E45" s="180">
        <f>IF(Config!E$11="on",Dev!E148,0)+IF(Config!E$12="on",Pipeline!E148,0)+IF(Config!E$13="on",Solids!E148,0)</f>
        <v>28797.095000000001</v>
      </c>
      <c r="F45" s="180">
        <f>IF(Config!F$11="on",Dev!F148,0)+IF(Config!F$12="on",Pipeline!F148,0)+IF(Config!F$13="on",Solids!F148,0)</f>
        <v>33056.138171999999</v>
      </c>
      <c r="G45" s="180">
        <f>IF(Config!G$11="on",Dev!G148,0)+IF(Config!G$12="on",Pipeline!G148,0)+IF(Config!G$13="on",Solids!G148,0)</f>
        <v>35997.327469964002</v>
      </c>
      <c r="H45" s="180">
        <f>IF(Config!H$11="on",Dev!H148,0)+IF(Config!H$12="on",Pipeline!H148,0)+IF(Config!H$13="on",Solids!H148,0)</f>
        <v>36544.907878031423</v>
      </c>
      <c r="I45" s="180">
        <f>IF(Config!I$11="on",Dev!I148,0)+IF(Config!I$12="on",Pipeline!I148,0)+IF(Config!I$13="on",Solids!I148,0)</f>
        <v>39235.59671929419</v>
      </c>
      <c r="J45" s="180">
        <f>IF(Config!J$11="on",Dev!J148,0)+IF(Config!J$12="on",Pipeline!J148,0)+IF(Config!J$13="on",Solids!J148,0)</f>
        <v>40606.180396821481</v>
      </c>
      <c r="K45" s="180">
        <f>IF(Config!K$11="on",Dev!K148,0)+IF(Config!K$12="on",Pipeline!K148,0)+IF(Config!K$13="on",Solids!K148,0)</f>
        <v>43182.50256516775</v>
      </c>
      <c r="L45" s="180">
        <f>IF(Config!L$11="on",Dev!L148,0)+IF(Config!L$12="on",Pipeline!L148,0)+IF(Config!L$13="on",Solids!L148,0)</f>
        <v>44728.409610446761</v>
      </c>
    </row>
    <row r="46" spans="2:12" x14ac:dyDescent="0.2">
      <c r="B46" s="49" t="s">
        <v>33</v>
      </c>
      <c r="C46" s="49"/>
      <c r="D46" s="49"/>
      <c r="E46" s="180">
        <f>IF(Config!E$11="on",Dev!E149,0)+IF(Config!E$12="on",Pipeline!E149,0)+IF(Config!E$13="on",Solids!E149,0)</f>
        <v>146532</v>
      </c>
      <c r="F46" s="180">
        <f>IF(Config!F$11="on",Dev!F149,0)+IF(Config!F$12="on",Pipeline!F149,0)+IF(Config!F$13="on",Solids!F149,0)</f>
        <v>167429</v>
      </c>
      <c r="G46" s="180">
        <f>IF(Config!G$11="on",Dev!G149,0)+IF(Config!G$12="on",Pipeline!G149,0)+IF(Config!G$13="on",Solids!G149,0)</f>
        <v>185356</v>
      </c>
      <c r="H46" s="180">
        <f>IF(Config!H$11="on",Dev!H149,0)+IF(Config!H$12="on",Pipeline!H149,0)+IF(Config!H$13="on",Solids!H149,0)</f>
        <v>185356</v>
      </c>
      <c r="I46" s="180">
        <f>IF(Config!I$11="on",Dev!I149,0)+IF(Config!I$12="on",Pipeline!I149,0)+IF(Config!I$13="on",Solids!I149,0)</f>
        <v>185356</v>
      </c>
      <c r="J46" s="180">
        <f>IF(Config!J$11="on",Dev!J149,0)+IF(Config!J$12="on",Pipeline!J149,0)+IF(Config!J$13="on",Solids!J149,0)</f>
        <v>185356</v>
      </c>
      <c r="K46" s="180">
        <f>IF(Config!K$11="on",Dev!K149,0)+IF(Config!K$12="on",Pipeline!K149,0)+IF(Config!K$13="on",Solids!K149,0)</f>
        <v>185356</v>
      </c>
      <c r="L46" s="180">
        <f>IF(Config!L$11="on",Dev!L149,0)+IF(Config!L$12="on",Pipeline!L149,0)+IF(Config!L$13="on",Solids!L149,0)</f>
        <v>185356</v>
      </c>
    </row>
    <row r="47" spans="2:12" x14ac:dyDescent="0.2">
      <c r="B47" s="49" t="s">
        <v>76</v>
      </c>
      <c r="C47" s="49"/>
      <c r="D47" s="49"/>
      <c r="E47" s="180">
        <f>IF(Config!E$11="on",Dev!E150,0)+IF(Config!E$12="on",Pipeline!E150,0)+IF(Config!E$13="on",Solids!E150,0)</f>
        <v>0</v>
      </c>
      <c r="F47" s="180">
        <f>IF(Config!F$11="on",Dev!F150,0)+IF(Config!F$12="on",Pipeline!F150,0)+IF(Config!F$13="on",Solids!F150,0)</f>
        <v>0</v>
      </c>
      <c r="G47" s="180">
        <f>IF(Config!G$11="on",Dev!G150,0)+IF(Config!G$12="on",Pipeline!G150,0)+IF(Config!G$13="on",Solids!G150,0)</f>
        <v>0</v>
      </c>
      <c r="H47" s="180">
        <f>IF(Config!H$11="on",Dev!H150,0)+IF(Config!H$12="on",Pipeline!H150,0)+IF(Config!H$13="on",Solids!H150,0)</f>
        <v>0</v>
      </c>
      <c r="I47" s="180">
        <f>IF(Config!I$11="on",Dev!I150,0)+IF(Config!I$12="on",Pipeline!I150,0)+IF(Config!I$13="on",Solids!I150,0)</f>
        <v>0</v>
      </c>
      <c r="J47" s="180">
        <f>IF(Config!J$11="on",Dev!J150,0)+IF(Config!J$12="on",Pipeline!J150,0)+IF(Config!J$13="on",Solids!J150,0)</f>
        <v>0</v>
      </c>
      <c r="K47" s="180">
        <f>IF(Config!K$11="on",Dev!K150,0)+IF(Config!K$12="on",Pipeline!K150,0)+IF(Config!K$13="on",Solids!K150,0)</f>
        <v>0</v>
      </c>
      <c r="L47" s="180">
        <f>IF(Config!L$11="on",Dev!L150,0)+IF(Config!L$12="on",Pipeline!L150,0)+IF(Config!L$13="on",Solids!L150,0)</f>
        <v>0</v>
      </c>
    </row>
    <row r="48" spans="2:12" x14ac:dyDescent="0.2">
      <c r="B48" s="49" t="s">
        <v>77</v>
      </c>
      <c r="C48" s="49"/>
      <c r="D48" s="49"/>
      <c r="E48" s="180">
        <f>IF(Config!E$11="on",Dev!E151,0)+IF(Config!E$12="on",Pipeline!E151,0)+IF(Config!E$13="on",Solids!E151,0)</f>
        <v>0</v>
      </c>
      <c r="F48" s="180">
        <f>IF(Config!F$11="on",Dev!F151,0)+IF(Config!F$12="on",Pipeline!F151,0)+IF(Config!F$13="on",Solids!F151,0)</f>
        <v>0</v>
      </c>
      <c r="G48" s="180">
        <f>IF(Config!G$11="on",Dev!G151,0)+IF(Config!G$12="on",Pipeline!G151,0)+IF(Config!G$13="on",Solids!G151,0)</f>
        <v>0</v>
      </c>
      <c r="H48" s="180">
        <f>IF(Config!H$11="on",Dev!H151,0)+IF(Config!H$12="on",Pipeline!H151,0)+IF(Config!H$13="on",Solids!H151,0)</f>
        <v>0</v>
      </c>
      <c r="I48" s="180">
        <f>IF(Config!I$11="on",Dev!I151,0)+IF(Config!I$12="on",Pipeline!I151,0)+IF(Config!I$13="on",Solids!I151,0)</f>
        <v>0</v>
      </c>
      <c r="J48" s="180">
        <f>IF(Config!J$11="on",Dev!J151,0)+IF(Config!J$12="on",Pipeline!J151,0)+IF(Config!J$13="on",Solids!J151,0)</f>
        <v>0</v>
      </c>
      <c r="K48" s="180">
        <f>IF(Config!K$11="on",Dev!K151,0)+IF(Config!K$12="on",Pipeline!K151,0)+IF(Config!K$13="on",Solids!K151,0)</f>
        <v>0</v>
      </c>
      <c r="L48" s="180">
        <f>IF(Config!L$11="on",Dev!L151,0)+IF(Config!L$12="on",Pipeline!L151,0)+IF(Config!L$13="on",Solids!L151,0)</f>
        <v>0</v>
      </c>
    </row>
    <row r="49" spans="2:12" ht="10.8" thickBot="1" x14ac:dyDescent="0.25">
      <c r="B49" s="56" t="s">
        <v>34</v>
      </c>
      <c r="C49" s="56"/>
      <c r="D49" s="56"/>
      <c r="E49" s="185">
        <f>SUM(E42:E48)</f>
        <v>283410.46048000001</v>
      </c>
      <c r="F49" s="185">
        <f t="shared" ref="F49:L49" si="9">SUM(F42:F48)</f>
        <v>312662.29975915153</v>
      </c>
      <c r="G49" s="185">
        <f t="shared" si="9"/>
        <v>349970.97217411431</v>
      </c>
      <c r="H49" s="185">
        <f t="shared" si="9"/>
        <v>377185.76189982577</v>
      </c>
      <c r="I49" s="185">
        <f t="shared" si="9"/>
        <v>414565.88399506186</v>
      </c>
      <c r="J49" s="185">
        <f t="shared" si="9"/>
        <v>449580.1368541852</v>
      </c>
      <c r="K49" s="185">
        <f t="shared" si="9"/>
        <v>490031.10683088267</v>
      </c>
      <c r="L49" s="185">
        <f t="shared" si="9"/>
        <v>538059.02915854647</v>
      </c>
    </row>
    <row r="50" spans="2:12" ht="10.8" thickTop="1" x14ac:dyDescent="0.2">
      <c r="B50" s="52"/>
      <c r="C50" s="52"/>
      <c r="D50" s="52"/>
      <c r="E50" s="182"/>
      <c r="F50" s="182"/>
      <c r="G50" s="182"/>
      <c r="H50" s="132"/>
      <c r="I50" s="132"/>
      <c r="J50" s="132"/>
      <c r="K50" s="132"/>
      <c r="L50" s="132"/>
    </row>
    <row r="51" spans="2:12" x14ac:dyDescent="0.2">
      <c r="B51" s="58" t="s">
        <v>35</v>
      </c>
      <c r="C51" s="58"/>
      <c r="D51" s="58"/>
      <c r="E51" s="180"/>
      <c r="F51" s="180"/>
      <c r="G51" s="180"/>
      <c r="H51" s="132"/>
      <c r="I51" s="132"/>
      <c r="J51" s="132"/>
      <c r="K51" s="132"/>
      <c r="L51" s="132"/>
    </row>
    <row r="52" spans="2:12" x14ac:dyDescent="0.2">
      <c r="B52" s="49" t="s">
        <v>36</v>
      </c>
      <c r="C52" s="49"/>
      <c r="D52" s="49"/>
      <c r="E52" s="180">
        <f>IF(Config!E$11="on",Dev!E155,0)+IF(Config!E$12="on",Pipeline!E155,0)+IF(Config!E$13="on",Solids!E155,0)</f>
        <v>58095.03</v>
      </c>
      <c r="F52" s="180">
        <f>IF(Config!F$11="on",Dev!F155,0)+IF(Config!F$12="on",Pipeline!F155,0)+IF(Config!F$13="on",Solids!F155,0)</f>
        <v>62798.744001999999</v>
      </c>
      <c r="G52" s="180">
        <f>IF(Config!G$11="on",Dev!G155,0)+IF(Config!G$12="on",Pipeline!G155,0)+IF(Config!G$13="on",Solids!G155,0)</f>
        <v>71407.999969110009</v>
      </c>
      <c r="H52" s="180">
        <f>IF(Config!H$11="on",Dev!H155,0)+IF(Config!H$12="on",Pipeline!H155,0)+IF(Config!H$13="on",Solids!H155,0)</f>
        <v>70853.622505519408</v>
      </c>
      <c r="I52" s="180">
        <f>IF(Config!I$11="on",Dev!I155,0)+IF(Config!I$12="on",Pipeline!I155,0)+IF(Config!I$13="on",Solids!I155,0)</f>
        <v>76927.779767748216</v>
      </c>
      <c r="J52" s="180">
        <f>IF(Config!J$11="on",Dev!J155,0)+IF(Config!J$12="on",Pipeline!J155,0)+IF(Config!J$13="on",Solids!J155,0)</f>
        <v>78866.910188158217</v>
      </c>
      <c r="K52" s="180">
        <f>IF(Config!K$11="on",Dev!K155,0)+IF(Config!K$12="on",Pipeline!K155,0)+IF(Config!K$13="on",Solids!K155,0)</f>
        <v>84865.727209447985</v>
      </c>
      <c r="L52" s="180">
        <f>IF(Config!L$11="on",Dev!L155,0)+IF(Config!L$12="on",Pipeline!L155,0)+IF(Config!L$13="on",Solids!L155,0)</f>
        <v>86720.29551861863</v>
      </c>
    </row>
    <row r="53" spans="2:12" x14ac:dyDescent="0.2">
      <c r="B53" s="49" t="s">
        <v>37</v>
      </c>
      <c r="C53" s="49"/>
      <c r="D53" s="49"/>
      <c r="E53" s="180">
        <f>IF(Config!E$11="on",Dev!E156,0)+IF(Config!E$12="on",Pipeline!E156,0)+IF(Config!E$13="on",Solids!E156,0)</f>
        <v>51400</v>
      </c>
      <c r="F53" s="180">
        <f>IF(Config!F$11="on",Dev!F156,0)+IF(Config!F$12="on",Pipeline!F156,0)+IF(Config!F$13="on",Solids!F156,0)</f>
        <v>51400</v>
      </c>
      <c r="G53" s="180">
        <f>IF(Config!G$11="on",Dev!G156,0)+IF(Config!G$12="on",Pipeline!G156,0)+IF(Config!G$13="on",Solids!G156,0)</f>
        <v>51400</v>
      </c>
      <c r="H53" s="180">
        <f>IF(Config!H$11="on",Dev!H156,0)+IF(Config!H$12="on",Pipeline!H156,0)+IF(Config!H$13="on",Solids!H156,0)</f>
        <v>51400</v>
      </c>
      <c r="I53" s="180">
        <f>IF(Config!I$11="on",Dev!I156,0)+IF(Config!I$12="on",Pipeline!I156,0)+IF(Config!I$13="on",Solids!I156,0)</f>
        <v>51400</v>
      </c>
      <c r="J53" s="180">
        <f>IF(Config!J$11="on",Dev!J156,0)+IF(Config!J$12="on",Pipeline!J156,0)+IF(Config!J$13="on",Solids!J156,0)</f>
        <v>51400</v>
      </c>
      <c r="K53" s="180">
        <f>IF(Config!K$11="on",Dev!K156,0)+IF(Config!K$12="on",Pipeline!K156,0)+IF(Config!K$13="on",Solids!K156,0)</f>
        <v>51400</v>
      </c>
      <c r="L53" s="180">
        <f>IF(Config!L$11="on",Dev!L156,0)+IF(Config!L$12="on",Pipeline!L156,0)+IF(Config!L$13="on",Solids!L156,0)</f>
        <v>51400</v>
      </c>
    </row>
    <row r="54" spans="2:12" x14ac:dyDescent="0.2">
      <c r="B54" s="49" t="s">
        <v>38</v>
      </c>
      <c r="C54" s="49"/>
      <c r="D54" s="49"/>
      <c r="E54" s="180">
        <f>IF(Config!E$11="on",Dev!E157,0)+IF(Config!E$12="on",Pipeline!E157,0)+IF(Config!E$13="on",Solids!E157,0)</f>
        <v>45804.979060931437</v>
      </c>
      <c r="F54" s="180">
        <f>IF(Config!F$11="on",Dev!F157,0)+IF(Config!F$12="on",Pipeline!F157,0)+IF(Config!F$13="on",Solids!F157,0)</f>
        <v>39238.256865518757</v>
      </c>
      <c r="G54" s="180">
        <f>IF(Config!G$11="on",Dev!G157,0)+IF(Config!G$12="on",Pipeline!G157,0)+IF(Config!G$13="on",Solids!G157,0)</f>
        <v>32277.531338381315</v>
      </c>
      <c r="H54" s="180">
        <f>IF(Config!H$11="on",Dev!H157,0)+IF(Config!H$12="on",Pipeline!H157,0)+IF(Config!H$13="on",Solids!H157,0)</f>
        <v>24899.162279615626</v>
      </c>
      <c r="I54" s="180">
        <f>IF(Config!I$11="on",Dev!I157,0)+IF(Config!I$12="on",Pipeline!I157,0)+IF(Config!I$13="on",Solids!I157,0)</f>
        <v>17078.091077323996</v>
      </c>
      <c r="J54" s="180">
        <f>IF(Config!J$11="on",Dev!J157,0)+IF(Config!J$12="on",Pipeline!J157,0)+IF(Config!J$13="on",Solids!J157,0)</f>
        <v>8787.7556028948693</v>
      </c>
      <c r="K54" s="180">
        <f>IF(Config!K$11="on",Dev!K157,0)+IF(Config!K$12="on",Pipeline!K157,0)+IF(Config!K$13="on",Solids!K157,0)</f>
        <v>0</v>
      </c>
      <c r="L54" s="180">
        <f>IF(Config!L$11="on",Dev!L157,0)+IF(Config!L$12="on",Pipeline!L157,0)+IF(Config!L$13="on",Solids!L157,0)</f>
        <v>0</v>
      </c>
    </row>
    <row r="55" spans="2:12" x14ac:dyDescent="0.2">
      <c r="B55" s="44" t="s">
        <v>87</v>
      </c>
      <c r="C55" s="44"/>
      <c r="D55" s="44"/>
      <c r="E55" s="180">
        <f>IF(Config!E$11="on",Dev!E158,0)+IF(Config!E$12="on",Pipeline!E158,0)+IF(Config!E$13="on",Solids!E158,0)</f>
        <v>0</v>
      </c>
      <c r="F55" s="180">
        <f>IF(Config!F$11="on",Dev!F158,0)+IF(Config!F$12="on",Pipeline!F158,0)+IF(Config!F$13="on",Solids!F158,0)</f>
        <v>0</v>
      </c>
      <c r="G55" s="180">
        <f>IF(Config!G$11="on",Dev!G158,0)+IF(Config!G$12="on",Pipeline!G158,0)+IF(Config!G$13="on",Solids!G158,0)</f>
        <v>0</v>
      </c>
      <c r="H55" s="180">
        <f>IF(Config!H$11="on",Dev!H158,0)+IF(Config!H$12="on",Pipeline!H158,0)+IF(Config!H$13="on",Solids!H158,0)</f>
        <v>0</v>
      </c>
      <c r="I55" s="180">
        <f>IF(Config!I$11="on",Dev!I158,0)+IF(Config!I$12="on",Pipeline!I158,0)+IF(Config!I$13="on",Solids!I158,0)</f>
        <v>0</v>
      </c>
      <c r="J55" s="180">
        <f>IF(Config!J$11="on",Dev!J158,0)+IF(Config!J$12="on",Pipeline!J158,0)+IF(Config!J$13="on",Solids!J158,0)</f>
        <v>0</v>
      </c>
      <c r="K55" s="180">
        <f>IF(Config!K$11="on",Dev!K158,0)+IF(Config!K$12="on",Pipeline!K158,0)+IF(Config!K$13="on",Solids!K158,0)</f>
        <v>0</v>
      </c>
      <c r="L55" s="180">
        <f>IF(Config!L$11="on",Dev!L158,0)+IF(Config!L$12="on",Pipeline!L158,0)+IF(Config!L$13="on",Solids!L158,0)</f>
        <v>0</v>
      </c>
    </row>
    <row r="56" spans="2:12" x14ac:dyDescent="0.2">
      <c r="B56" s="55" t="s">
        <v>39</v>
      </c>
      <c r="C56" s="55"/>
      <c r="D56" s="55"/>
      <c r="E56" s="184">
        <f>SUM(E52:E55)</f>
        <v>155300.00906093145</v>
      </c>
      <c r="F56" s="184">
        <f t="shared" ref="F56:L56" si="10">SUM(F52:F55)</f>
        <v>153437.00086751874</v>
      </c>
      <c r="G56" s="184">
        <f t="shared" si="10"/>
        <v>155085.53130749133</v>
      </c>
      <c r="H56" s="184">
        <f t="shared" si="10"/>
        <v>147152.78478513504</v>
      </c>
      <c r="I56" s="184">
        <f t="shared" si="10"/>
        <v>145405.8708450722</v>
      </c>
      <c r="J56" s="184">
        <f t="shared" si="10"/>
        <v>139054.66579105309</v>
      </c>
      <c r="K56" s="184">
        <f t="shared" si="10"/>
        <v>136265.727209448</v>
      </c>
      <c r="L56" s="184">
        <f t="shared" si="10"/>
        <v>138120.29551861863</v>
      </c>
    </row>
    <row r="57" spans="2:12" x14ac:dyDescent="0.2">
      <c r="B57" s="58" t="s">
        <v>40</v>
      </c>
      <c r="C57" s="58"/>
      <c r="D57" s="58"/>
      <c r="E57" s="180"/>
      <c r="F57" s="180"/>
      <c r="G57" s="180"/>
      <c r="H57" s="132"/>
      <c r="I57" s="132"/>
      <c r="J57" s="132"/>
      <c r="K57" s="132"/>
      <c r="L57" s="132"/>
    </row>
    <row r="58" spans="2:12" x14ac:dyDescent="0.2">
      <c r="B58" s="49" t="s">
        <v>41</v>
      </c>
      <c r="C58" s="49"/>
      <c r="D58" s="49"/>
      <c r="E58" s="180">
        <f>IF(Config!E$11="on",Dev!E161,0)+IF(Config!E$12="on",Pipeline!E161,0)+IF(Config!E$13="on",Solids!E161,0)</f>
        <v>15000</v>
      </c>
      <c r="F58" s="180">
        <f>IF(Config!F$11="on",Dev!F161,0)+IF(Config!F$12="on",Pipeline!F161,0)+IF(Config!F$13="on",Solids!F161,0)</f>
        <v>15000</v>
      </c>
      <c r="G58" s="180">
        <f>IF(Config!G$11="on",Dev!G161,0)+IF(Config!G$12="on",Pipeline!G161,0)+IF(Config!G$13="on",Solids!G161,0)</f>
        <v>15000</v>
      </c>
      <c r="H58" s="180">
        <f>IF(Config!H$11="on",Dev!H161,0)+IF(Config!H$12="on",Pipeline!H161,0)+IF(Config!H$13="on",Solids!H161,0)</f>
        <v>15000</v>
      </c>
      <c r="I58" s="180">
        <f>IF(Config!I$11="on",Dev!I161,0)+IF(Config!I$12="on",Pipeline!I161,0)+IF(Config!I$13="on",Solids!I161,0)</f>
        <v>15000</v>
      </c>
      <c r="J58" s="180">
        <f>IF(Config!J$11="on",Dev!J161,0)+IF(Config!J$12="on",Pipeline!J161,0)+IF(Config!J$13="on",Solids!J161,0)</f>
        <v>15000</v>
      </c>
      <c r="K58" s="180">
        <f>IF(Config!K$11="on",Dev!K161,0)+IF(Config!K$12="on",Pipeline!K161,0)+IF(Config!K$13="on",Solids!K161,0)</f>
        <v>15000</v>
      </c>
      <c r="L58" s="180">
        <f>IF(Config!L$11="on",Dev!L161,0)+IF(Config!L$12="on",Pipeline!L161,0)+IF(Config!L$13="on",Solids!L161,0)</f>
        <v>15000</v>
      </c>
    </row>
    <row r="59" spans="2:12" x14ac:dyDescent="0.2">
      <c r="B59" s="49" t="s">
        <v>42</v>
      </c>
      <c r="C59" s="49"/>
      <c r="D59" s="49"/>
      <c r="E59" s="180">
        <f>IF(Config!E$11="on",Dev!E162,0)+IF(Config!E$12="on",Pipeline!E162,0)+IF(Config!E$13="on",Solids!E162,0)</f>
        <v>113110</v>
      </c>
      <c r="F59" s="180">
        <f>IF(Config!F$11="on",Dev!F162,0)+IF(Config!F$12="on",Pipeline!F162,0)+IF(Config!F$13="on",Solids!F162,0)</f>
        <v>144224.84747256414</v>
      </c>
      <c r="G59" s="180">
        <f>IF(Config!G$11="on",Dev!G162,0)+IF(Config!G$12="on",Pipeline!G162,0)+IF(Config!G$13="on",Solids!G162,0)</f>
        <v>179884.98944755446</v>
      </c>
      <c r="H59" s="180">
        <f>IF(Config!H$11="on",Dev!H162,0)+IF(Config!H$12="on",Pipeline!H162,0)+IF(Config!H$13="on",Solids!H162,0)</f>
        <v>215032.52569562211</v>
      </c>
      <c r="I59" s="180">
        <f>IF(Config!I$11="on",Dev!I162,0)+IF(Config!I$12="on",Pipeline!I162,0)+IF(Config!I$13="on",Solids!I162,0)</f>
        <v>254159.56173092106</v>
      </c>
      <c r="J59" s="180">
        <f>IF(Config!J$11="on",Dev!J162,0)+IF(Config!J$12="on",Pipeline!J162,0)+IF(Config!J$13="on",Solids!J162,0)</f>
        <v>295525.01964406349</v>
      </c>
      <c r="K59" s="180">
        <f>IF(Config!K$11="on",Dev!K162,0)+IF(Config!K$12="on",Pipeline!K162,0)+IF(Config!K$13="on",Solids!K162,0)</f>
        <v>338764.92820236611</v>
      </c>
      <c r="L59" s="180">
        <f>IF(Config!L$11="on",Dev!L162,0)+IF(Config!L$12="on",Pipeline!L162,0)+IF(Config!L$13="on",Solids!L162,0)</f>
        <v>384938.2822208592</v>
      </c>
    </row>
    <row r="60" spans="2:12" x14ac:dyDescent="0.2">
      <c r="B60" s="51" t="s">
        <v>40</v>
      </c>
      <c r="C60" s="51"/>
      <c r="D60" s="51"/>
      <c r="E60" s="25">
        <f>SUM(E58:E59)</f>
        <v>128110</v>
      </c>
      <c r="F60" s="25">
        <f t="shared" ref="F60:L60" si="11">SUM(F58:F59)</f>
        <v>159224.84747256414</v>
      </c>
      <c r="G60" s="25">
        <f t="shared" si="11"/>
        <v>194884.98944755446</v>
      </c>
      <c r="H60" s="25">
        <f t="shared" si="11"/>
        <v>230032.52569562211</v>
      </c>
      <c r="I60" s="25">
        <f t="shared" si="11"/>
        <v>269159.56173092104</v>
      </c>
      <c r="J60" s="25">
        <f t="shared" si="11"/>
        <v>310525.01964406349</v>
      </c>
      <c r="K60" s="25">
        <f t="shared" si="11"/>
        <v>353764.92820236611</v>
      </c>
      <c r="L60" s="25">
        <f t="shared" si="11"/>
        <v>399938.2822208592</v>
      </c>
    </row>
    <row r="61" spans="2:12" ht="10.8" thickBot="1" x14ac:dyDescent="0.25">
      <c r="B61" s="56" t="s">
        <v>43</v>
      </c>
      <c r="C61" s="56"/>
      <c r="D61" s="56"/>
      <c r="E61" s="185">
        <f>E56+E60</f>
        <v>283410.00906093145</v>
      </c>
      <c r="F61" s="185">
        <f t="shared" ref="F61:L61" si="12">F56+F60</f>
        <v>312661.84834008291</v>
      </c>
      <c r="G61" s="185">
        <f t="shared" si="12"/>
        <v>349970.52075504581</v>
      </c>
      <c r="H61" s="185">
        <f t="shared" si="12"/>
        <v>377185.31048075715</v>
      </c>
      <c r="I61" s="185">
        <f t="shared" si="12"/>
        <v>414565.43257599324</v>
      </c>
      <c r="J61" s="185">
        <f t="shared" si="12"/>
        <v>449579.68543511658</v>
      </c>
      <c r="K61" s="185">
        <f t="shared" si="12"/>
        <v>490030.65541181411</v>
      </c>
      <c r="L61" s="185">
        <f t="shared" si="12"/>
        <v>538058.57773947786</v>
      </c>
    </row>
    <row r="62" spans="2:12" ht="10.8" thickTop="1" x14ac:dyDescent="0.2">
      <c r="B62" s="49"/>
      <c r="C62" s="49"/>
      <c r="D62" s="49"/>
      <c r="E62" s="26"/>
      <c r="F62" s="26"/>
      <c r="G62" s="26"/>
      <c r="H62" s="26"/>
      <c r="I62" s="26"/>
      <c r="J62" s="26"/>
      <c r="K62" s="26"/>
      <c r="L62" s="26"/>
    </row>
    <row r="63" spans="2:12" x14ac:dyDescent="0.2">
      <c r="B63" s="59" t="s">
        <v>44</v>
      </c>
      <c r="C63" s="59"/>
      <c r="D63" s="59"/>
      <c r="E63" s="5">
        <f>E61-E49</f>
        <v>-0.45141906855860725</v>
      </c>
      <c r="F63" s="5">
        <f>F61-F49</f>
        <v>-0.45141906861681491</v>
      </c>
      <c r="G63" s="5">
        <f>G61-G49</f>
        <v>-0.45141906850039959</v>
      </c>
      <c r="H63" s="5">
        <f t="shared" ref="H63:L63" si="13">H61-H49</f>
        <v>-0.45141906861681491</v>
      </c>
      <c r="I63" s="5">
        <f t="shared" si="13"/>
        <v>-0.45141906861681491</v>
      </c>
      <c r="J63" s="5">
        <f t="shared" si="13"/>
        <v>-0.45141906861681491</v>
      </c>
      <c r="K63" s="5">
        <f t="shared" si="13"/>
        <v>-0.45141906855860725</v>
      </c>
      <c r="L63" s="5">
        <f t="shared" si="13"/>
        <v>-0.45141906861681491</v>
      </c>
    </row>
    <row r="64" spans="2:12" x14ac:dyDescent="0.2">
      <c r="B64" s="59"/>
      <c r="C64" s="59"/>
      <c r="D64" s="59"/>
      <c r="E64" s="5"/>
      <c r="F64" s="5"/>
      <c r="G64" s="5"/>
    </row>
    <row r="65" spans="2:12" x14ac:dyDescent="0.2">
      <c r="B65" s="59"/>
      <c r="C65" s="59"/>
      <c r="D65" s="59"/>
      <c r="E65" s="5"/>
      <c r="F65" s="5"/>
      <c r="G65" s="5"/>
    </row>
    <row r="66" spans="2:12" x14ac:dyDescent="0.2">
      <c r="B66" s="60" t="s">
        <v>45</v>
      </c>
      <c r="C66" s="60"/>
      <c r="D66" s="60"/>
      <c r="E66" s="36">
        <f>E$7</f>
        <v>2020</v>
      </c>
      <c r="F66" s="36">
        <f t="shared" ref="F66:L66" si="14">F$7</f>
        <v>2021</v>
      </c>
      <c r="G66" s="36">
        <f t="shared" si="14"/>
        <v>2022</v>
      </c>
      <c r="H66" s="36">
        <f t="shared" si="14"/>
        <v>2023</v>
      </c>
      <c r="I66" s="36">
        <f t="shared" si="14"/>
        <v>2024</v>
      </c>
      <c r="J66" s="36">
        <f t="shared" si="14"/>
        <v>2025</v>
      </c>
      <c r="K66" s="36">
        <f t="shared" si="14"/>
        <v>2026</v>
      </c>
      <c r="L66" s="36">
        <f t="shared" si="14"/>
        <v>2027</v>
      </c>
    </row>
    <row r="67" spans="2:12" x14ac:dyDescent="0.2">
      <c r="B67" s="58" t="s">
        <v>46</v>
      </c>
      <c r="C67" s="58"/>
      <c r="D67" s="58"/>
      <c r="E67" s="26"/>
      <c r="F67" s="26"/>
      <c r="G67" s="26"/>
    </row>
    <row r="68" spans="2:12" x14ac:dyDescent="0.2">
      <c r="B68" s="49" t="s">
        <v>26</v>
      </c>
      <c r="C68" s="49"/>
      <c r="D68" s="49"/>
      <c r="E68" s="180">
        <f>IF(Config!E$11="on",Dev!E171,0)+IF(Config!E$12="on",Pipeline!E171,0)+IF(Config!E$13="on",Solids!E171,0)</f>
        <v>21606.027480000001</v>
      </c>
      <c r="F68" s="180">
        <f>IF(Config!F$11="on",Dev!F171,0)+IF(Config!F$12="on",Pipeline!F171,0)+IF(Config!F$13="on",Solids!F171,0)</f>
        <v>31114.84747256415</v>
      </c>
      <c r="G68" s="180">
        <f>IF(Config!G$11="on",Dev!G171,0)+IF(Config!G$12="on",Pipeline!G171,0)+IF(Config!G$13="on",Solids!G171,0)</f>
        <v>35660.141974990293</v>
      </c>
      <c r="H68" s="180">
        <f>IF(Config!H$11="on",Dev!H171,0)+IF(Config!H$12="on",Pipeline!H171,0)+IF(Config!H$13="on",Solids!H171,0)</f>
        <v>35147.536248067685</v>
      </c>
      <c r="I68" s="180">
        <f>IF(Config!I$11="on",Dev!I171,0)+IF(Config!I$12="on",Pipeline!I171,0)+IF(Config!I$13="on",Solids!I171,0)</f>
        <v>39127.036035298937</v>
      </c>
      <c r="J68" s="180">
        <f>IF(Config!J$11="on",Dev!J171,0)+IF(Config!J$12="on",Pipeline!J171,0)+IF(Config!J$13="on",Solids!J171,0)</f>
        <v>41365.457913142454</v>
      </c>
      <c r="K68" s="180">
        <f>IF(Config!K$11="on",Dev!K171,0)+IF(Config!K$12="on",Pipeline!K171,0)+IF(Config!K$13="on",Solids!K171,0)</f>
        <v>43239.908558302566</v>
      </c>
      <c r="L68" s="180">
        <f>IF(Config!L$11="on",Dev!L171,0)+IF(Config!L$12="on",Pipeline!L171,0)+IF(Config!L$13="on",Solids!L171,0)</f>
        <v>46173.354018493177</v>
      </c>
    </row>
    <row r="69" spans="2:12" x14ac:dyDescent="0.2">
      <c r="B69" s="49" t="s">
        <v>47</v>
      </c>
      <c r="C69" s="49"/>
      <c r="D69" s="49"/>
      <c r="E69" s="180">
        <f>IF(Config!E$11="on",Dev!E172,0)+IF(Config!E$12="on",Pipeline!E172,0)+IF(Config!E$13="on",Solids!E172,0)</f>
        <v>45779.402999999998</v>
      </c>
      <c r="F69" s="180">
        <f>IF(Config!F$11="on",Dev!F172,0)+IF(Config!F$12="on",Pipeline!F172,0)+IF(Config!F$13="on",Solids!F172,0)</f>
        <v>44982.368562000003</v>
      </c>
      <c r="G69" s="180">
        <f>IF(Config!G$11="on",Dev!G172,0)+IF(Config!G$12="on",Pipeline!G172,0)+IF(Config!G$13="on",Solids!G172,0)</f>
        <v>47857.620384294001</v>
      </c>
      <c r="H69" s="180">
        <f>IF(Config!H$11="on",Dev!H172,0)+IF(Config!H$12="on",Pipeline!H172,0)+IF(Config!H$13="on",Solids!H172,0)</f>
        <v>54099.789315512397</v>
      </c>
      <c r="I69" s="180">
        <f>IF(Config!I$11="on",Dev!I172,0)+IF(Config!I$12="on",Pipeline!I172,0)+IF(Config!I$13="on",Solids!I172,0)</f>
        <v>54760.263528697244</v>
      </c>
      <c r="J69" s="180">
        <f>IF(Config!J$11="on",Dev!J172,0)+IF(Config!J$12="on",Pipeline!J172,0)+IF(Config!J$13="on",Solids!J172,0)</f>
        <v>57514.824074284297</v>
      </c>
      <c r="K69" s="180">
        <f>IF(Config!K$11="on",Dev!K172,0)+IF(Config!K$12="on",Pipeline!K172,0)+IF(Config!K$13="on",Solids!K172,0)</f>
        <v>61130.341474919085</v>
      </c>
      <c r="L69" s="180">
        <f>IF(Config!L$11="on",Dev!L172,0)+IF(Config!L$12="on",Pipeline!L172,0)+IF(Config!L$13="on",Solids!L172,0)</f>
        <v>63662.934052657205</v>
      </c>
    </row>
    <row r="70" spans="2:12" x14ac:dyDescent="0.2">
      <c r="B70" s="49" t="s">
        <v>48</v>
      </c>
      <c r="C70" s="49"/>
      <c r="D70" s="49"/>
      <c r="E70" s="180">
        <f>IF(Config!E$11="on",Dev!E173,0)+IF(Config!E$12="on",Pipeline!E173,0)+IF(Config!E$13="on",Solids!E173,0)</f>
        <v>3120</v>
      </c>
      <c r="F70" s="180">
        <f>IF(Config!F$11="on",Dev!F173,0)+IF(Config!F$12="on",Pipeline!F173,0)+IF(Config!F$13="on",Solids!F173,0)</f>
        <v>2748.2987436558856</v>
      </c>
      <c r="G70" s="180">
        <f>IF(Config!G$11="on",Dev!G173,0)+IF(Config!G$12="on",Pipeline!G173,0)+IF(Config!G$13="on",Solids!G173,0)</f>
        <v>2354.2954119311257</v>
      </c>
      <c r="H70" s="180">
        <f>IF(Config!H$11="on",Dev!H173,0)+IF(Config!H$12="on",Pipeline!H173,0)+IF(Config!H$13="on",Solids!H173,0)</f>
        <v>1936.6518803028791</v>
      </c>
      <c r="I70" s="180">
        <f>IF(Config!I$11="on",Dev!I173,0)+IF(Config!I$12="on",Pipeline!I173,0)+IF(Config!I$13="on",Solids!I173,0)</f>
        <v>1493.9497367769375</v>
      </c>
      <c r="J70" s="180">
        <f>IF(Config!J$11="on",Dev!J173,0)+IF(Config!J$12="on",Pipeline!J173,0)+IF(Config!J$13="on",Solids!J173,0)</f>
        <v>1024.6854646394399</v>
      </c>
      <c r="K70" s="180">
        <f>IF(Config!K$11="on",Dev!K173,0)+IF(Config!K$12="on",Pipeline!K173,0)+IF(Config!K$13="on",Solids!K173,0)</f>
        <v>527.2653361736925</v>
      </c>
      <c r="L70" s="180">
        <f>IF(Config!L$11="on",Dev!L173,0)+IF(Config!L$12="on",Pipeline!L173,0)+IF(Config!L$13="on",Solids!L173,0)</f>
        <v>0</v>
      </c>
    </row>
    <row r="71" spans="2:12" x14ac:dyDescent="0.2">
      <c r="B71" s="49" t="s">
        <v>49</v>
      </c>
      <c r="C71" s="49"/>
      <c r="D71" s="49"/>
      <c r="E71" s="180">
        <f>IF(Config!E$11="on",Dev!E174,0)+IF(Config!E$12="on",Pipeline!E174,0)+IF(Config!E$13="on",Solids!E174,0)</f>
        <v>-47579.18</v>
      </c>
      <c r="F71" s="180">
        <f>IF(Config!F$11="on",Dev!F174,0)+IF(Config!F$12="on",Pipeline!F174,0)+IF(Config!F$13="on",Solids!F174,0)</f>
        <v>4176.0885120000021</v>
      </c>
      <c r="G71" s="180">
        <f>IF(Config!G$11="on",Dev!G174,0)+IF(Config!G$12="on",Pipeline!G174,0)+IF(Config!G$13="on",Solids!G174,0)</f>
        <v>-1223.1680263340022</v>
      </c>
      <c r="H71" s="180">
        <f>IF(Config!H$11="on",Dev!H174,0)+IF(Config!H$12="on",Pipeline!H174,0)+IF(Config!H$13="on",Solids!H174,0)</f>
        <v>1829.2832481507321</v>
      </c>
      <c r="I71" s="180">
        <f>IF(Config!I$11="on",Dev!I174,0)+IF(Config!I$12="on",Pipeline!I174,0)+IF(Config!I$13="on",Solids!I174,0)</f>
        <v>-180.43938386042828</v>
      </c>
      <c r="J71" s="180">
        <f>IF(Config!J$11="on",Dev!J174,0)+IF(Config!J$12="on",Pipeline!J174,0)+IF(Config!J$13="on",Solids!J174,0)</f>
        <v>1564.0423031283626</v>
      </c>
      <c r="K71" s="180">
        <f>IF(Config!K$11="on",Dev!K174,0)+IF(Config!K$12="on",Pipeline!K174,0)+IF(Config!K$13="on",Solids!K174,0)</f>
        <v>-247.38037941713083</v>
      </c>
      <c r="L71" s="180">
        <f>IF(Config!L$11="on",Dev!L174,0)+IF(Config!L$12="on",Pipeline!L174,0)+IF(Config!L$13="on",Solids!L174,0)</f>
        <v>1851.3856493127569</v>
      </c>
    </row>
    <row r="72" spans="2:12" x14ac:dyDescent="0.2">
      <c r="B72" s="51" t="s">
        <v>50</v>
      </c>
      <c r="C72" s="51"/>
      <c r="D72" s="51"/>
      <c r="E72" s="25">
        <f>E68+E69+E70-E71</f>
        <v>118084.61048</v>
      </c>
      <c r="F72" s="25">
        <f t="shared" ref="F72:L72" si="15">F68+F69+F70-F71</f>
        <v>74669.426266220049</v>
      </c>
      <c r="G72" s="25">
        <f t="shared" si="15"/>
        <v>87095.225797549443</v>
      </c>
      <c r="H72" s="25">
        <f t="shared" si="15"/>
        <v>89354.694195732227</v>
      </c>
      <c r="I72" s="25">
        <f t="shared" si="15"/>
        <v>95561.68868463354</v>
      </c>
      <c r="J72" s="25">
        <f t="shared" si="15"/>
        <v>98340.925148937822</v>
      </c>
      <c r="K72" s="25">
        <f t="shared" si="15"/>
        <v>105144.89574881246</v>
      </c>
      <c r="L72" s="25">
        <f t="shared" si="15"/>
        <v>107984.90242183763</v>
      </c>
    </row>
    <row r="73" spans="2:12" x14ac:dyDescent="0.2">
      <c r="B73" s="52"/>
      <c r="C73" s="52"/>
      <c r="D73" s="52"/>
      <c r="E73" s="182"/>
      <c r="F73" s="182"/>
      <c r="G73" s="182"/>
      <c r="H73" s="132"/>
      <c r="I73" s="132"/>
      <c r="J73" s="132"/>
      <c r="K73" s="132"/>
      <c r="L73" s="132"/>
    </row>
    <row r="74" spans="2:12" x14ac:dyDescent="0.2">
      <c r="B74" s="58" t="s">
        <v>51</v>
      </c>
      <c r="C74" s="58"/>
      <c r="D74" s="58"/>
      <c r="E74" s="181"/>
      <c r="F74" s="181"/>
      <c r="G74" s="181"/>
      <c r="H74" s="132"/>
      <c r="I74" s="132"/>
      <c r="J74" s="132"/>
      <c r="K74" s="132"/>
      <c r="L74" s="132"/>
    </row>
    <row r="75" spans="2:12" x14ac:dyDescent="0.2">
      <c r="B75" s="49" t="s">
        <v>52</v>
      </c>
      <c r="C75" s="49"/>
      <c r="D75" s="49"/>
      <c r="E75" s="180">
        <f>IF(Config!E$11="on",Dev!E178,0)+IF(Config!E$12="on",Pipeline!E178,0)+IF(Config!E$13="on",Solids!E178,0)</f>
        <v>-72955</v>
      </c>
      <c r="F75" s="180">
        <f>IF(Config!F$11="on",Dev!F178,0)+IF(Config!F$12="on",Pipeline!F178,0)+IF(Config!F$13="on",Solids!F178,0)</f>
        <v>-65879.368562000003</v>
      </c>
      <c r="G75" s="180">
        <f>IF(Config!G$11="on",Dev!G178,0)+IF(Config!G$12="on",Pipeline!G178,0)+IF(Config!G$13="on",Solids!G178,0)</f>
        <v>-65784.620384294001</v>
      </c>
      <c r="H75" s="180">
        <f>IF(Config!H$11="on",Dev!H178,0)+IF(Config!H$12="on",Pipeline!H178,0)+IF(Config!H$13="on",Solids!H178,0)</f>
        <v>-54099.789315512397</v>
      </c>
      <c r="I75" s="180">
        <f>IF(Config!I$11="on",Dev!I178,0)+IF(Config!I$12="on",Pipeline!I178,0)+IF(Config!I$13="on",Solids!I178,0)</f>
        <v>-54760.263528697244</v>
      </c>
      <c r="J75" s="180">
        <f>IF(Config!J$11="on",Dev!J178,0)+IF(Config!J$12="on",Pipeline!J178,0)+IF(Config!J$13="on",Solids!J178,0)</f>
        <v>-57514.824074284297</v>
      </c>
      <c r="K75" s="180">
        <f>IF(Config!K$11="on",Dev!K178,0)+IF(Config!K$12="on",Pipeline!K178,0)+IF(Config!K$13="on",Solids!K178,0)</f>
        <v>-61130.341474919085</v>
      </c>
      <c r="L75" s="180">
        <f>IF(Config!L$11="on",Dev!L178,0)+IF(Config!L$12="on",Pipeline!L178,0)+IF(Config!L$13="on",Solids!L178,0)</f>
        <v>-63662.934052657205</v>
      </c>
    </row>
    <row r="76" spans="2:12" x14ac:dyDescent="0.2">
      <c r="B76" s="49" t="s">
        <v>78</v>
      </c>
      <c r="C76" s="49"/>
      <c r="D76" s="49"/>
      <c r="E76" s="180">
        <f>IF(Config!E$11="on",Dev!E179,0)+IF(Config!E$12="on",Pipeline!E179,0)+IF(Config!E$13="on",Solids!E179,0)</f>
        <v>0</v>
      </c>
      <c r="F76" s="180">
        <f>IF(Config!F$11="on",Dev!F179,0)+IF(Config!F$12="on",Pipeline!F179,0)+IF(Config!F$13="on",Solids!F179,0)</f>
        <v>0</v>
      </c>
      <c r="G76" s="180">
        <f>IF(Config!G$11="on",Dev!G179,0)+IF(Config!G$12="on",Pipeline!G179,0)+IF(Config!G$13="on",Solids!G179,0)</f>
        <v>0</v>
      </c>
      <c r="H76" s="180">
        <f>IF(Config!H$11="on",Dev!H179,0)+IF(Config!H$12="on",Pipeline!H179,0)+IF(Config!H$13="on",Solids!H179,0)</f>
        <v>0</v>
      </c>
      <c r="I76" s="180">
        <f>IF(Config!I$11="on",Dev!I179,0)+IF(Config!I$12="on",Pipeline!I179,0)+IF(Config!I$13="on",Solids!I179,0)</f>
        <v>0</v>
      </c>
      <c r="J76" s="180">
        <f>IF(Config!J$11="on",Dev!J179,0)+IF(Config!J$12="on",Pipeline!J179,0)+IF(Config!J$13="on",Solids!J179,0)</f>
        <v>0</v>
      </c>
      <c r="K76" s="180">
        <f>IF(Config!K$11="on",Dev!K179,0)+IF(Config!K$12="on",Pipeline!K179,0)+IF(Config!K$13="on",Solids!K179,0)</f>
        <v>0</v>
      </c>
      <c r="L76" s="180">
        <f>IF(Config!L$11="on",Dev!L179,0)+IF(Config!L$12="on",Pipeline!L179,0)+IF(Config!L$13="on",Solids!L179,0)</f>
        <v>0</v>
      </c>
    </row>
    <row r="77" spans="2:12" x14ac:dyDescent="0.2">
      <c r="B77" s="49" t="s">
        <v>79</v>
      </c>
      <c r="C77" s="49"/>
      <c r="D77" s="49"/>
      <c r="E77" s="180">
        <f>IF(Config!E$11="on",Dev!E180,0)+IF(Config!E$12="on",Pipeline!E180,0)+IF(Config!E$13="on",Solids!E180,0)</f>
        <v>0</v>
      </c>
      <c r="F77" s="180">
        <f>IF(Config!F$11="on",Dev!F180,0)+IF(Config!F$12="on",Pipeline!F180,0)+IF(Config!F$13="on",Solids!F180,0)</f>
        <v>0</v>
      </c>
      <c r="G77" s="180">
        <f>IF(Config!G$11="on",Dev!G180,0)+IF(Config!G$12="on",Pipeline!G180,0)+IF(Config!G$13="on",Solids!G180,0)</f>
        <v>0</v>
      </c>
      <c r="H77" s="180">
        <f>IF(Config!H$11="on",Dev!H180,0)+IF(Config!H$12="on",Pipeline!H180,0)+IF(Config!H$13="on",Solids!H180,0)</f>
        <v>0</v>
      </c>
      <c r="I77" s="180">
        <f>IF(Config!I$11="on",Dev!I180,0)+IF(Config!I$12="on",Pipeline!I180,0)+IF(Config!I$13="on",Solids!I180,0)</f>
        <v>0</v>
      </c>
      <c r="J77" s="180">
        <f>IF(Config!J$11="on",Dev!J180,0)+IF(Config!J$12="on",Pipeline!J180,0)+IF(Config!J$13="on",Solids!J180,0)</f>
        <v>0</v>
      </c>
      <c r="K77" s="180">
        <f>IF(Config!K$11="on",Dev!K180,0)+IF(Config!K$12="on",Pipeline!K180,0)+IF(Config!K$13="on",Solids!K180,0)</f>
        <v>0</v>
      </c>
      <c r="L77" s="180">
        <f>IF(Config!L$11="on",Dev!L180,0)+IF(Config!L$12="on",Pipeline!L180,0)+IF(Config!L$13="on",Solids!L180,0)</f>
        <v>0</v>
      </c>
    </row>
    <row r="78" spans="2:12" x14ac:dyDescent="0.2">
      <c r="B78" s="49" t="s">
        <v>88</v>
      </c>
      <c r="C78" s="49"/>
      <c r="D78" s="49"/>
      <c r="E78" s="180">
        <f>IF(Config!E$11="on",Dev!E181,0)+IF(Config!E$12="on",Pipeline!E181,0)+IF(Config!E$13="on",Solids!E181,0)</f>
        <v>-50000</v>
      </c>
      <c r="F78" s="180">
        <f>IF(Config!F$11="on",Dev!F181,0)+IF(Config!F$12="on",Pipeline!F181,0)+IF(Config!F$13="on",Solids!F181,0)</f>
        <v>0</v>
      </c>
      <c r="G78" s="180">
        <f>IF(Config!G$11="on",Dev!G181,0)+IF(Config!G$12="on",Pipeline!G181,0)+IF(Config!G$13="on",Solids!G181,0)</f>
        <v>0</v>
      </c>
      <c r="H78" s="180">
        <f>IF(Config!H$11="on",Dev!H181,0)+IF(Config!H$12="on",Pipeline!H181,0)+IF(Config!H$13="on",Solids!H181,0)</f>
        <v>0</v>
      </c>
      <c r="I78" s="180">
        <f>IF(Config!I$11="on",Dev!I181,0)+IF(Config!I$12="on",Pipeline!I181,0)+IF(Config!I$13="on",Solids!I181,0)</f>
        <v>0</v>
      </c>
      <c r="J78" s="180">
        <f>IF(Config!J$11="on",Dev!J181,0)+IF(Config!J$12="on",Pipeline!J181,0)+IF(Config!J$13="on",Solids!J181,0)</f>
        <v>0</v>
      </c>
      <c r="K78" s="180">
        <f>IF(Config!K$11="on",Dev!K181,0)+IF(Config!K$12="on",Pipeline!K181,0)+IF(Config!K$13="on",Solids!K181,0)</f>
        <v>0</v>
      </c>
      <c r="L78" s="180">
        <f>IF(Config!L$11="on",Dev!L181,0)+IF(Config!L$12="on",Pipeline!L181,0)+IF(Config!L$13="on",Solids!L181,0)</f>
        <v>0</v>
      </c>
    </row>
    <row r="79" spans="2:12" x14ac:dyDescent="0.2">
      <c r="B79" s="61" t="s">
        <v>54</v>
      </c>
      <c r="C79" s="61"/>
      <c r="D79" s="61"/>
      <c r="E79" s="25">
        <f>SUM(E75:E78)</f>
        <v>-122955</v>
      </c>
      <c r="F79" s="25">
        <f t="shared" ref="F79:L79" si="16">SUM(F75:F78)</f>
        <v>-65879.368562000003</v>
      </c>
      <c r="G79" s="25">
        <f t="shared" si="16"/>
        <v>-65784.620384294001</v>
      </c>
      <c r="H79" s="25">
        <f t="shared" si="16"/>
        <v>-54099.789315512397</v>
      </c>
      <c r="I79" s="25">
        <f t="shared" si="16"/>
        <v>-54760.263528697244</v>
      </c>
      <c r="J79" s="25">
        <f t="shared" si="16"/>
        <v>-57514.824074284297</v>
      </c>
      <c r="K79" s="25">
        <f t="shared" si="16"/>
        <v>-61130.341474919085</v>
      </c>
      <c r="L79" s="25">
        <f t="shared" si="16"/>
        <v>-63662.934052657205</v>
      </c>
    </row>
    <row r="80" spans="2:12" x14ac:dyDescent="0.2">
      <c r="B80" s="52"/>
      <c r="C80" s="52"/>
      <c r="D80" s="52"/>
      <c r="E80" s="182"/>
      <c r="F80" s="182"/>
      <c r="G80" s="182"/>
      <c r="H80" s="132"/>
      <c r="I80" s="132"/>
      <c r="J80" s="132"/>
      <c r="K80" s="132"/>
      <c r="L80" s="132"/>
    </row>
    <row r="81" spans="2:12" x14ac:dyDescent="0.2">
      <c r="B81" s="58" t="s">
        <v>55</v>
      </c>
      <c r="C81" s="58"/>
      <c r="D81" s="58"/>
      <c r="E81" s="181"/>
      <c r="F81" s="181"/>
      <c r="G81" s="181"/>
      <c r="H81" s="132"/>
      <c r="I81" s="132"/>
      <c r="J81" s="132"/>
      <c r="K81" s="132"/>
      <c r="L81" s="132"/>
    </row>
    <row r="82" spans="2:12" x14ac:dyDescent="0.2">
      <c r="B82" s="49" t="s">
        <v>56</v>
      </c>
      <c r="C82" s="49"/>
      <c r="D82" s="49"/>
      <c r="E82" s="180">
        <f>IF(Config!E$11="on",Dev!E185,0)+IF(Config!E$12="on",Pipeline!E185,0)+IF(Config!E$13="on",Solids!E185,0)</f>
        <v>48880</v>
      </c>
      <c r="F82" s="180">
        <f>IF(Config!F$11="on",Dev!F185,0)+IF(Config!F$12="on",Pipeline!F185,0)+IF(Config!F$13="on",Solids!F185,0)</f>
        <v>-9315.0209390685668</v>
      </c>
      <c r="G82" s="180">
        <f>IF(Config!G$11="on",Dev!G185,0)+IF(Config!G$12="on",Pipeline!G185,0)+IF(Config!G$13="on",Solids!G185,0)</f>
        <v>-9315.0209390685686</v>
      </c>
      <c r="H82" s="180">
        <f>IF(Config!H$11="on",Dev!H185,0)+IF(Config!H$12="on",Pipeline!H185,0)+IF(Config!H$13="on",Solids!H185,0)</f>
        <v>-9315.0209390685668</v>
      </c>
      <c r="I82" s="180">
        <f>IF(Config!I$11="on",Dev!I185,0)+IF(Config!I$12="on",Pipeline!I185,0)+IF(Config!I$13="on",Solids!I185,0)</f>
        <v>-9315.0209390685668</v>
      </c>
      <c r="J82" s="180">
        <f>IF(Config!J$11="on",Dev!J185,0)+IF(Config!J$12="on",Pipeline!J185,0)+IF(Config!J$13="on",Solids!J185,0)</f>
        <v>-9315.0209390685668</v>
      </c>
      <c r="K82" s="180">
        <f>IF(Config!K$11="on",Dev!K185,0)+IF(Config!K$12="on",Pipeline!K185,0)+IF(Config!K$13="on",Solids!K185,0)</f>
        <v>-9315.0209390685668</v>
      </c>
      <c r="L82" s="180">
        <f>IF(Config!L$11="on",Dev!L185,0)+IF(Config!L$12="on",Pipeline!L185,0)+IF(Config!L$13="on",Solids!L185,0)</f>
        <v>0</v>
      </c>
    </row>
    <row r="83" spans="2:12" x14ac:dyDescent="0.2">
      <c r="B83" s="49" t="s">
        <v>57</v>
      </c>
      <c r="C83" s="49"/>
      <c r="D83" s="49"/>
      <c r="E83" s="180">
        <f>IF(Config!E$11="on",Dev!E186,0)+IF(Config!E$12="on",Pipeline!E186,0)+IF(Config!E$13="on",Solids!E186,0)</f>
        <v>0</v>
      </c>
      <c r="F83" s="180">
        <f>IF(Config!F$11="on",Dev!F186,0)+IF(Config!F$12="on",Pipeline!F186,0)+IF(Config!F$13="on",Solids!F186,0)</f>
        <v>0</v>
      </c>
      <c r="G83" s="180">
        <f>IF(Config!G$11="on",Dev!G186,0)+IF(Config!G$12="on",Pipeline!G186,0)+IF(Config!G$13="on",Solids!G186,0)</f>
        <v>0</v>
      </c>
      <c r="H83" s="180">
        <f>IF(Config!H$11="on",Dev!H186,0)+IF(Config!H$12="on",Pipeline!H186,0)+IF(Config!H$13="on",Solids!H186,0)</f>
        <v>0</v>
      </c>
      <c r="I83" s="180">
        <f>IF(Config!I$11="on",Dev!I186,0)+IF(Config!I$12="on",Pipeline!I186,0)+IF(Config!I$13="on",Solids!I186,0)</f>
        <v>0</v>
      </c>
      <c r="J83" s="180">
        <f>IF(Config!J$11="on",Dev!J186,0)+IF(Config!J$12="on",Pipeline!J186,0)+IF(Config!J$13="on",Solids!J186,0)</f>
        <v>0</v>
      </c>
      <c r="K83" s="180">
        <f>IF(Config!K$11="on",Dev!K186,0)+IF(Config!K$12="on",Pipeline!K186,0)+IF(Config!K$13="on",Solids!K186,0)</f>
        <v>0</v>
      </c>
      <c r="L83" s="180">
        <f>IF(Config!L$11="on",Dev!L186,0)+IF(Config!L$12="on",Pipeline!L186,0)+IF(Config!L$13="on",Solids!L186,0)</f>
        <v>0</v>
      </c>
    </row>
    <row r="84" spans="2:12" x14ac:dyDescent="0.2">
      <c r="B84" s="61" t="s">
        <v>58</v>
      </c>
      <c r="C84" s="61"/>
      <c r="D84" s="61"/>
      <c r="E84" s="25">
        <f>SUM(E82:E83)</f>
        <v>48880</v>
      </c>
      <c r="F84" s="25">
        <f t="shared" ref="F84:L84" si="17">SUM(F82:F83)</f>
        <v>-9315.0209390685668</v>
      </c>
      <c r="G84" s="25">
        <f t="shared" si="17"/>
        <v>-9315.0209390685686</v>
      </c>
      <c r="H84" s="25">
        <f t="shared" si="17"/>
        <v>-9315.0209390685668</v>
      </c>
      <c r="I84" s="25">
        <f t="shared" si="17"/>
        <v>-9315.0209390685668</v>
      </c>
      <c r="J84" s="25">
        <f t="shared" si="17"/>
        <v>-9315.0209390685668</v>
      </c>
      <c r="K84" s="25">
        <f t="shared" si="17"/>
        <v>-9315.0209390685668</v>
      </c>
      <c r="L84" s="25">
        <f t="shared" si="17"/>
        <v>0</v>
      </c>
    </row>
    <row r="85" spans="2:12" x14ac:dyDescent="0.2">
      <c r="B85" s="52"/>
      <c r="C85" s="52"/>
      <c r="D85" s="52"/>
      <c r="E85" s="182"/>
      <c r="F85" s="182"/>
      <c r="G85" s="182"/>
      <c r="H85" s="182"/>
      <c r="I85" s="182"/>
      <c r="J85" s="182"/>
      <c r="K85" s="182"/>
      <c r="L85" s="182"/>
    </row>
    <row r="86" spans="2:12" x14ac:dyDescent="0.2">
      <c r="B86" s="51" t="s">
        <v>59</v>
      </c>
      <c r="C86" s="51"/>
      <c r="D86" s="51"/>
      <c r="E86" s="25">
        <f>E72+E79+E84</f>
        <v>44009.610480000003</v>
      </c>
      <c r="F86" s="25">
        <f t="shared" ref="F86:L86" si="18">F72+F79+F84</f>
        <v>-524.9632348485211</v>
      </c>
      <c r="G86" s="25">
        <f t="shared" si="18"/>
        <v>11995.584474186873</v>
      </c>
      <c r="H86" s="25">
        <f t="shared" si="18"/>
        <v>25939.883941151264</v>
      </c>
      <c r="I86" s="25">
        <f t="shared" si="18"/>
        <v>31486.40421686773</v>
      </c>
      <c r="J86" s="25">
        <f t="shared" si="18"/>
        <v>31511.080135584958</v>
      </c>
      <c r="K86" s="25">
        <f t="shared" si="18"/>
        <v>34699.53333482481</v>
      </c>
      <c r="L86" s="25">
        <f t="shared" si="18"/>
        <v>44321.968369180424</v>
      </c>
    </row>
    <row r="87" spans="2:12" x14ac:dyDescent="0.2">
      <c r="B87" s="49" t="s">
        <v>60</v>
      </c>
      <c r="C87" s="49"/>
      <c r="D87" s="49"/>
      <c r="E87" s="180">
        <f>IF(Config!E$11="on",Dev!E190,0)+IF(Config!E$12="on",Pipeline!E190,0)+IF(Config!E$13="on",Solids!E190,0)</f>
        <v>25684</v>
      </c>
      <c r="F87" s="180">
        <f>IF(Config!F$11="on",Dev!F190,0)+IF(Config!F$12="on",Pipeline!F190,0)+IF(Config!F$13="on",Solids!F190,0)</f>
        <v>69693.610480000003</v>
      </c>
      <c r="G87" s="180">
        <f>IF(Config!G$11="on",Dev!G190,0)+IF(Config!G$12="on",Pipeline!G190,0)+IF(Config!G$13="on",Solids!G190,0)</f>
        <v>69168.647245151486</v>
      </c>
      <c r="H87" s="180">
        <f>IF(Config!H$11="on",Dev!H190,0)+IF(Config!H$12="on",Pipeline!H190,0)+IF(Config!H$13="on",Solids!H190,0)</f>
        <v>81164.231719338335</v>
      </c>
      <c r="I87" s="180">
        <f>IF(Config!I$11="on",Dev!I190,0)+IF(Config!I$12="on",Pipeline!I190,0)+IF(Config!I$13="on",Solids!I190,0)</f>
        <v>107104.1156604896</v>
      </c>
      <c r="J87" s="180">
        <f>IF(Config!J$11="on",Dev!J190,0)+IF(Config!J$12="on",Pipeline!J190,0)+IF(Config!J$13="on",Solids!J190,0)</f>
        <v>138590.51987735735</v>
      </c>
      <c r="K87" s="180">
        <f>IF(Config!K$11="on",Dev!K190,0)+IF(Config!K$12="on",Pipeline!K190,0)+IF(Config!K$13="on",Solids!K190,0)</f>
        <v>170101.6000129423</v>
      </c>
      <c r="L87" s="180">
        <f>IF(Config!L$11="on",Dev!L190,0)+IF(Config!L$12="on",Pipeline!L190,0)+IF(Config!L$13="on",Solids!L190,0)</f>
        <v>204801.13334776714</v>
      </c>
    </row>
    <row r="88" spans="2:12" ht="10.8" thickBot="1" x14ac:dyDescent="0.25">
      <c r="B88" s="53" t="s">
        <v>61</v>
      </c>
      <c r="C88" s="53"/>
      <c r="D88" s="53"/>
      <c r="E88" s="183">
        <f>SUM(E86:E87)</f>
        <v>69693.610480000003</v>
      </c>
      <c r="F88" s="183">
        <f t="shared" ref="F88:L88" si="19">SUM(F86:F87)</f>
        <v>69168.647245151486</v>
      </c>
      <c r="G88" s="183">
        <f t="shared" si="19"/>
        <v>81164.231719338364</v>
      </c>
      <c r="H88" s="183">
        <f t="shared" si="19"/>
        <v>107104.1156604896</v>
      </c>
      <c r="I88" s="183">
        <f t="shared" si="19"/>
        <v>138590.51987735732</v>
      </c>
      <c r="J88" s="183">
        <f t="shared" si="19"/>
        <v>170101.6000129423</v>
      </c>
      <c r="K88" s="183">
        <f t="shared" si="19"/>
        <v>204801.13334776711</v>
      </c>
      <c r="L88" s="183">
        <f t="shared" si="19"/>
        <v>249123.10171694757</v>
      </c>
    </row>
    <row r="89" spans="2:12" x14ac:dyDescent="0.2">
      <c r="B89" s="58"/>
      <c r="C89" s="58"/>
      <c r="D89" s="58"/>
      <c r="E89" s="15"/>
      <c r="F89" s="26"/>
      <c r="G89" s="26"/>
      <c r="H89" s="26"/>
      <c r="I89" s="26"/>
      <c r="J89" s="26"/>
      <c r="K89" s="26"/>
      <c r="L89" s="26"/>
    </row>
    <row r="90" spans="2:12" x14ac:dyDescent="0.2">
      <c r="B90" s="131" t="s">
        <v>62</v>
      </c>
      <c r="C90" s="131"/>
      <c r="D90" s="131"/>
      <c r="E90" s="28">
        <f>E88-E42</f>
        <v>0</v>
      </c>
      <c r="F90" s="28">
        <f>F88-F42</f>
        <v>0</v>
      </c>
      <c r="G90" s="28">
        <f>G88-G42</f>
        <v>0</v>
      </c>
      <c r="H90" s="28">
        <f t="shared" ref="H90:L90" si="20">H88-H42</f>
        <v>0</v>
      </c>
      <c r="I90" s="28">
        <f t="shared" si="20"/>
        <v>0</v>
      </c>
      <c r="J90" s="28">
        <f t="shared" si="20"/>
        <v>0</v>
      </c>
      <c r="K90" s="28">
        <f t="shared" si="20"/>
        <v>0</v>
      </c>
      <c r="L90" s="28">
        <f t="shared" si="20"/>
        <v>0</v>
      </c>
    </row>
    <row r="91" spans="2:12" x14ac:dyDescent="0.2">
      <c r="B91" s="131" t="s">
        <v>63</v>
      </c>
      <c r="C91" s="131"/>
      <c r="D91" s="131"/>
      <c r="E91" s="28">
        <f>E68-E37</f>
        <v>0</v>
      </c>
      <c r="F91" s="28">
        <f>F68-F37</f>
        <v>0</v>
      </c>
      <c r="G91" s="28">
        <f>G68-G37</f>
        <v>0</v>
      </c>
      <c r="H91" s="28">
        <f t="shared" ref="H91:L91" si="21">H68-H37</f>
        <v>6.5483618527650833E-11</v>
      </c>
      <c r="I91" s="28">
        <f t="shared" si="21"/>
        <v>7.2759576141834259E-11</v>
      </c>
      <c r="J91" s="28">
        <f t="shared" si="21"/>
        <v>1.4551915228366852E-10</v>
      </c>
      <c r="K91" s="28">
        <f t="shared" si="21"/>
        <v>-8.0035533756017685E-11</v>
      </c>
      <c r="L91" s="28">
        <f t="shared" si="21"/>
        <v>1.3096723705530167E-10</v>
      </c>
    </row>
    <row r="92" spans="2:12" x14ac:dyDescent="0.2">
      <c r="B92" s="131" t="s">
        <v>64</v>
      </c>
      <c r="C92" s="131"/>
      <c r="D92" s="131"/>
      <c r="E92" s="28">
        <f t="shared" ref="E92:L93" si="22">E69-E30</f>
        <v>0</v>
      </c>
      <c r="F92" s="28">
        <f t="shared" si="22"/>
        <v>0</v>
      </c>
      <c r="G92" s="28">
        <f t="shared" si="22"/>
        <v>0</v>
      </c>
      <c r="H92" s="28">
        <f t="shared" si="22"/>
        <v>0</v>
      </c>
      <c r="I92" s="28">
        <f t="shared" si="22"/>
        <v>0</v>
      </c>
      <c r="J92" s="28">
        <f t="shared" si="22"/>
        <v>0</v>
      </c>
      <c r="K92" s="28">
        <f t="shared" si="22"/>
        <v>0</v>
      </c>
      <c r="L92" s="28">
        <f t="shared" si="22"/>
        <v>0</v>
      </c>
    </row>
    <row r="93" spans="2:12" x14ac:dyDescent="0.2">
      <c r="B93" s="131" t="s">
        <v>65</v>
      </c>
      <c r="C93" s="131"/>
      <c r="D93" s="131"/>
      <c r="E93" s="28">
        <f t="shared" si="22"/>
        <v>0</v>
      </c>
      <c r="F93" s="28">
        <f t="shared" si="22"/>
        <v>0</v>
      </c>
      <c r="G93" s="28">
        <f t="shared" si="22"/>
        <v>0</v>
      </c>
      <c r="H93" s="28">
        <f t="shared" si="22"/>
        <v>0</v>
      </c>
      <c r="I93" s="28">
        <f t="shared" si="22"/>
        <v>0</v>
      </c>
      <c r="J93" s="28">
        <f t="shared" si="22"/>
        <v>0</v>
      </c>
      <c r="K93" s="28">
        <f t="shared" si="22"/>
        <v>0</v>
      </c>
      <c r="L93" s="28">
        <f t="shared" si="22"/>
        <v>0</v>
      </c>
    </row>
  </sheetData>
  <hyperlinks>
    <hyperlink ref="B1" location="'TOC'!A1" display="Table of Contents" xr:uid="{61AB7DBB-38D6-4F5E-A025-BDC617AE3D8C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B0A-1A0E-49B1-815F-C2CF48363049}">
  <sheetPr>
    <tabColor theme="0" tint="-0.499984740745262"/>
  </sheetPr>
  <dimension ref="B2:N17"/>
  <sheetViews>
    <sheetView showGridLines="0" zoomScaleNormal="100" workbookViewId="0"/>
  </sheetViews>
  <sheetFormatPr defaultColWidth="9.109375" defaultRowHeight="10.199999999999999" x14ac:dyDescent="0.2"/>
  <cols>
    <col min="1" max="1" width="2" style="39" customWidth="1"/>
    <col min="2" max="16384" width="9.109375" style="39"/>
  </cols>
  <sheetData>
    <row r="2" spans="2:14" ht="15.6" x14ac:dyDescent="0.3">
      <c r="B2" s="37" t="s">
        <v>181</v>
      </c>
    </row>
    <row r="3" spans="2:14" x14ac:dyDescent="0.2">
      <c r="B3" s="38" t="s">
        <v>94</v>
      </c>
    </row>
    <row r="5" spans="2:14" x14ac:dyDescent="0.2">
      <c r="B5" s="40" t="s">
        <v>80</v>
      </c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188" t="s">
        <v>182</v>
      </c>
      <c r="C9" s="168"/>
      <c r="D9" s="168"/>
      <c r="E9" s="189">
        <f>E7</f>
        <v>2020</v>
      </c>
      <c r="F9" s="189">
        <f t="shared" ref="F9:L9" si="1">F7</f>
        <v>2021</v>
      </c>
      <c r="G9" s="189">
        <f t="shared" si="1"/>
        <v>2022</v>
      </c>
      <c r="H9" s="189">
        <f t="shared" si="1"/>
        <v>2023</v>
      </c>
      <c r="I9" s="189">
        <f t="shared" si="1"/>
        <v>2024</v>
      </c>
      <c r="J9" s="189">
        <f t="shared" si="1"/>
        <v>2025</v>
      </c>
      <c r="K9" s="189">
        <f t="shared" si="1"/>
        <v>2026</v>
      </c>
      <c r="L9" s="189">
        <f t="shared" si="1"/>
        <v>2027</v>
      </c>
    </row>
    <row r="10" spans="2:14" x14ac:dyDescent="0.2">
      <c r="B10" s="39" t="s">
        <v>183</v>
      </c>
      <c r="E10" s="190" t="s">
        <v>184</v>
      </c>
      <c r="F10" s="190" t="s">
        <v>184</v>
      </c>
      <c r="G10" s="190" t="s">
        <v>184</v>
      </c>
      <c r="H10" s="190" t="s">
        <v>184</v>
      </c>
      <c r="I10" s="190" t="s">
        <v>184</v>
      </c>
      <c r="J10" s="190" t="s">
        <v>184</v>
      </c>
      <c r="K10" s="190" t="s">
        <v>184</v>
      </c>
      <c r="L10" s="190" t="s">
        <v>184</v>
      </c>
    </row>
    <row r="11" spans="2:14" x14ac:dyDescent="0.2">
      <c r="B11" s="39" t="s">
        <v>84</v>
      </c>
      <c r="E11" s="190" t="s">
        <v>184</v>
      </c>
      <c r="F11" s="190" t="s">
        <v>184</v>
      </c>
      <c r="G11" s="190" t="s">
        <v>184</v>
      </c>
      <c r="H11" s="190" t="s">
        <v>184</v>
      </c>
      <c r="I11" s="190" t="s">
        <v>184</v>
      </c>
      <c r="J11" s="190" t="s">
        <v>184</v>
      </c>
      <c r="K11" s="190" t="s">
        <v>184</v>
      </c>
      <c r="L11" s="190" t="s">
        <v>184</v>
      </c>
    </row>
    <row r="12" spans="2:14" x14ac:dyDescent="0.2">
      <c r="B12" s="39" t="s">
        <v>66</v>
      </c>
      <c r="E12" s="190" t="s">
        <v>184</v>
      </c>
      <c r="F12" s="190" t="s">
        <v>184</v>
      </c>
      <c r="G12" s="190" t="s">
        <v>184</v>
      </c>
      <c r="H12" s="190" t="s">
        <v>184</v>
      </c>
      <c r="I12" s="190" t="s">
        <v>184</v>
      </c>
      <c r="J12" s="190" t="s">
        <v>184</v>
      </c>
      <c r="K12" s="190" t="s">
        <v>184</v>
      </c>
      <c r="L12" s="190" t="s">
        <v>184</v>
      </c>
    </row>
    <row r="13" spans="2:14" x14ac:dyDescent="0.2">
      <c r="B13" s="39" t="s">
        <v>67</v>
      </c>
      <c r="E13" s="190" t="s">
        <v>184</v>
      </c>
      <c r="F13" s="190" t="s">
        <v>184</v>
      </c>
      <c r="G13" s="190" t="s">
        <v>184</v>
      </c>
      <c r="H13" s="190" t="s">
        <v>184</v>
      </c>
      <c r="I13" s="190" t="s">
        <v>184</v>
      </c>
      <c r="J13" s="190" t="s">
        <v>184</v>
      </c>
      <c r="K13" s="190" t="s">
        <v>184</v>
      </c>
      <c r="L13" s="190" t="s">
        <v>184</v>
      </c>
    </row>
    <row r="14" spans="2:14" x14ac:dyDescent="0.2">
      <c r="B14" s="39" t="s">
        <v>157</v>
      </c>
      <c r="E14" s="190" t="s">
        <v>184</v>
      </c>
      <c r="F14" s="190" t="s">
        <v>184</v>
      </c>
      <c r="G14" s="190" t="s">
        <v>184</v>
      </c>
      <c r="H14" s="190" t="s">
        <v>184</v>
      </c>
      <c r="I14" s="190" t="s">
        <v>184</v>
      </c>
      <c r="J14" s="190" t="s">
        <v>184</v>
      </c>
      <c r="K14" s="190" t="s">
        <v>184</v>
      </c>
      <c r="L14" s="190" t="s">
        <v>184</v>
      </c>
    </row>
    <row r="15" spans="2:14" x14ac:dyDescent="0.2">
      <c r="B15" s="39" t="s">
        <v>187</v>
      </c>
      <c r="E15" s="190" t="s">
        <v>184</v>
      </c>
      <c r="F15" s="190" t="s">
        <v>184</v>
      </c>
      <c r="G15" s="190" t="s">
        <v>184</v>
      </c>
      <c r="H15" s="190" t="s">
        <v>184</v>
      </c>
      <c r="I15" s="190" t="s">
        <v>184</v>
      </c>
      <c r="J15" s="190" t="s">
        <v>184</v>
      </c>
      <c r="K15" s="190" t="s">
        <v>184</v>
      </c>
      <c r="L15" s="190" t="s">
        <v>184</v>
      </c>
    </row>
    <row r="16" spans="2:14" x14ac:dyDescent="0.2">
      <c r="B16" s="39" t="s">
        <v>258</v>
      </c>
      <c r="E16" s="190" t="s">
        <v>184</v>
      </c>
      <c r="F16" s="190" t="s">
        <v>184</v>
      </c>
      <c r="G16" s="190" t="s">
        <v>184</v>
      </c>
      <c r="H16" s="190" t="s">
        <v>184</v>
      </c>
      <c r="I16" s="190" t="s">
        <v>184</v>
      </c>
      <c r="J16" s="190" t="s">
        <v>184</v>
      </c>
      <c r="K16" s="190" t="s">
        <v>184</v>
      </c>
      <c r="L16" s="190" t="s">
        <v>184</v>
      </c>
    </row>
    <row r="17" spans="2:12" x14ac:dyDescent="0.2">
      <c r="B17" s="39" t="s">
        <v>280</v>
      </c>
      <c r="E17" s="190" t="s">
        <v>184</v>
      </c>
      <c r="F17" s="190" t="s">
        <v>184</v>
      </c>
      <c r="G17" s="190" t="s">
        <v>184</v>
      </c>
      <c r="H17" s="190" t="s">
        <v>184</v>
      </c>
      <c r="I17" s="190" t="s">
        <v>184</v>
      </c>
      <c r="J17" s="190" t="s">
        <v>184</v>
      </c>
      <c r="K17" s="190" t="s">
        <v>184</v>
      </c>
      <c r="L17" s="190" t="s">
        <v>184</v>
      </c>
    </row>
  </sheetData>
  <dataValidations count="1">
    <dataValidation type="list" allowBlank="1" showInputMessage="1" showErrorMessage="1" sqref="E10:L17" xr:uid="{359C0CDE-B1CF-4A9B-B9EE-28DA53E013CD}">
      <formula1>"on,off"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14E1-71B9-4550-A575-6FD61AFF0E0C}">
  <sheetPr>
    <tabColor theme="0" tint="-0.499984740745262"/>
  </sheetPr>
  <dimension ref="B2:N35"/>
  <sheetViews>
    <sheetView showGridLines="0" zoomScaleNormal="100" workbookViewId="0"/>
  </sheetViews>
  <sheetFormatPr defaultColWidth="9.109375" defaultRowHeight="10.199999999999999" x14ac:dyDescent="0.2"/>
  <cols>
    <col min="1" max="1" width="2" style="39" customWidth="1"/>
    <col min="2" max="2" width="23" style="39" bestFit="1" customWidth="1"/>
    <col min="3" max="4" width="9.109375" style="39"/>
    <col min="5" max="12" width="9.88671875" style="39" bestFit="1" customWidth="1"/>
    <col min="13" max="16384" width="9.109375" style="39"/>
  </cols>
  <sheetData>
    <row r="2" spans="2:14" ht="15.6" x14ac:dyDescent="0.3">
      <c r="B2" s="37" t="s">
        <v>204</v>
      </c>
    </row>
    <row r="3" spans="2:14" x14ac:dyDescent="0.2">
      <c r="B3" s="38" t="s">
        <v>94</v>
      </c>
    </row>
    <row r="5" spans="2:14" x14ac:dyDescent="0.2">
      <c r="B5" s="40" t="s">
        <v>80</v>
      </c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188" t="s">
        <v>205</v>
      </c>
      <c r="C9" s="168"/>
      <c r="D9" s="168"/>
      <c r="E9" s="189">
        <f>E$7</f>
        <v>2020</v>
      </c>
      <c r="F9" s="189">
        <f t="shared" ref="F9:L9" si="1">F$7</f>
        <v>2021</v>
      </c>
      <c r="G9" s="189">
        <f t="shared" si="1"/>
        <v>2022</v>
      </c>
      <c r="H9" s="189">
        <f t="shared" si="1"/>
        <v>2023</v>
      </c>
      <c r="I9" s="189">
        <f t="shared" si="1"/>
        <v>2024</v>
      </c>
      <c r="J9" s="189">
        <f t="shared" si="1"/>
        <v>2025</v>
      </c>
      <c r="K9" s="189">
        <f t="shared" si="1"/>
        <v>2026</v>
      </c>
      <c r="L9" s="189">
        <f t="shared" si="1"/>
        <v>2027</v>
      </c>
    </row>
    <row r="10" spans="2:14" x14ac:dyDescent="0.2">
      <c r="B10" s="170" t="s">
        <v>5</v>
      </c>
      <c r="C10" s="70" t="s">
        <v>156</v>
      </c>
      <c r="E10" s="199">
        <f>CoreBusiness!E12/CoreBusiness!E11</f>
        <v>0.43889264255550309</v>
      </c>
      <c r="F10" s="199">
        <f>CoreBusiness!F12/CoreBusiness!F11</f>
        <v>0.45355310202831794</v>
      </c>
      <c r="G10" s="199">
        <f>CoreBusiness!G12/CoreBusiness!G11</f>
        <v>0.44308089469791817</v>
      </c>
      <c r="H10" s="199">
        <f>CoreBusiness!H12/CoreBusiness!H11</f>
        <v>0.44383638214637156</v>
      </c>
      <c r="I10" s="199">
        <f>CoreBusiness!I12/CoreBusiness!I11</f>
        <v>0.44661189593694967</v>
      </c>
      <c r="J10" s="199">
        <f>CoreBusiness!J12/CoreBusiness!J11</f>
        <v>0.44450972426041313</v>
      </c>
      <c r="K10" s="199">
        <f>CoreBusiness!K12/CoreBusiness!K11</f>
        <v>0.44498600078124473</v>
      </c>
      <c r="L10" s="199">
        <f>CoreBusiness!L12/CoreBusiness!L11</f>
        <v>0.4453692069928693</v>
      </c>
    </row>
    <row r="12" spans="2:14" x14ac:dyDescent="0.2">
      <c r="B12" s="188" t="s">
        <v>216</v>
      </c>
      <c r="C12" s="168"/>
      <c r="D12" s="168"/>
      <c r="E12" s="189">
        <f>E$7</f>
        <v>2020</v>
      </c>
      <c r="F12" s="189">
        <f t="shared" ref="F12:L12" si="2">F$7</f>
        <v>2021</v>
      </c>
      <c r="G12" s="189">
        <f t="shared" si="2"/>
        <v>2022</v>
      </c>
      <c r="H12" s="189">
        <f t="shared" si="2"/>
        <v>2023</v>
      </c>
      <c r="I12" s="189">
        <f t="shared" si="2"/>
        <v>2024</v>
      </c>
      <c r="J12" s="189">
        <f t="shared" si="2"/>
        <v>2025</v>
      </c>
      <c r="K12" s="189">
        <f t="shared" si="2"/>
        <v>2026</v>
      </c>
      <c r="L12" s="189">
        <f t="shared" si="2"/>
        <v>2027</v>
      </c>
    </row>
    <row r="13" spans="2:14" x14ac:dyDescent="0.2">
      <c r="B13" s="201" t="s">
        <v>8</v>
      </c>
      <c r="C13" s="70" t="s">
        <v>102</v>
      </c>
      <c r="E13" s="199">
        <f>CoreBusiness!E16/CoreBusiness!E$26</f>
        <v>0.47463467255162828</v>
      </c>
      <c r="F13" s="199">
        <f>CoreBusiness!F16/CoreBusiness!F$26</f>
        <v>0.46364318109242281</v>
      </c>
      <c r="G13" s="199">
        <f>CoreBusiness!G16/CoreBusiness!G$26</f>
        <v>0.44385694618770177</v>
      </c>
      <c r="H13" s="199">
        <f>CoreBusiness!H16/CoreBusiness!H$26</f>
        <v>0.46146767866775418</v>
      </c>
      <c r="I13" s="199">
        <f>CoreBusiness!I16/CoreBusiness!I$26</f>
        <v>0.45636140747415693</v>
      </c>
      <c r="J13" s="199">
        <f>CoreBusiness!J16/CoreBusiness!J$26</f>
        <v>0.45389072663759983</v>
      </c>
      <c r="K13" s="199">
        <f>CoreBusiness!K16/CoreBusiness!K$26</f>
        <v>0.45724650078586482</v>
      </c>
      <c r="L13" s="199">
        <f>CoreBusiness!L16/CoreBusiness!L$26</f>
        <v>0.45583143741235149</v>
      </c>
    </row>
    <row r="14" spans="2:14" x14ac:dyDescent="0.2">
      <c r="B14" s="201" t="s">
        <v>9</v>
      </c>
      <c r="C14" s="70" t="s">
        <v>102</v>
      </c>
      <c r="E14" s="199">
        <f>CoreBusiness!E17/CoreBusiness!E$26</f>
        <v>0.10139619486597712</v>
      </c>
      <c r="F14" s="199">
        <f>CoreBusiness!F17/CoreBusiness!F$26</f>
        <v>0.10373211202264006</v>
      </c>
      <c r="G14" s="199">
        <f>CoreBusiness!G17/CoreBusiness!G$26</f>
        <v>0.10723546749041316</v>
      </c>
      <c r="H14" s="199">
        <f>CoreBusiness!H17/CoreBusiness!H$26</f>
        <v>0.1037962799934689</v>
      </c>
      <c r="I14" s="199">
        <f>CoreBusiness!I17/CoreBusiness!I$26</f>
        <v>0.1048785445514018</v>
      </c>
      <c r="J14" s="199">
        <f>CoreBusiness!J17/CoreBusiness!J$26</f>
        <v>0.10530416436715098</v>
      </c>
      <c r="K14" s="199">
        <f>CoreBusiness!K17/CoreBusiness!K$26</f>
        <v>0.10465824460382067</v>
      </c>
      <c r="L14" s="199">
        <f>CoreBusiness!L17/CoreBusiness!L$26</f>
        <v>0.10494720057381345</v>
      </c>
    </row>
    <row r="15" spans="2:14" x14ac:dyDescent="0.2">
      <c r="B15" s="201" t="s">
        <v>10</v>
      </c>
      <c r="C15" s="70" t="s">
        <v>102</v>
      </c>
      <c r="E15" s="199">
        <f>CoreBusiness!E18/CoreBusiness!E$26</f>
        <v>0.1833408745037248</v>
      </c>
      <c r="F15" s="199">
        <f>CoreBusiness!F18/CoreBusiness!F$26</f>
        <v>0.1818573138383929</v>
      </c>
      <c r="G15" s="199">
        <f>CoreBusiness!G18/CoreBusiness!G$26</f>
        <v>0.19129607024524059</v>
      </c>
      <c r="H15" s="199">
        <f>CoreBusiness!H18/CoreBusiness!H$26</f>
        <v>0.18602784143850007</v>
      </c>
      <c r="I15" s="199">
        <f>CoreBusiness!I18/CoreBusiness!I$26</f>
        <v>0.18655321922840892</v>
      </c>
      <c r="J15" s="199">
        <f>CoreBusiness!J18/CoreBusiness!J$26</f>
        <v>0.18796240481927137</v>
      </c>
      <c r="K15" s="199">
        <f>CoreBusiness!K18/CoreBusiness!K$26</f>
        <v>0.18684746829945295</v>
      </c>
      <c r="L15" s="199">
        <f>CoreBusiness!L18/CoreBusiness!L$26</f>
        <v>0.18712223140665535</v>
      </c>
    </row>
    <row r="16" spans="2:14" x14ac:dyDescent="0.2">
      <c r="B16" s="201" t="s">
        <v>11</v>
      </c>
      <c r="C16" s="70" t="s">
        <v>102</v>
      </c>
      <c r="E16" s="199">
        <f>CoreBusiness!E19/CoreBusiness!E$26</f>
        <v>5.458522295140629E-2</v>
      </c>
      <c r="F16" s="199">
        <f>CoreBusiness!F19/CoreBusiness!F$26</f>
        <v>5.8287866888636873E-2</v>
      </c>
      <c r="G16" s="199">
        <f>CoreBusiness!G19/CoreBusiness!G$26</f>
        <v>5.8038618464181707E-2</v>
      </c>
      <c r="H16" s="199">
        <f>CoreBusiness!H19/CoreBusiness!H$26</f>
        <v>5.675907036890307E-2</v>
      </c>
      <c r="I16" s="199">
        <f>CoreBusiness!I19/CoreBusiness!I$26</f>
        <v>5.7648964230326248E-2</v>
      </c>
      <c r="J16" s="199">
        <f>CoreBusiness!J19/CoreBusiness!J$26</f>
        <v>5.748152806461327E-2</v>
      </c>
      <c r="K16" s="199">
        <f>CoreBusiness!K19/CoreBusiness!K$26</f>
        <v>5.7295210497625121E-2</v>
      </c>
      <c r="L16" s="199">
        <f>CoreBusiness!L19/CoreBusiness!L$26</f>
        <v>5.7474940487796895E-2</v>
      </c>
    </row>
    <row r="17" spans="2:12" x14ac:dyDescent="0.2">
      <c r="B17" s="201" t="s">
        <v>12</v>
      </c>
      <c r="C17" s="70" t="s">
        <v>102</v>
      </c>
      <c r="E17" s="199">
        <f>CoreBusiness!E20/CoreBusiness!E$26</f>
        <v>7.8206456249477918E-2</v>
      </c>
      <c r="F17" s="199">
        <f>CoreBusiness!F20/CoreBusiness!F$26</f>
        <v>8.0169324554398666E-2</v>
      </c>
      <c r="G17" s="199">
        <f>CoreBusiness!G20/CoreBusiness!G$26</f>
        <v>8.2220500379469333E-2</v>
      </c>
      <c r="H17" s="199">
        <f>CoreBusiness!H20/CoreBusiness!H$26</f>
        <v>7.9936830624164387E-2</v>
      </c>
      <c r="I17" s="199">
        <f>CoreBusiness!I20/CoreBusiness!I$26</f>
        <v>8.07386338627126E-2</v>
      </c>
      <c r="J17" s="199">
        <f>CoreBusiness!J20/CoreBusiness!J$26</f>
        <v>8.0965644502200923E-2</v>
      </c>
      <c r="K17" s="199">
        <f>CoreBusiness!K20/CoreBusiness!K$26</f>
        <v>8.0545960920946361E-2</v>
      </c>
      <c r="L17" s="199">
        <f>CoreBusiness!L20/CoreBusiness!L$26</f>
        <v>8.0750159369055247E-2</v>
      </c>
    </row>
    <row r="18" spans="2:12" x14ac:dyDescent="0.2">
      <c r="B18" s="201" t="s">
        <v>13</v>
      </c>
      <c r="C18" s="70" t="s">
        <v>102</v>
      </c>
      <c r="E18" s="199">
        <f>CoreBusiness!E21/CoreBusiness!E$26</f>
        <v>1.0761740150478078E-2</v>
      </c>
      <c r="F18" s="199">
        <f>CoreBusiness!F21/CoreBusiness!F$26</f>
        <v>1.3050925197576072E-2</v>
      </c>
      <c r="G18" s="199">
        <f>CoreBusiness!G21/CoreBusiness!G$26</f>
        <v>1.0370460426350583E-2</v>
      </c>
      <c r="H18" s="199">
        <f>CoreBusiness!H21/CoreBusiness!H$26</f>
        <v>1.11814405765529E-2</v>
      </c>
      <c r="I18" s="199">
        <f>CoreBusiness!I21/CoreBusiness!I$26</f>
        <v>1.1477118760789362E-2</v>
      </c>
      <c r="J18" s="199">
        <f>CoreBusiness!J21/CoreBusiness!J$26</f>
        <v>1.1008411918058694E-2</v>
      </c>
      <c r="K18" s="199">
        <f>CoreBusiness!K21/CoreBusiness!K$26</f>
        <v>1.1221773286130377E-2</v>
      </c>
      <c r="L18" s="199">
        <f>CoreBusiness!L21/CoreBusiness!L$26</f>
        <v>1.123529400041311E-2</v>
      </c>
    </row>
    <row r="19" spans="2:12" x14ac:dyDescent="0.2">
      <c r="B19" s="201" t="s">
        <v>14</v>
      </c>
      <c r="C19" s="70" t="s">
        <v>102</v>
      </c>
      <c r="E19" s="199">
        <f>CoreBusiness!E22/CoreBusiness!E$26</f>
        <v>1.1561688469433474E-2</v>
      </c>
      <c r="F19" s="199">
        <f>CoreBusiness!F22/CoreBusiness!F$26</f>
        <v>1.1767124832244163E-2</v>
      </c>
      <c r="G19" s="199">
        <f>CoreBusiness!G22/CoreBusiness!G$26</f>
        <v>1.2330098130137763E-2</v>
      </c>
      <c r="H19" s="199">
        <f>CoreBusiness!H22/CoreBusiness!H$26</f>
        <v>1.179926380677839E-2</v>
      </c>
      <c r="I19" s="199">
        <f>CoreBusiness!I22/CoreBusiness!I$26</f>
        <v>1.1951933891214435E-2</v>
      </c>
      <c r="J19" s="199">
        <f>CoreBusiness!J22/CoreBusiness!J$26</f>
        <v>1.202724025489621E-2</v>
      </c>
      <c r="K19" s="199">
        <f>CoreBusiness!K22/CoreBusiness!K$26</f>
        <v>1.1925950154578705E-2</v>
      </c>
      <c r="L19" s="199">
        <f>CoreBusiness!L22/CoreBusiness!L$26</f>
        <v>1.1968419156291597E-2</v>
      </c>
    </row>
    <row r="20" spans="2:12" x14ac:dyDescent="0.2">
      <c r="B20" s="201" t="s">
        <v>15</v>
      </c>
      <c r="C20" s="70" t="s">
        <v>102</v>
      </c>
      <c r="E20" s="199">
        <f>CoreBusiness!E23/CoreBusiness!E$26</f>
        <v>1.3674867387294034E-2</v>
      </c>
      <c r="F20" s="199">
        <f>CoreBusiness!F23/CoreBusiness!F$26</f>
        <v>1.2853564360693752E-2</v>
      </c>
      <c r="G20" s="199">
        <f>CoreBusiness!G23/CoreBusiness!G$26</f>
        <v>1.6400247156362416E-2</v>
      </c>
      <c r="H20" s="199">
        <f>CoreBusiness!H23/CoreBusiness!H$26</f>
        <v>1.4250474961439058E-2</v>
      </c>
      <c r="I20" s="199">
        <f>CoreBusiness!I23/CoreBusiness!I$26</f>
        <v>1.4508580854442376E-2</v>
      </c>
      <c r="J20" s="199">
        <f>CoreBusiness!J23/CoreBusiness!J$26</f>
        <v>1.5054386196175943E-2</v>
      </c>
      <c r="K20" s="199">
        <f>CoreBusiness!K23/CoreBusiness!K$26</f>
        <v>1.4604266180105765E-2</v>
      </c>
      <c r="L20" s="199">
        <f>CoreBusiness!L23/CoreBusiness!L$26</f>
        <v>1.4722867435351096E-2</v>
      </c>
    </row>
    <row r="21" spans="2:12" x14ac:dyDescent="0.2">
      <c r="B21" s="201" t="s">
        <v>16</v>
      </c>
      <c r="C21" s="70" t="s">
        <v>102</v>
      </c>
      <c r="E21" s="199">
        <f>CoreBusiness!E24/CoreBusiness!E$26</f>
        <v>4.3960161354359664E-2</v>
      </c>
      <c r="F21" s="199">
        <f>CoreBusiness!F24/CoreBusiness!F$26</f>
        <v>4.500665918720001E-2</v>
      </c>
      <c r="G21" s="199">
        <f>CoreBusiness!G24/CoreBusiness!G$26</f>
        <v>4.6917675415390214E-2</v>
      </c>
      <c r="H21" s="199">
        <f>CoreBusiness!H24/CoreBusiness!H$26</f>
        <v>4.5290351847343029E-2</v>
      </c>
      <c r="I21" s="199">
        <f>CoreBusiness!I24/CoreBusiness!I$26</f>
        <v>4.5748212498146028E-2</v>
      </c>
      <c r="J21" s="199">
        <f>CoreBusiness!J24/CoreBusiness!J$26</f>
        <v>4.598586756194601E-2</v>
      </c>
      <c r="K21" s="199">
        <f>CoreBusiness!K24/CoreBusiness!K$26</f>
        <v>4.5674226628466159E-2</v>
      </c>
      <c r="L21" s="199">
        <f>CoreBusiness!L24/CoreBusiness!L$26</f>
        <v>4.580291278147415E-2</v>
      </c>
    </row>
    <row r="22" spans="2:12" x14ac:dyDescent="0.2">
      <c r="B22" s="201" t="s">
        <v>17</v>
      </c>
      <c r="C22" s="70" t="s">
        <v>102</v>
      </c>
      <c r="E22" s="199">
        <f>CoreBusiness!E25/CoreBusiness!E$26</f>
        <v>2.7878121516220544E-2</v>
      </c>
      <c r="F22" s="199">
        <f>CoreBusiness!F25/CoreBusiness!F$26</f>
        <v>2.9631928025794795E-2</v>
      </c>
      <c r="G22" s="199">
        <f>CoreBusiness!G25/CoreBusiness!G$26</f>
        <v>3.1333916104752391E-2</v>
      </c>
      <c r="H22" s="199">
        <f>CoreBusiness!H25/CoreBusiness!H$26</f>
        <v>2.9490767715096004E-2</v>
      </c>
      <c r="I22" s="199">
        <f>CoreBusiness!I25/CoreBusiness!I$26</f>
        <v>3.0133384648401134E-2</v>
      </c>
      <c r="J22" s="199">
        <f>CoreBusiness!J25/CoreBusiness!J$26</f>
        <v>3.0319625678086617E-2</v>
      </c>
      <c r="K22" s="199">
        <f>CoreBusiness!K25/CoreBusiness!K$26</f>
        <v>2.9980398643009123E-2</v>
      </c>
      <c r="L22" s="199">
        <f>CoreBusiness!L25/CoreBusiness!L$26</f>
        <v>3.0144537376797585E-2</v>
      </c>
    </row>
    <row r="23" spans="2:12" x14ac:dyDescent="0.2">
      <c r="B23" s="161" t="s">
        <v>18</v>
      </c>
      <c r="C23" s="161"/>
      <c r="D23" s="161"/>
      <c r="E23" s="202">
        <f>SUM(E13:E22)</f>
        <v>1.0000000000000002</v>
      </c>
      <c r="F23" s="202">
        <f t="shared" ref="F23:L23" si="3">SUM(F13:F22)</f>
        <v>1</v>
      </c>
      <c r="G23" s="202">
        <f t="shared" si="3"/>
        <v>0.99999999999999978</v>
      </c>
      <c r="H23" s="202">
        <f t="shared" si="3"/>
        <v>0.99999999999999978</v>
      </c>
      <c r="I23" s="202">
        <f t="shared" si="3"/>
        <v>0.99999999999999989</v>
      </c>
      <c r="J23" s="202">
        <f t="shared" si="3"/>
        <v>0.99999999999999989</v>
      </c>
      <c r="K23" s="202">
        <f t="shared" si="3"/>
        <v>1.0000000000000002</v>
      </c>
      <c r="L23" s="202">
        <f t="shared" si="3"/>
        <v>0.99999999999999989</v>
      </c>
    </row>
    <row r="25" spans="2:12" x14ac:dyDescent="0.2">
      <c r="B25" s="188" t="s">
        <v>247</v>
      </c>
      <c r="C25" s="168"/>
      <c r="D25" s="168"/>
      <c r="E25" s="189">
        <f>E$7</f>
        <v>2020</v>
      </c>
      <c r="F25" s="189">
        <f t="shared" ref="F25:L25" si="4">F$7</f>
        <v>2021</v>
      </c>
      <c r="G25" s="189">
        <f t="shared" si="4"/>
        <v>2022</v>
      </c>
      <c r="H25" s="189">
        <f t="shared" si="4"/>
        <v>2023</v>
      </c>
      <c r="I25" s="189">
        <f t="shared" si="4"/>
        <v>2024</v>
      </c>
      <c r="J25" s="189">
        <f t="shared" si="4"/>
        <v>2025</v>
      </c>
      <c r="K25" s="189">
        <f t="shared" si="4"/>
        <v>2026</v>
      </c>
      <c r="L25" s="189">
        <f t="shared" si="4"/>
        <v>2027</v>
      </c>
    </row>
    <row r="26" spans="2:12" x14ac:dyDescent="0.2">
      <c r="B26" s="39" t="s">
        <v>127</v>
      </c>
      <c r="E26" s="220">
        <v>365</v>
      </c>
      <c r="F26" s="220">
        <v>365</v>
      </c>
      <c r="G26" s="220">
        <v>365</v>
      </c>
      <c r="H26" s="220">
        <v>365</v>
      </c>
      <c r="I26" s="220">
        <v>365</v>
      </c>
      <c r="J26" s="220">
        <v>365</v>
      </c>
      <c r="K26" s="220">
        <v>365</v>
      </c>
      <c r="L26" s="220">
        <v>365</v>
      </c>
    </row>
    <row r="27" spans="2:12" x14ac:dyDescent="0.2">
      <c r="B27" s="39" t="s">
        <v>129</v>
      </c>
      <c r="E27" s="84">
        <f>CoreBusiness!E11</f>
        <v>480425.96059999999</v>
      </c>
      <c r="F27" s="84">
        <f>CoreBusiness!F11</f>
        <v>538423.73080000002</v>
      </c>
      <c r="G27" s="84">
        <f>CoreBusiness!G11</f>
        <v>593488.803266</v>
      </c>
      <c r="H27" s="84">
        <f>CoreBusiness!H11</f>
        <v>623163.24342930003</v>
      </c>
      <c r="I27" s="84">
        <f>CoreBusiness!I11</f>
        <v>654321.40560076502</v>
      </c>
      <c r="J27" s="84">
        <f>CoreBusiness!J11</f>
        <v>687037.47588080331</v>
      </c>
      <c r="K27" s="84">
        <f>CoreBusiness!K11</f>
        <v>721389.3496748436</v>
      </c>
      <c r="L27" s="84">
        <f>CoreBusiness!L11</f>
        <v>757458.81715858565</v>
      </c>
    </row>
    <row r="28" spans="2:12" x14ac:dyDescent="0.2">
      <c r="B28" s="39" t="s">
        <v>248</v>
      </c>
      <c r="E28" s="84">
        <f>CoreBusiness!E43</f>
        <v>38387.755000000005</v>
      </c>
      <c r="F28" s="84">
        <f>CoreBusiness!F43</f>
        <v>43008.514342000002</v>
      </c>
      <c r="G28" s="84">
        <f>CoreBusiness!G43</f>
        <v>47453.412984811999</v>
      </c>
      <c r="H28" s="84">
        <f>CoreBusiness!H43</f>
        <v>48180.738361304706</v>
      </c>
      <c r="I28" s="84">
        <f>CoreBusiness!I43</f>
        <v>51383.767398410324</v>
      </c>
      <c r="J28" s="84">
        <f>CoreBusiness!J43</f>
        <v>53516.356444421413</v>
      </c>
      <c r="K28" s="84">
        <f>CoreBusiness!K43</f>
        <v>56691.470917947772</v>
      </c>
      <c r="L28" s="84">
        <f>CoreBusiness!L43</f>
        <v>58851.517831152159</v>
      </c>
    </row>
    <row r="29" spans="2:12" x14ac:dyDescent="0.2">
      <c r="B29" s="161" t="s">
        <v>128</v>
      </c>
      <c r="C29" s="161"/>
      <c r="D29" s="161"/>
      <c r="E29" s="200">
        <f>E28/E27*E$26</f>
        <v>29.164807325360012</v>
      </c>
      <c r="F29" s="200">
        <f t="shared" ref="F29:L29" si="5">F28/F27*F$26</f>
        <v>29.155675793682903</v>
      </c>
      <c r="G29" s="200">
        <f t="shared" si="5"/>
        <v>29.184199675108925</v>
      </c>
      <c r="H29" s="200">
        <f t="shared" si="5"/>
        <v>28.220485863543082</v>
      </c>
      <c r="I29" s="200">
        <f t="shared" si="5"/>
        <v>28.663398354207597</v>
      </c>
      <c r="J29" s="200">
        <f t="shared" si="5"/>
        <v>28.431447756428867</v>
      </c>
      <c r="K29" s="200">
        <f t="shared" si="5"/>
        <v>28.684075935384609</v>
      </c>
      <c r="L29" s="200">
        <f t="shared" si="5"/>
        <v>28.359038830586613</v>
      </c>
    </row>
    <row r="30" spans="2:12" x14ac:dyDescent="0.2">
      <c r="B30" s="39" t="s">
        <v>134</v>
      </c>
      <c r="E30" s="84">
        <f>CoreBusiness!E17</f>
        <v>18618.49287043959</v>
      </c>
      <c r="F30" s="84">
        <f>CoreBusiness!F17</f>
        <v>20309.990874301388</v>
      </c>
      <c r="G30" s="84">
        <f>CoreBusiness!G17</f>
        <v>23790.529928225209</v>
      </c>
      <c r="H30" s="84">
        <f>CoreBusiness!H17</f>
        <v>24201.020337299538</v>
      </c>
      <c r="I30" s="84">
        <f>CoreBusiness!I17</f>
        <v>25436.812254167085</v>
      </c>
      <c r="J30" s="84">
        <f>CoreBusiness!J17</f>
        <v>26976.929998969968</v>
      </c>
      <c r="K30" s="84">
        <f>CoreBusiness!K17</f>
        <v>28128.52272570135</v>
      </c>
      <c r="L30" s="84">
        <f>CoreBusiness!L17</f>
        <v>29574.434657193658</v>
      </c>
    </row>
    <row r="31" spans="2:12" x14ac:dyDescent="0.2">
      <c r="B31" s="39" t="s">
        <v>32</v>
      </c>
      <c r="E31" s="84">
        <f>CoreBusiness!E45</f>
        <v>28797.095000000001</v>
      </c>
      <c r="F31" s="84">
        <f>CoreBusiness!F45</f>
        <v>33056.138171999999</v>
      </c>
      <c r="G31" s="84">
        <f>CoreBusiness!G45</f>
        <v>35997.327469964002</v>
      </c>
      <c r="H31" s="84">
        <f>CoreBusiness!H45</f>
        <v>36544.907878031423</v>
      </c>
      <c r="I31" s="84">
        <f>CoreBusiness!I45</f>
        <v>39235.59671929419</v>
      </c>
      <c r="J31" s="84">
        <f>CoreBusiness!J45</f>
        <v>40606.180396821481</v>
      </c>
      <c r="K31" s="84">
        <f>CoreBusiness!K45</f>
        <v>43182.50256516775</v>
      </c>
      <c r="L31" s="84">
        <f>CoreBusiness!L45</f>
        <v>44728.409610446761</v>
      </c>
    </row>
    <row r="32" spans="2:12" x14ac:dyDescent="0.2">
      <c r="B32" s="161" t="s">
        <v>133</v>
      </c>
      <c r="C32" s="161"/>
      <c r="D32" s="161"/>
      <c r="E32" s="200">
        <f>E31/E30*E$26</f>
        <v>564.54299218215033</v>
      </c>
      <c r="F32" s="200">
        <f t="shared" ref="F32" si="6">F31/F30*F$26</f>
        <v>594.06675795441595</v>
      </c>
      <c r="G32" s="200">
        <f t="shared" ref="G32" si="7">G31/G30*G$26</f>
        <v>552.279607313356</v>
      </c>
      <c r="H32" s="200">
        <f t="shared" ref="H32" si="8">H31/H30*H$26</f>
        <v>551.17061965040625</v>
      </c>
      <c r="I32" s="200">
        <f t="shared" ref="I32" si="9">I31/I30*I$26</f>
        <v>563.0026537698842</v>
      </c>
      <c r="J32" s="200">
        <f t="shared" ref="J32" si="10">J31/J30*J$26</f>
        <v>549.40483759292647</v>
      </c>
      <c r="K32" s="200">
        <f t="shared" ref="K32" si="11">K31/K30*K$26</f>
        <v>560.34273786744814</v>
      </c>
      <c r="L32" s="200">
        <f t="shared" ref="L32" si="12">L31/L30*L$26</f>
        <v>552.02642745503772</v>
      </c>
    </row>
    <row r="33" spans="2:12" x14ac:dyDescent="0.2">
      <c r="B33" s="39" t="s">
        <v>132</v>
      </c>
      <c r="E33" s="84">
        <f>CoreBusiness!E26</f>
        <v>183621.21867639149</v>
      </c>
      <c r="F33" s="84">
        <f>CoreBusiness!F26</f>
        <v>195792.70563650175</v>
      </c>
      <c r="G33" s="84">
        <f>CoreBusiness!G26</f>
        <v>221853.18425876289</v>
      </c>
      <c r="H33" s="84">
        <f>CoreBusiness!H26</f>
        <v>233158.84094133551</v>
      </c>
      <c r="I33" s="84">
        <f>CoreBusiness!I26</f>
        <v>242535.90057879096</v>
      </c>
      <c r="J33" s="84">
        <f>CoreBusiness!J26</f>
        <v>256181.03672436779</v>
      </c>
      <c r="K33" s="84">
        <f>CoreBusiness!K26</f>
        <v>268765.47406447219</v>
      </c>
      <c r="L33" s="84">
        <f>CoreBusiness!L26</f>
        <v>281802.98755461141</v>
      </c>
    </row>
    <row r="34" spans="2:12" x14ac:dyDescent="0.2">
      <c r="B34" s="39" t="s">
        <v>249</v>
      </c>
      <c r="E34" s="84">
        <f>CoreBusiness!E52</f>
        <v>58095.03</v>
      </c>
      <c r="F34" s="84">
        <f>CoreBusiness!F52</f>
        <v>62798.744001999999</v>
      </c>
      <c r="G34" s="84">
        <f>CoreBusiness!G52</f>
        <v>71407.999969110009</v>
      </c>
      <c r="H34" s="84">
        <f>CoreBusiness!H52</f>
        <v>70853.622505519408</v>
      </c>
      <c r="I34" s="84">
        <f>CoreBusiness!I52</f>
        <v>76927.779767748216</v>
      </c>
      <c r="J34" s="84">
        <f>CoreBusiness!J52</f>
        <v>78866.910188158217</v>
      </c>
      <c r="K34" s="84">
        <f>CoreBusiness!K52</f>
        <v>84865.727209447985</v>
      </c>
      <c r="L34" s="84">
        <f>CoreBusiness!L52</f>
        <v>86720.29551861863</v>
      </c>
    </row>
    <row r="35" spans="2:12" x14ac:dyDescent="0.2">
      <c r="B35" s="161" t="s">
        <v>131</v>
      </c>
      <c r="C35" s="161"/>
      <c r="D35" s="161"/>
      <c r="E35" s="200">
        <f>E34/E33*E$26</f>
        <v>115.48058608286715</v>
      </c>
      <c r="F35" s="200">
        <f t="shared" ref="F35" si="13">F34/F33*F$26</f>
        <v>117.07045717670864</v>
      </c>
      <c r="G35" s="200">
        <f t="shared" ref="G35" si="14">G34/G33*G$26</f>
        <v>117.48274010944543</v>
      </c>
      <c r="H35" s="200">
        <f t="shared" ref="H35" si="15">H34/H33*H$26</f>
        <v>110.91825688489139</v>
      </c>
      <c r="I35" s="200">
        <f t="shared" ref="I35" si="16">I34/I33*I$26</f>
        <v>115.7710654308119</v>
      </c>
      <c r="J35" s="200">
        <f t="shared" ref="J35" si="17">J34/J33*J$26</f>
        <v>112.36749833926955</v>
      </c>
      <c r="K35" s="200">
        <f t="shared" ref="K35" si="18">K34/K33*K$26</f>
        <v>115.25286326032305</v>
      </c>
      <c r="L35" s="200">
        <f t="shared" ref="L35" si="19">L34/L33*L$26</f>
        <v>112.32282574066642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138E-D634-4AB6-96C6-3EDFE27265EF}">
  <sheetPr>
    <tabColor rgb="FF92D050"/>
  </sheetPr>
  <dimension ref="B2:N103"/>
  <sheetViews>
    <sheetView showGridLines="0" zoomScaleNormal="100" workbookViewId="0">
      <pane ySplit="7" topLeftCell="A8" activePane="bottomLeft" state="frozen"/>
      <selection pane="bottomLef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6384" width="9.109375" style="39"/>
  </cols>
  <sheetData>
    <row r="2" spans="2:14" ht="15.6" x14ac:dyDescent="0.3">
      <c r="B2" s="37" t="s">
        <v>280</v>
      </c>
      <c r="C2" s="37"/>
      <c r="D2" s="37"/>
    </row>
    <row r="3" spans="2:14" x14ac:dyDescent="0.2">
      <c r="B3" s="38" t="s">
        <v>94</v>
      </c>
      <c r="C3" s="38"/>
      <c r="D3" s="38"/>
    </row>
    <row r="5" spans="2:14" x14ac:dyDescent="0.2">
      <c r="B5" s="40" t="s">
        <v>80</v>
      </c>
      <c r="C5" s="40"/>
      <c r="D5" s="40"/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48" t="s">
        <v>98</v>
      </c>
      <c r="C9" s="48"/>
      <c r="D9" s="48"/>
      <c r="E9" s="36">
        <f>E$7</f>
        <v>2020</v>
      </c>
      <c r="F9" s="36">
        <f t="shared" ref="F9:L9" si="1">F$7</f>
        <v>2021</v>
      </c>
      <c r="G9" s="36">
        <f t="shared" si="1"/>
        <v>2022</v>
      </c>
      <c r="H9" s="36">
        <f t="shared" si="1"/>
        <v>2023</v>
      </c>
      <c r="I9" s="36">
        <f t="shared" si="1"/>
        <v>2024</v>
      </c>
      <c r="J9" s="36">
        <f t="shared" si="1"/>
        <v>2025</v>
      </c>
      <c r="K9" s="36">
        <f t="shared" si="1"/>
        <v>2026</v>
      </c>
      <c r="L9" s="36">
        <f t="shared" si="1"/>
        <v>2027</v>
      </c>
    </row>
    <row r="11" spans="2:14" x14ac:dyDescent="0.2">
      <c r="B11" s="39" t="s">
        <v>281</v>
      </c>
      <c r="E11" s="244">
        <f>IF(Config!E10="on",Corporate!E146)</f>
        <v>51400</v>
      </c>
      <c r="F11" s="244">
        <f>IF(Config!F10="on",Corporate!F146)</f>
        <v>51400</v>
      </c>
      <c r="G11" s="244">
        <f>IF(Config!G10="on",Corporate!G146)</f>
        <v>51400</v>
      </c>
      <c r="H11" s="244">
        <f>IF(Config!H10="on",Corporate!H146)</f>
        <v>51400</v>
      </c>
      <c r="I11" s="244">
        <f>IF(Config!I10="on",Corporate!I146)</f>
        <v>51400</v>
      </c>
      <c r="J11" s="244">
        <f>IF(Config!J10="on",Corporate!J146)</f>
        <v>51400</v>
      </c>
      <c r="K11" s="244">
        <f>IF(Config!K10="on",Corporate!K146)</f>
        <v>51400</v>
      </c>
      <c r="L11" s="244">
        <f>IF(Config!L10="on",Corporate!L146)</f>
        <v>51400</v>
      </c>
    </row>
    <row r="12" spans="2:14" x14ac:dyDescent="0.2">
      <c r="B12" s="39" t="s">
        <v>37</v>
      </c>
      <c r="E12" s="244">
        <f>IF(Config!E11="on",Dev!E156,0)+IF(Config!E12="on",Pipeline!E156,0)</f>
        <v>51400</v>
      </c>
      <c r="F12" s="244">
        <f>IF(Config!F11="on",Dev!F156,0)+IF(Config!F12="on",Pipeline!F156,0)</f>
        <v>51400</v>
      </c>
      <c r="G12" s="244">
        <f>IF(Config!G11="on",Dev!G156,0)+IF(Config!G12="on",Pipeline!G156,0)</f>
        <v>51400</v>
      </c>
      <c r="H12" s="244">
        <f>IF(Config!H11="on",Dev!H156,0)+IF(Config!H12="on",Pipeline!H156,0)</f>
        <v>51400</v>
      </c>
      <c r="I12" s="244">
        <f>IF(Config!I11="on",Dev!I156,0)+IF(Config!I12="on",Pipeline!I156,0)</f>
        <v>51400</v>
      </c>
      <c r="J12" s="244">
        <f>IF(Config!J11="on",Dev!J156,0)+IF(Config!J12="on",Pipeline!J156,0)</f>
        <v>51400</v>
      </c>
      <c r="K12" s="244">
        <f>IF(Config!K11="on",Dev!K156,0)+IF(Config!K12="on",Pipeline!K156,0)</f>
        <v>51400</v>
      </c>
      <c r="L12" s="244">
        <f>IF(Config!L11="on",Dev!L156,0)+IF(Config!L12="on",Pipeline!L156,0)</f>
        <v>51400</v>
      </c>
    </row>
    <row r="14" spans="2:14" x14ac:dyDescent="0.2">
      <c r="B14" s="39" t="s">
        <v>77</v>
      </c>
      <c r="E14" s="244">
        <f>IF(Config!E10="on",Corporate!E150,0)+IF(Config!E14="on",RockCodeAcq!E192,0)</f>
        <v>15000</v>
      </c>
      <c r="F14" s="244">
        <f>IF(Config!F10="on",Corporate!F150,0)+IF(Config!F14="on",RockCodeAcq!F192,0)</f>
        <v>15000</v>
      </c>
      <c r="G14" s="244">
        <f>IF(Config!G10="on",Corporate!G150,0)+IF(Config!G14="on",RockCodeAcq!G192,0)</f>
        <v>15000</v>
      </c>
      <c r="H14" s="244">
        <f>IF(Config!H10="on",Corporate!H150,0)+IF(Config!H14="on",RockCodeAcq!H192,0)</f>
        <v>20000</v>
      </c>
      <c r="I14" s="244">
        <f>IF(Config!I10="on",Corporate!I150,0)+IF(Config!I14="on",RockCodeAcq!I192,0)</f>
        <v>20000</v>
      </c>
      <c r="J14" s="244">
        <f>IF(Config!J10="on",Corporate!J150,0)+IF(Config!J14="on",RockCodeAcq!J192,0)</f>
        <v>20000</v>
      </c>
      <c r="K14" s="244">
        <f>IF(Config!K10="on",Corporate!K150,0)+IF(Config!K14="on",RockCodeAcq!K192,0)</f>
        <v>20000</v>
      </c>
      <c r="L14" s="244">
        <f>IF(Config!L10="on",Corporate!L150,0)+IF(Config!L14="on",RockCodeAcq!L192,0)</f>
        <v>20000</v>
      </c>
    </row>
    <row r="19" spans="2:12" x14ac:dyDescent="0.2">
      <c r="B19" s="48" t="s">
        <v>3</v>
      </c>
      <c r="C19" s="48"/>
      <c r="D19" s="48"/>
      <c r="E19" s="36">
        <f>E$7</f>
        <v>2020</v>
      </c>
      <c r="F19" s="36">
        <f t="shared" ref="F19:L19" si="2">F$7</f>
        <v>2021</v>
      </c>
      <c r="G19" s="36">
        <f t="shared" si="2"/>
        <v>2022</v>
      </c>
      <c r="H19" s="36">
        <f t="shared" si="2"/>
        <v>2023</v>
      </c>
      <c r="I19" s="36">
        <f t="shared" si="2"/>
        <v>2024</v>
      </c>
      <c r="J19" s="36">
        <f t="shared" si="2"/>
        <v>2025</v>
      </c>
      <c r="K19" s="36">
        <f t="shared" si="2"/>
        <v>2026</v>
      </c>
      <c r="L19" s="36">
        <f t="shared" si="2"/>
        <v>2027</v>
      </c>
    </row>
    <row r="20" spans="2:12" x14ac:dyDescent="0.2">
      <c r="B20" s="47"/>
      <c r="C20" s="47"/>
      <c r="D20" s="47"/>
      <c r="E20" s="1"/>
      <c r="F20" s="1"/>
      <c r="G20" s="1"/>
    </row>
    <row r="21" spans="2:12" x14ac:dyDescent="0.2">
      <c r="B21" s="49" t="s">
        <v>4</v>
      </c>
      <c r="C21" s="49"/>
      <c r="D21" s="49"/>
      <c r="E21" s="180"/>
      <c r="F21" s="180"/>
      <c r="G21" s="180"/>
      <c r="H21" s="180"/>
      <c r="I21" s="180"/>
      <c r="J21" s="180"/>
      <c r="K21" s="180"/>
      <c r="L21" s="180"/>
    </row>
    <row r="22" spans="2:12" x14ac:dyDescent="0.2">
      <c r="B22" s="50" t="s">
        <v>5</v>
      </c>
      <c r="C22" s="50"/>
      <c r="D22" s="50"/>
      <c r="E22" s="180"/>
      <c r="F22" s="180"/>
      <c r="G22" s="180"/>
      <c r="H22" s="180"/>
      <c r="I22" s="180"/>
      <c r="J22" s="180"/>
      <c r="K22" s="180"/>
      <c r="L22" s="180"/>
    </row>
    <row r="23" spans="2:12" x14ac:dyDescent="0.2">
      <c r="B23" s="51" t="s">
        <v>6</v>
      </c>
      <c r="C23" s="51"/>
      <c r="D23" s="51"/>
      <c r="E23" s="25">
        <f>E21-E22</f>
        <v>0</v>
      </c>
      <c r="F23" s="25">
        <f t="shared" ref="F23:L23" si="3">F21-F22</f>
        <v>0</v>
      </c>
      <c r="G23" s="25">
        <f t="shared" si="3"/>
        <v>0</v>
      </c>
      <c r="H23" s="25">
        <f t="shared" si="3"/>
        <v>0</v>
      </c>
      <c r="I23" s="25">
        <f t="shared" si="3"/>
        <v>0</v>
      </c>
      <c r="J23" s="25">
        <f t="shared" si="3"/>
        <v>0</v>
      </c>
      <c r="K23" s="25">
        <f t="shared" si="3"/>
        <v>0</v>
      </c>
      <c r="L23" s="25">
        <f t="shared" si="3"/>
        <v>0</v>
      </c>
    </row>
    <row r="24" spans="2:12" x14ac:dyDescent="0.2">
      <c r="B24" s="52"/>
      <c r="C24" s="52"/>
      <c r="D24" s="52"/>
      <c r="E24" s="182"/>
      <c r="F24" s="182"/>
      <c r="G24" s="182"/>
      <c r="H24" s="132"/>
      <c r="I24" s="132"/>
      <c r="J24" s="132"/>
      <c r="K24" s="132"/>
      <c r="L24" s="132"/>
    </row>
    <row r="25" spans="2:12" x14ac:dyDescent="0.2">
      <c r="B25" s="52" t="s">
        <v>7</v>
      </c>
      <c r="C25" s="52"/>
      <c r="D25" s="52"/>
      <c r="E25" s="182"/>
      <c r="F25" s="182"/>
      <c r="G25" s="182"/>
      <c r="H25" s="132"/>
      <c r="I25" s="132"/>
      <c r="J25" s="132"/>
      <c r="K25" s="132"/>
      <c r="L25" s="132"/>
    </row>
    <row r="26" spans="2:12" x14ac:dyDescent="0.2">
      <c r="B26" s="49" t="s">
        <v>8</v>
      </c>
      <c r="C26" s="49"/>
      <c r="D26" s="49"/>
      <c r="E26" s="180"/>
      <c r="F26" s="180"/>
      <c r="G26" s="180"/>
      <c r="H26" s="180"/>
      <c r="I26" s="180"/>
      <c r="J26" s="180"/>
      <c r="K26" s="180"/>
      <c r="L26" s="180"/>
    </row>
    <row r="27" spans="2:12" x14ac:dyDescent="0.2">
      <c r="B27" s="49" t="s">
        <v>9</v>
      </c>
      <c r="C27" s="49"/>
      <c r="D27" s="49"/>
      <c r="E27" s="180"/>
      <c r="F27" s="180"/>
      <c r="G27" s="180"/>
      <c r="H27" s="180"/>
      <c r="I27" s="180"/>
      <c r="J27" s="180"/>
      <c r="K27" s="180"/>
      <c r="L27" s="180"/>
    </row>
    <row r="28" spans="2:12" x14ac:dyDescent="0.2">
      <c r="B28" s="49" t="s">
        <v>10</v>
      </c>
      <c r="C28" s="49"/>
      <c r="D28" s="49"/>
      <c r="E28" s="180"/>
      <c r="F28" s="180"/>
      <c r="G28" s="180"/>
      <c r="H28" s="180"/>
      <c r="I28" s="180"/>
      <c r="J28" s="180"/>
      <c r="K28" s="180"/>
      <c r="L28" s="180"/>
    </row>
    <row r="29" spans="2:12" x14ac:dyDescent="0.2">
      <c r="B29" s="49" t="s">
        <v>11</v>
      </c>
      <c r="C29" s="49"/>
      <c r="D29" s="49"/>
      <c r="E29" s="180"/>
      <c r="F29" s="180"/>
      <c r="G29" s="180"/>
      <c r="H29" s="180"/>
      <c r="I29" s="180"/>
      <c r="J29" s="180"/>
      <c r="K29" s="180"/>
      <c r="L29" s="180"/>
    </row>
    <row r="30" spans="2:12" x14ac:dyDescent="0.2">
      <c r="B30" s="49" t="s">
        <v>12</v>
      </c>
      <c r="C30" s="49"/>
      <c r="D30" s="49"/>
      <c r="E30" s="180"/>
      <c r="F30" s="180"/>
      <c r="G30" s="180"/>
      <c r="H30" s="180"/>
      <c r="I30" s="180"/>
      <c r="J30" s="180"/>
      <c r="K30" s="180"/>
      <c r="L30" s="180"/>
    </row>
    <row r="31" spans="2:12" x14ac:dyDescent="0.2">
      <c r="B31" s="49" t="s">
        <v>13</v>
      </c>
      <c r="C31" s="49"/>
      <c r="D31" s="49"/>
      <c r="E31" s="180"/>
      <c r="F31" s="180"/>
      <c r="G31" s="180"/>
      <c r="H31" s="180"/>
      <c r="I31" s="180"/>
      <c r="J31" s="180"/>
      <c r="K31" s="180"/>
      <c r="L31" s="180"/>
    </row>
    <row r="32" spans="2:12" x14ac:dyDescent="0.2">
      <c r="B32" s="49" t="s">
        <v>14</v>
      </c>
      <c r="C32" s="49"/>
      <c r="D32" s="49"/>
      <c r="E32" s="180"/>
      <c r="F32" s="180"/>
      <c r="G32" s="180"/>
      <c r="H32" s="180"/>
      <c r="I32" s="180"/>
      <c r="J32" s="180"/>
      <c r="K32" s="180"/>
      <c r="L32" s="180"/>
    </row>
    <row r="33" spans="2:14" x14ac:dyDescent="0.2">
      <c r="B33" s="49" t="s">
        <v>15</v>
      </c>
      <c r="C33" s="49"/>
      <c r="D33" s="49"/>
      <c r="E33" s="180"/>
      <c r="F33" s="180"/>
      <c r="G33" s="180"/>
      <c r="H33" s="180"/>
      <c r="I33" s="180"/>
      <c r="J33" s="180"/>
      <c r="K33" s="180"/>
      <c r="L33" s="180"/>
    </row>
    <row r="34" spans="2:14" x14ac:dyDescent="0.2">
      <c r="B34" s="49" t="s">
        <v>16</v>
      </c>
      <c r="C34" s="49"/>
      <c r="D34" s="49"/>
      <c r="E34" s="180"/>
      <c r="F34" s="180"/>
      <c r="G34" s="180"/>
      <c r="H34" s="180"/>
      <c r="I34" s="180"/>
      <c r="J34" s="180"/>
      <c r="K34" s="180"/>
      <c r="L34" s="180"/>
    </row>
    <row r="35" spans="2:14" x14ac:dyDescent="0.2">
      <c r="B35" s="49" t="s">
        <v>17</v>
      </c>
      <c r="C35" s="49"/>
      <c r="D35" s="49"/>
      <c r="E35" s="180"/>
      <c r="F35" s="180"/>
      <c r="G35" s="180"/>
      <c r="H35" s="180"/>
      <c r="I35" s="180"/>
      <c r="J35" s="180"/>
      <c r="K35" s="180"/>
      <c r="L35" s="180"/>
    </row>
    <row r="36" spans="2:14" x14ac:dyDescent="0.2">
      <c r="B36" s="51" t="s">
        <v>18</v>
      </c>
      <c r="C36" s="51"/>
      <c r="D36" s="51"/>
      <c r="E36" s="25">
        <f>SUM(E26:E35)</f>
        <v>0</v>
      </c>
      <c r="F36" s="25">
        <f t="shared" ref="F36:L36" si="4">SUM(F26:F35)</f>
        <v>0</v>
      </c>
      <c r="G36" s="25">
        <f t="shared" si="4"/>
        <v>0</v>
      </c>
      <c r="H36" s="25">
        <f t="shared" si="4"/>
        <v>0</v>
      </c>
      <c r="I36" s="25">
        <f t="shared" si="4"/>
        <v>0</v>
      </c>
      <c r="J36" s="25">
        <f t="shared" si="4"/>
        <v>0</v>
      </c>
      <c r="K36" s="25">
        <f t="shared" si="4"/>
        <v>0</v>
      </c>
      <c r="L36" s="25">
        <f t="shared" si="4"/>
        <v>0</v>
      </c>
    </row>
    <row r="37" spans="2:14" ht="10.8" thickBot="1" x14ac:dyDescent="0.25">
      <c r="B37" s="53" t="s">
        <v>20</v>
      </c>
      <c r="C37" s="53"/>
      <c r="D37" s="53"/>
      <c r="E37" s="183">
        <f>E23-E36</f>
        <v>0</v>
      </c>
      <c r="F37" s="183">
        <f t="shared" ref="F37:L37" si="5">F23-F36</f>
        <v>0</v>
      </c>
      <c r="G37" s="183">
        <f t="shared" si="5"/>
        <v>0</v>
      </c>
      <c r="H37" s="183">
        <f t="shared" si="5"/>
        <v>0</v>
      </c>
      <c r="I37" s="183">
        <f t="shared" si="5"/>
        <v>0</v>
      </c>
      <c r="J37" s="183">
        <f t="shared" si="5"/>
        <v>0</v>
      </c>
      <c r="K37" s="183">
        <f t="shared" si="5"/>
        <v>0</v>
      </c>
      <c r="L37" s="183">
        <f t="shared" si="5"/>
        <v>0</v>
      </c>
    </row>
    <row r="38" spans="2:14" x14ac:dyDescent="0.2">
      <c r="B38" s="54" t="s">
        <v>85</v>
      </c>
      <c r="C38" s="54"/>
      <c r="D38" s="54"/>
      <c r="E38" s="180"/>
      <c r="F38" s="180"/>
      <c r="G38" s="180"/>
      <c r="H38" s="132"/>
      <c r="I38" s="132"/>
      <c r="J38" s="132"/>
      <c r="K38" s="132"/>
      <c r="L38" s="132"/>
    </row>
    <row r="39" spans="2:14" x14ac:dyDescent="0.2">
      <c r="B39" s="49"/>
      <c r="C39" s="49"/>
      <c r="D39" s="49"/>
      <c r="E39" s="180"/>
      <c r="F39" s="180"/>
      <c r="G39" s="180"/>
      <c r="H39" s="132"/>
      <c r="I39" s="132"/>
      <c r="J39" s="132"/>
      <c r="K39" s="132"/>
      <c r="L39" s="132"/>
    </row>
    <row r="40" spans="2:14" x14ac:dyDescent="0.2">
      <c r="B40" s="49" t="s">
        <v>21</v>
      </c>
      <c r="C40" s="49"/>
      <c r="D40" s="49"/>
      <c r="E40" s="180"/>
      <c r="F40" s="180"/>
      <c r="G40" s="180"/>
      <c r="H40" s="180"/>
      <c r="I40" s="180"/>
      <c r="J40" s="180"/>
      <c r="K40" s="180"/>
      <c r="L40" s="180"/>
    </row>
    <row r="41" spans="2:14" x14ac:dyDescent="0.2">
      <c r="B41" s="50" t="s">
        <v>22</v>
      </c>
      <c r="C41" s="50"/>
      <c r="D41" s="50"/>
      <c r="E41" s="180"/>
      <c r="F41" s="180"/>
      <c r="G41" s="180"/>
      <c r="H41" s="180"/>
      <c r="I41" s="180"/>
      <c r="J41" s="180"/>
      <c r="K41" s="180"/>
      <c r="L41" s="180"/>
      <c r="N41" s="70"/>
    </row>
    <row r="42" spans="2:14" x14ac:dyDescent="0.2">
      <c r="B42" s="50" t="s">
        <v>75</v>
      </c>
      <c r="C42" s="50"/>
      <c r="D42" s="50"/>
      <c r="E42" s="180"/>
      <c r="F42" s="180"/>
      <c r="G42" s="180"/>
      <c r="H42" s="180"/>
      <c r="I42" s="180"/>
      <c r="J42" s="180"/>
      <c r="K42" s="180"/>
      <c r="L42" s="180"/>
    </row>
    <row r="43" spans="2:14" x14ac:dyDescent="0.2">
      <c r="B43" s="51" t="s">
        <v>23</v>
      </c>
      <c r="C43" s="51"/>
      <c r="D43" s="51"/>
      <c r="E43" s="25">
        <f>SUM(E40:E42)</f>
        <v>0</v>
      </c>
      <c r="F43" s="25">
        <f t="shared" ref="F43:L43" si="6">SUM(F40:F42)</f>
        <v>0</v>
      </c>
      <c r="G43" s="25">
        <f t="shared" si="6"/>
        <v>0</v>
      </c>
      <c r="H43" s="25">
        <f t="shared" si="6"/>
        <v>0</v>
      </c>
      <c r="I43" s="25">
        <f t="shared" si="6"/>
        <v>0</v>
      </c>
      <c r="J43" s="25">
        <f t="shared" si="6"/>
        <v>0</v>
      </c>
      <c r="K43" s="25">
        <f t="shared" si="6"/>
        <v>0</v>
      </c>
      <c r="L43" s="25">
        <f t="shared" si="6"/>
        <v>0</v>
      </c>
    </row>
    <row r="44" spans="2:14" x14ac:dyDescent="0.2">
      <c r="B44" s="55" t="s">
        <v>24</v>
      </c>
      <c r="C44" s="55"/>
      <c r="D44" s="55"/>
      <c r="E44" s="184">
        <f>E37-E43</f>
        <v>0</v>
      </c>
      <c r="F44" s="184">
        <f t="shared" ref="F44:L44" si="7">F37-F43</f>
        <v>0</v>
      </c>
      <c r="G44" s="184">
        <f t="shared" si="7"/>
        <v>0</v>
      </c>
      <c r="H44" s="184">
        <f t="shared" si="7"/>
        <v>0</v>
      </c>
      <c r="I44" s="184">
        <f t="shared" si="7"/>
        <v>0</v>
      </c>
      <c r="J44" s="184">
        <f t="shared" si="7"/>
        <v>0</v>
      </c>
      <c r="K44" s="184">
        <f t="shared" si="7"/>
        <v>0</v>
      </c>
      <c r="L44" s="184">
        <f t="shared" si="7"/>
        <v>0</v>
      </c>
    </row>
    <row r="45" spans="2:14" x14ac:dyDescent="0.2">
      <c r="B45" s="52"/>
      <c r="C45" s="52"/>
      <c r="D45" s="52"/>
      <c r="E45" s="182"/>
      <c r="F45" s="182"/>
      <c r="G45" s="182"/>
      <c r="H45" s="132"/>
      <c r="I45" s="132"/>
      <c r="J45" s="132"/>
      <c r="K45" s="132"/>
      <c r="L45" s="132"/>
    </row>
    <row r="46" spans="2:14" x14ac:dyDescent="0.2">
      <c r="B46" s="50" t="s">
        <v>25</v>
      </c>
      <c r="C46" s="50"/>
      <c r="D46" s="50"/>
      <c r="E46" s="180"/>
      <c r="F46" s="180"/>
      <c r="G46" s="180"/>
      <c r="H46" s="180"/>
      <c r="I46" s="180"/>
      <c r="J46" s="180"/>
      <c r="K46" s="180"/>
      <c r="L46" s="180"/>
    </row>
    <row r="47" spans="2:14" ht="10.8" thickBot="1" x14ac:dyDescent="0.25">
      <c r="B47" s="56" t="s">
        <v>26</v>
      </c>
      <c r="C47" s="56"/>
      <c r="D47" s="56"/>
      <c r="E47" s="185">
        <f>E44-E46</f>
        <v>0</v>
      </c>
      <c r="F47" s="185">
        <f t="shared" ref="F47:L47" si="8">F44-F46</f>
        <v>0</v>
      </c>
      <c r="G47" s="185">
        <f t="shared" si="8"/>
        <v>0</v>
      </c>
      <c r="H47" s="185">
        <f t="shared" si="8"/>
        <v>0</v>
      </c>
      <c r="I47" s="185">
        <f t="shared" si="8"/>
        <v>0</v>
      </c>
      <c r="J47" s="185">
        <f t="shared" si="8"/>
        <v>0</v>
      </c>
      <c r="K47" s="185">
        <f t="shared" si="8"/>
        <v>0</v>
      </c>
      <c r="L47" s="185">
        <f t="shared" si="8"/>
        <v>0</v>
      </c>
    </row>
    <row r="48" spans="2:14" ht="10.8" thickTop="1" x14ac:dyDescent="0.2">
      <c r="B48" s="54" t="s">
        <v>86</v>
      </c>
      <c r="C48" s="54"/>
      <c r="D48" s="54"/>
      <c r="E48" s="134"/>
      <c r="F48" s="134"/>
      <c r="G48" s="134"/>
      <c r="H48" s="132"/>
      <c r="I48" s="132"/>
      <c r="J48" s="132"/>
      <c r="K48" s="132"/>
      <c r="L48" s="132"/>
    </row>
    <row r="49" spans="2:12" x14ac:dyDescent="0.2">
      <c r="B49" s="57"/>
      <c r="C49" s="57"/>
      <c r="D49" s="57"/>
      <c r="E49" s="134"/>
      <c r="F49" s="134"/>
      <c r="G49" s="134"/>
      <c r="H49" s="132"/>
      <c r="I49" s="132"/>
      <c r="J49" s="132"/>
      <c r="K49" s="132"/>
      <c r="L49" s="132"/>
    </row>
    <row r="50" spans="2:12" x14ac:dyDescent="0.2">
      <c r="B50" s="48" t="s">
        <v>27</v>
      </c>
      <c r="C50" s="48"/>
      <c r="D50" s="48"/>
      <c r="E50" s="36">
        <f>E$7</f>
        <v>2020</v>
      </c>
      <c r="F50" s="36">
        <f t="shared" ref="F50:L50" si="9">F$7</f>
        <v>2021</v>
      </c>
      <c r="G50" s="36">
        <f t="shared" si="9"/>
        <v>2022</v>
      </c>
      <c r="H50" s="36">
        <f t="shared" si="9"/>
        <v>2023</v>
      </c>
      <c r="I50" s="36">
        <f t="shared" si="9"/>
        <v>2024</v>
      </c>
      <c r="J50" s="36">
        <f t="shared" si="9"/>
        <v>2025</v>
      </c>
      <c r="K50" s="36">
        <f t="shared" si="9"/>
        <v>2026</v>
      </c>
      <c r="L50" s="36">
        <f t="shared" si="9"/>
        <v>2027</v>
      </c>
    </row>
    <row r="51" spans="2:12" x14ac:dyDescent="0.2">
      <c r="B51" s="58" t="s">
        <v>28</v>
      </c>
      <c r="C51" s="58"/>
      <c r="D51" s="58"/>
      <c r="E51" s="180"/>
      <c r="F51" s="180"/>
      <c r="G51" s="180"/>
      <c r="H51" s="132"/>
      <c r="I51" s="132"/>
      <c r="J51" s="132"/>
      <c r="K51" s="132"/>
      <c r="L51" s="132"/>
    </row>
    <row r="52" spans="2:12" x14ac:dyDescent="0.2">
      <c r="B52" s="49" t="s">
        <v>29</v>
      </c>
      <c r="C52" s="49"/>
      <c r="D52" s="49"/>
      <c r="E52" s="180"/>
      <c r="F52" s="180"/>
      <c r="G52" s="180"/>
      <c r="H52" s="180"/>
      <c r="I52" s="180"/>
      <c r="J52" s="180"/>
      <c r="K52" s="180"/>
      <c r="L52" s="180"/>
    </row>
    <row r="53" spans="2:12" x14ac:dyDescent="0.2">
      <c r="B53" s="49" t="s">
        <v>30</v>
      </c>
      <c r="C53" s="49"/>
      <c r="D53" s="49"/>
      <c r="E53" s="180"/>
      <c r="F53" s="180"/>
      <c r="G53" s="180"/>
      <c r="H53" s="180"/>
      <c r="I53" s="180"/>
      <c r="J53" s="180"/>
      <c r="K53" s="180"/>
      <c r="L53" s="180"/>
    </row>
    <row r="54" spans="2:12" x14ac:dyDescent="0.2">
      <c r="B54" s="49" t="s">
        <v>31</v>
      </c>
      <c r="C54" s="49"/>
      <c r="D54" s="49"/>
      <c r="E54" s="180">
        <f>-E11</f>
        <v>-51400</v>
      </c>
      <c r="F54" s="180">
        <f t="shared" ref="F54:L54" si="10">-F11</f>
        <v>-51400</v>
      </c>
      <c r="G54" s="180">
        <f t="shared" si="10"/>
        <v>-51400</v>
      </c>
      <c r="H54" s="180">
        <f t="shared" si="10"/>
        <v>-51400</v>
      </c>
      <c r="I54" s="180">
        <f t="shared" si="10"/>
        <v>-51400</v>
      </c>
      <c r="J54" s="180">
        <f t="shared" si="10"/>
        <v>-51400</v>
      </c>
      <c r="K54" s="180">
        <f t="shared" si="10"/>
        <v>-51400</v>
      </c>
      <c r="L54" s="180">
        <f t="shared" si="10"/>
        <v>-51400</v>
      </c>
    </row>
    <row r="55" spans="2:12" x14ac:dyDescent="0.2">
      <c r="B55" s="49" t="s">
        <v>32</v>
      </c>
      <c r="C55" s="49"/>
      <c r="D55" s="49"/>
      <c r="E55" s="180"/>
      <c r="F55" s="180"/>
      <c r="G55" s="180"/>
      <c r="H55" s="180"/>
      <c r="I55" s="180"/>
      <c r="J55" s="180"/>
      <c r="K55" s="180"/>
      <c r="L55" s="180"/>
    </row>
    <row r="56" spans="2:12" x14ac:dyDescent="0.2">
      <c r="B56" s="49" t="s">
        <v>33</v>
      </c>
      <c r="C56" s="49"/>
      <c r="D56" s="49"/>
      <c r="E56" s="180"/>
      <c r="F56" s="180"/>
      <c r="G56" s="180"/>
      <c r="H56" s="180"/>
      <c r="I56" s="180"/>
      <c r="J56" s="180"/>
      <c r="K56" s="180"/>
      <c r="L56" s="180"/>
    </row>
    <row r="57" spans="2:12" x14ac:dyDescent="0.2">
      <c r="B57" s="49" t="s">
        <v>76</v>
      </c>
      <c r="C57" s="49"/>
      <c r="D57" s="49"/>
      <c r="E57" s="180"/>
      <c r="F57" s="180"/>
      <c r="G57" s="180"/>
      <c r="H57" s="180"/>
      <c r="I57" s="180"/>
      <c r="J57" s="180"/>
      <c r="K57" s="180"/>
      <c r="L57" s="180"/>
    </row>
    <row r="58" spans="2:12" x14ac:dyDescent="0.2">
      <c r="B58" s="49" t="s">
        <v>77</v>
      </c>
      <c r="C58" s="49"/>
      <c r="D58" s="49"/>
      <c r="E58" s="180">
        <f>-E14</f>
        <v>-15000</v>
      </c>
      <c r="F58" s="180">
        <f t="shared" ref="F58:L58" si="11">-F14</f>
        <v>-15000</v>
      </c>
      <c r="G58" s="180">
        <f t="shared" si="11"/>
        <v>-15000</v>
      </c>
      <c r="H58" s="180">
        <f t="shared" si="11"/>
        <v>-20000</v>
      </c>
      <c r="I58" s="180">
        <f t="shared" si="11"/>
        <v>-20000</v>
      </c>
      <c r="J58" s="180">
        <f t="shared" si="11"/>
        <v>-20000</v>
      </c>
      <c r="K58" s="180">
        <f t="shared" si="11"/>
        <v>-20000</v>
      </c>
      <c r="L58" s="180">
        <f t="shared" si="11"/>
        <v>-20000</v>
      </c>
    </row>
    <row r="59" spans="2:12" ht="10.8" thickBot="1" x14ac:dyDescent="0.25">
      <c r="B59" s="56" t="s">
        <v>34</v>
      </c>
      <c r="C59" s="56"/>
      <c r="D59" s="56"/>
      <c r="E59" s="185">
        <f>SUM(E52:E58)</f>
        <v>-66400</v>
      </c>
      <c r="F59" s="185">
        <f t="shared" ref="F59:L59" si="12">SUM(F52:F58)</f>
        <v>-66400</v>
      </c>
      <c r="G59" s="185">
        <f t="shared" si="12"/>
        <v>-66400</v>
      </c>
      <c r="H59" s="185">
        <f t="shared" si="12"/>
        <v>-71400</v>
      </c>
      <c r="I59" s="185">
        <f t="shared" si="12"/>
        <v>-71400</v>
      </c>
      <c r="J59" s="185">
        <f t="shared" si="12"/>
        <v>-71400</v>
      </c>
      <c r="K59" s="185">
        <f t="shared" si="12"/>
        <v>-71400</v>
      </c>
      <c r="L59" s="185">
        <f t="shared" si="12"/>
        <v>-71400</v>
      </c>
    </row>
    <row r="60" spans="2:12" ht="10.8" thickTop="1" x14ac:dyDescent="0.2">
      <c r="B60" s="52"/>
      <c r="C60" s="52"/>
      <c r="D60" s="52"/>
      <c r="E60" s="182"/>
      <c r="F60" s="182"/>
      <c r="G60" s="182"/>
      <c r="H60" s="132"/>
      <c r="I60" s="132"/>
      <c r="J60" s="132"/>
      <c r="K60" s="132"/>
      <c r="L60" s="132"/>
    </row>
    <row r="61" spans="2:12" x14ac:dyDescent="0.2">
      <c r="B61" s="58" t="s">
        <v>35</v>
      </c>
      <c r="C61" s="58"/>
      <c r="D61" s="58"/>
      <c r="E61" s="180"/>
      <c r="F61" s="180"/>
      <c r="G61" s="180"/>
      <c r="H61" s="132"/>
      <c r="I61" s="132"/>
      <c r="J61" s="132"/>
      <c r="K61" s="132"/>
      <c r="L61" s="132"/>
    </row>
    <row r="62" spans="2:12" x14ac:dyDescent="0.2">
      <c r="B62" s="49" t="s">
        <v>36</v>
      </c>
      <c r="C62" s="49"/>
      <c r="D62" s="49"/>
      <c r="E62" s="180"/>
      <c r="F62" s="180"/>
      <c r="G62" s="180"/>
      <c r="H62" s="180"/>
      <c r="I62" s="180"/>
      <c r="J62" s="180"/>
      <c r="K62" s="180"/>
      <c r="L62" s="180"/>
    </row>
    <row r="63" spans="2:12" x14ac:dyDescent="0.2">
      <c r="B63" s="49" t="s">
        <v>37</v>
      </c>
      <c r="C63" s="49"/>
      <c r="D63" s="49"/>
      <c r="E63" s="180">
        <f>-E12</f>
        <v>-51400</v>
      </c>
      <c r="F63" s="180">
        <f t="shared" ref="F63:L63" si="13">-F12</f>
        <v>-51400</v>
      </c>
      <c r="G63" s="180">
        <f t="shared" si="13"/>
        <v>-51400</v>
      </c>
      <c r="H63" s="180">
        <f t="shared" si="13"/>
        <v>-51400</v>
      </c>
      <c r="I63" s="180">
        <f t="shared" si="13"/>
        <v>-51400</v>
      </c>
      <c r="J63" s="180">
        <f t="shared" si="13"/>
        <v>-51400</v>
      </c>
      <c r="K63" s="180">
        <f t="shared" si="13"/>
        <v>-51400</v>
      </c>
      <c r="L63" s="180">
        <f t="shared" si="13"/>
        <v>-51400</v>
      </c>
    </row>
    <row r="64" spans="2:12" x14ac:dyDescent="0.2">
      <c r="B64" s="49" t="s">
        <v>38</v>
      </c>
      <c r="C64" s="49"/>
      <c r="D64" s="49"/>
      <c r="E64" s="180"/>
      <c r="F64" s="180"/>
      <c r="G64" s="180"/>
      <c r="H64" s="180"/>
      <c r="I64" s="180"/>
      <c r="J64" s="180"/>
      <c r="K64" s="180"/>
      <c r="L64" s="180"/>
    </row>
    <row r="65" spans="2:12" x14ac:dyDescent="0.2">
      <c r="B65" s="44" t="s">
        <v>87</v>
      </c>
      <c r="C65" s="44"/>
      <c r="D65" s="44"/>
      <c r="E65" s="180"/>
      <c r="F65" s="180"/>
      <c r="G65" s="180"/>
      <c r="H65" s="180"/>
      <c r="I65" s="180"/>
      <c r="J65" s="180"/>
      <c r="K65" s="180"/>
      <c r="L65" s="180"/>
    </row>
    <row r="66" spans="2:12" x14ac:dyDescent="0.2">
      <c r="B66" s="55" t="s">
        <v>39</v>
      </c>
      <c r="C66" s="55"/>
      <c r="D66" s="55"/>
      <c r="E66" s="184">
        <f>SUM(E62:E65)</f>
        <v>-51400</v>
      </c>
      <c r="F66" s="184">
        <f t="shared" ref="F66:L66" si="14">SUM(F62:F65)</f>
        <v>-51400</v>
      </c>
      <c r="G66" s="184">
        <f t="shared" si="14"/>
        <v>-51400</v>
      </c>
      <c r="H66" s="184">
        <f t="shared" si="14"/>
        <v>-51400</v>
      </c>
      <c r="I66" s="184">
        <f t="shared" si="14"/>
        <v>-51400</v>
      </c>
      <c r="J66" s="184">
        <f t="shared" si="14"/>
        <v>-51400</v>
      </c>
      <c r="K66" s="184">
        <f t="shared" si="14"/>
        <v>-51400</v>
      </c>
      <c r="L66" s="184">
        <f t="shared" si="14"/>
        <v>-51400</v>
      </c>
    </row>
    <row r="67" spans="2:12" x14ac:dyDescent="0.2">
      <c r="B67" s="58" t="s">
        <v>40</v>
      </c>
      <c r="C67" s="58"/>
      <c r="D67" s="58"/>
      <c r="E67" s="180"/>
      <c r="F67" s="180"/>
      <c r="G67" s="180"/>
      <c r="H67" s="132"/>
      <c r="I67" s="132"/>
      <c r="J67" s="132"/>
      <c r="K67" s="132"/>
      <c r="L67" s="132"/>
    </row>
    <row r="68" spans="2:12" x14ac:dyDescent="0.2">
      <c r="B68" s="49" t="s">
        <v>41</v>
      </c>
      <c r="C68" s="49"/>
      <c r="D68" s="49"/>
      <c r="E68" s="180">
        <f>-E14</f>
        <v>-15000</v>
      </c>
      <c r="F68" s="180">
        <f t="shared" ref="F68:L68" si="15">-F14</f>
        <v>-15000</v>
      </c>
      <c r="G68" s="180">
        <f t="shared" si="15"/>
        <v>-15000</v>
      </c>
      <c r="H68" s="180">
        <f t="shared" si="15"/>
        <v>-20000</v>
      </c>
      <c r="I68" s="180">
        <f t="shared" si="15"/>
        <v>-20000</v>
      </c>
      <c r="J68" s="180">
        <f t="shared" si="15"/>
        <v>-20000</v>
      </c>
      <c r="K68" s="180">
        <f t="shared" si="15"/>
        <v>-20000</v>
      </c>
      <c r="L68" s="180">
        <f t="shared" si="15"/>
        <v>-20000</v>
      </c>
    </row>
    <row r="69" spans="2:12" x14ac:dyDescent="0.2">
      <c r="B69" s="49" t="s">
        <v>42</v>
      </c>
      <c r="C69" s="49"/>
      <c r="D69" s="49"/>
      <c r="E69" s="180"/>
      <c r="F69" s="180"/>
      <c r="G69" s="180"/>
      <c r="H69" s="180"/>
      <c r="I69" s="180"/>
      <c r="J69" s="180"/>
      <c r="K69" s="180"/>
      <c r="L69" s="180"/>
    </row>
    <row r="70" spans="2:12" x14ac:dyDescent="0.2">
      <c r="B70" s="51" t="s">
        <v>40</v>
      </c>
      <c r="C70" s="51"/>
      <c r="D70" s="51"/>
      <c r="E70" s="25">
        <f>SUM(E68:E69)</f>
        <v>-15000</v>
      </c>
      <c r="F70" s="25">
        <f t="shared" ref="F70:L70" si="16">SUM(F68:F69)</f>
        <v>-15000</v>
      </c>
      <c r="G70" s="25">
        <f t="shared" si="16"/>
        <v>-15000</v>
      </c>
      <c r="H70" s="25">
        <f t="shared" si="16"/>
        <v>-20000</v>
      </c>
      <c r="I70" s="25">
        <f t="shared" si="16"/>
        <v>-20000</v>
      </c>
      <c r="J70" s="25">
        <f t="shared" si="16"/>
        <v>-20000</v>
      </c>
      <c r="K70" s="25">
        <f t="shared" si="16"/>
        <v>-20000</v>
      </c>
      <c r="L70" s="25">
        <f t="shared" si="16"/>
        <v>-20000</v>
      </c>
    </row>
    <row r="71" spans="2:12" ht="10.8" thickBot="1" x14ac:dyDescent="0.25">
      <c r="B71" s="56" t="s">
        <v>43</v>
      </c>
      <c r="C71" s="56"/>
      <c r="D71" s="56"/>
      <c r="E71" s="185">
        <f>E66+E70</f>
        <v>-66400</v>
      </c>
      <c r="F71" s="185">
        <f t="shared" ref="F71:L71" si="17">F66+F70</f>
        <v>-66400</v>
      </c>
      <c r="G71" s="185">
        <f t="shared" si="17"/>
        <v>-66400</v>
      </c>
      <c r="H71" s="185">
        <f t="shared" si="17"/>
        <v>-71400</v>
      </c>
      <c r="I71" s="185">
        <f t="shared" si="17"/>
        <v>-71400</v>
      </c>
      <c r="J71" s="185">
        <f t="shared" si="17"/>
        <v>-71400</v>
      </c>
      <c r="K71" s="185">
        <f t="shared" si="17"/>
        <v>-71400</v>
      </c>
      <c r="L71" s="185">
        <f t="shared" si="17"/>
        <v>-71400</v>
      </c>
    </row>
    <row r="72" spans="2:12" ht="10.8" thickTop="1" x14ac:dyDescent="0.2">
      <c r="B72" s="49"/>
      <c r="C72" s="49"/>
      <c r="D72" s="49"/>
      <c r="E72" s="26"/>
      <c r="F72" s="26"/>
      <c r="G72" s="26"/>
      <c r="H72" s="26"/>
      <c r="I72" s="26"/>
      <c r="J72" s="26"/>
      <c r="K72" s="26"/>
      <c r="L72" s="26"/>
    </row>
    <row r="73" spans="2:12" x14ac:dyDescent="0.2">
      <c r="B73" s="59" t="s">
        <v>44</v>
      </c>
      <c r="C73" s="59"/>
      <c r="D73" s="59"/>
      <c r="E73" s="5">
        <f>E71-E59</f>
        <v>0</v>
      </c>
      <c r="F73" s="5">
        <f>F71-F59</f>
        <v>0</v>
      </c>
      <c r="G73" s="5">
        <f>G71-G59</f>
        <v>0</v>
      </c>
      <c r="H73" s="5">
        <f t="shared" ref="H73:L73" si="18">H71-H59</f>
        <v>0</v>
      </c>
      <c r="I73" s="5">
        <f t="shared" si="18"/>
        <v>0</v>
      </c>
      <c r="J73" s="5">
        <f t="shared" si="18"/>
        <v>0</v>
      </c>
      <c r="K73" s="5">
        <f t="shared" si="18"/>
        <v>0</v>
      </c>
      <c r="L73" s="5">
        <f t="shared" si="18"/>
        <v>0</v>
      </c>
    </row>
    <row r="74" spans="2:12" x14ac:dyDescent="0.2">
      <c r="B74" s="59"/>
      <c r="C74" s="59"/>
      <c r="D74" s="59"/>
      <c r="E74" s="5"/>
      <c r="F74" s="5"/>
      <c r="G74" s="5"/>
    </row>
    <row r="75" spans="2:12" x14ac:dyDescent="0.2">
      <c r="B75" s="59"/>
      <c r="C75" s="59"/>
      <c r="D75" s="59"/>
      <c r="E75" s="5"/>
      <c r="F75" s="5"/>
      <c r="G75" s="5"/>
    </row>
    <row r="76" spans="2:12" x14ac:dyDescent="0.2">
      <c r="B76" s="60" t="s">
        <v>45</v>
      </c>
      <c r="C76" s="60"/>
      <c r="D76" s="60"/>
      <c r="E76" s="36">
        <f>E$7</f>
        <v>2020</v>
      </c>
      <c r="F76" s="36">
        <f t="shared" ref="F76:L76" si="19">F$7</f>
        <v>2021</v>
      </c>
      <c r="G76" s="36">
        <f t="shared" si="19"/>
        <v>2022</v>
      </c>
      <c r="H76" s="36">
        <f t="shared" si="19"/>
        <v>2023</v>
      </c>
      <c r="I76" s="36">
        <f t="shared" si="19"/>
        <v>2024</v>
      </c>
      <c r="J76" s="36">
        <f t="shared" si="19"/>
        <v>2025</v>
      </c>
      <c r="K76" s="36">
        <f t="shared" si="19"/>
        <v>2026</v>
      </c>
      <c r="L76" s="36">
        <f t="shared" si="19"/>
        <v>2027</v>
      </c>
    </row>
    <row r="77" spans="2:12" x14ac:dyDescent="0.2">
      <c r="B77" s="58" t="s">
        <v>46</v>
      </c>
      <c r="C77" s="58"/>
      <c r="D77" s="58"/>
      <c r="E77" s="26"/>
      <c r="F77" s="26"/>
      <c r="G77" s="26"/>
    </row>
    <row r="78" spans="2:12" x14ac:dyDescent="0.2">
      <c r="B78" s="49" t="s">
        <v>26</v>
      </c>
      <c r="C78" s="49"/>
      <c r="D78" s="49"/>
      <c r="E78" s="180"/>
      <c r="F78" s="180"/>
      <c r="G78" s="180"/>
      <c r="H78" s="180"/>
      <c r="I78" s="180"/>
      <c r="J78" s="180"/>
      <c r="K78" s="180"/>
      <c r="L78" s="180"/>
    </row>
    <row r="79" spans="2:12" x14ac:dyDescent="0.2">
      <c r="B79" s="49" t="s">
        <v>47</v>
      </c>
      <c r="C79" s="49"/>
      <c r="D79" s="49"/>
      <c r="E79" s="180"/>
      <c r="F79" s="180"/>
      <c r="G79" s="180"/>
      <c r="H79" s="180"/>
      <c r="I79" s="180"/>
      <c r="J79" s="180"/>
      <c r="K79" s="180"/>
      <c r="L79" s="180"/>
    </row>
    <row r="80" spans="2:12" x14ac:dyDescent="0.2">
      <c r="B80" s="49" t="s">
        <v>48</v>
      </c>
      <c r="C80" s="49"/>
      <c r="D80" s="49"/>
      <c r="E80" s="180"/>
      <c r="F80" s="180"/>
      <c r="G80" s="180"/>
      <c r="H80" s="180"/>
      <c r="I80" s="180"/>
      <c r="J80" s="180"/>
      <c r="K80" s="180"/>
      <c r="L80" s="180"/>
    </row>
    <row r="81" spans="2:12" x14ac:dyDescent="0.2">
      <c r="B81" s="49" t="s">
        <v>49</v>
      </c>
      <c r="C81" s="49"/>
      <c r="D81" s="49"/>
      <c r="E81" s="180"/>
      <c r="F81" s="180"/>
      <c r="G81" s="180"/>
      <c r="H81" s="180"/>
      <c r="I81" s="180"/>
      <c r="J81" s="180"/>
      <c r="K81" s="180"/>
      <c r="L81" s="180"/>
    </row>
    <row r="82" spans="2:12" x14ac:dyDescent="0.2">
      <c r="B82" s="51" t="s">
        <v>50</v>
      </c>
      <c r="C82" s="51"/>
      <c r="D82" s="51"/>
      <c r="E82" s="25">
        <f>E78+E79+E80-E81</f>
        <v>0</v>
      </c>
      <c r="F82" s="25">
        <f t="shared" ref="F82:L82" si="20">F78+F79+F80-F81</f>
        <v>0</v>
      </c>
      <c r="G82" s="25">
        <f t="shared" si="20"/>
        <v>0</v>
      </c>
      <c r="H82" s="25">
        <f t="shared" si="20"/>
        <v>0</v>
      </c>
      <c r="I82" s="25">
        <f t="shared" si="20"/>
        <v>0</v>
      </c>
      <c r="J82" s="25">
        <f t="shared" si="20"/>
        <v>0</v>
      </c>
      <c r="K82" s="25">
        <f t="shared" si="20"/>
        <v>0</v>
      </c>
      <c r="L82" s="25">
        <f t="shared" si="20"/>
        <v>0</v>
      </c>
    </row>
    <row r="83" spans="2:12" x14ac:dyDescent="0.2">
      <c r="B83" s="52"/>
      <c r="C83" s="52"/>
      <c r="D83" s="52"/>
      <c r="E83" s="182"/>
      <c r="F83" s="182"/>
      <c r="G83" s="182"/>
      <c r="H83" s="132"/>
      <c r="I83" s="132"/>
      <c r="J83" s="132"/>
      <c r="K83" s="132"/>
      <c r="L83" s="132"/>
    </row>
    <row r="84" spans="2:12" x14ac:dyDescent="0.2">
      <c r="B84" s="58" t="s">
        <v>51</v>
      </c>
      <c r="C84" s="58"/>
      <c r="D84" s="58"/>
      <c r="E84" s="181"/>
      <c r="F84" s="181"/>
      <c r="G84" s="181"/>
      <c r="H84" s="132"/>
      <c r="I84" s="132"/>
      <c r="J84" s="132"/>
      <c r="K84" s="132"/>
      <c r="L84" s="132"/>
    </row>
    <row r="85" spans="2:12" x14ac:dyDescent="0.2">
      <c r="B85" s="49" t="s">
        <v>52</v>
      </c>
      <c r="C85" s="49"/>
      <c r="D85" s="49"/>
      <c r="E85" s="180"/>
      <c r="F85" s="180"/>
      <c r="G85" s="180"/>
      <c r="H85" s="180"/>
      <c r="I85" s="180"/>
      <c r="J85" s="180"/>
      <c r="K85" s="180"/>
      <c r="L85" s="180"/>
    </row>
    <row r="86" spans="2:12" x14ac:dyDescent="0.2">
      <c r="B86" s="49" t="s">
        <v>78</v>
      </c>
      <c r="C86" s="49"/>
      <c r="D86" s="49"/>
      <c r="E86" s="180"/>
      <c r="F86" s="180"/>
      <c r="G86" s="180"/>
      <c r="H86" s="180"/>
      <c r="I86" s="180"/>
      <c r="J86" s="180"/>
      <c r="K86" s="180"/>
      <c r="L86" s="180"/>
    </row>
    <row r="87" spans="2:12" x14ac:dyDescent="0.2">
      <c r="B87" s="49" t="s">
        <v>79</v>
      </c>
      <c r="C87" s="49"/>
      <c r="D87" s="49"/>
      <c r="E87" s="180"/>
      <c r="F87" s="180"/>
      <c r="G87" s="180"/>
      <c r="H87" s="180"/>
      <c r="I87" s="180"/>
      <c r="J87" s="180"/>
      <c r="K87" s="180"/>
      <c r="L87" s="180"/>
    </row>
    <row r="88" spans="2:12" x14ac:dyDescent="0.2">
      <c r="B88" s="49" t="s">
        <v>88</v>
      </c>
      <c r="C88" s="49"/>
      <c r="D88" s="49"/>
      <c r="E88" s="180"/>
      <c r="F88" s="180"/>
      <c r="G88" s="180"/>
      <c r="H88" s="180"/>
      <c r="I88" s="180"/>
      <c r="J88" s="180"/>
      <c r="K88" s="180"/>
      <c r="L88" s="180"/>
    </row>
    <row r="89" spans="2:12" x14ac:dyDescent="0.2">
      <c r="B89" s="61" t="s">
        <v>54</v>
      </c>
      <c r="C89" s="61"/>
      <c r="D89" s="61"/>
      <c r="E89" s="25">
        <f>SUM(E85:E88)</f>
        <v>0</v>
      </c>
      <c r="F89" s="25">
        <f t="shared" ref="F89:L89" si="21">SUM(F85:F88)</f>
        <v>0</v>
      </c>
      <c r="G89" s="25">
        <f t="shared" si="21"/>
        <v>0</v>
      </c>
      <c r="H89" s="25">
        <f t="shared" si="21"/>
        <v>0</v>
      </c>
      <c r="I89" s="25">
        <f t="shared" si="21"/>
        <v>0</v>
      </c>
      <c r="J89" s="25">
        <f t="shared" si="21"/>
        <v>0</v>
      </c>
      <c r="K89" s="25">
        <f t="shared" si="21"/>
        <v>0</v>
      </c>
      <c r="L89" s="25">
        <f t="shared" si="21"/>
        <v>0</v>
      </c>
    </row>
    <row r="90" spans="2:12" x14ac:dyDescent="0.2">
      <c r="B90" s="52"/>
      <c r="C90" s="52"/>
      <c r="D90" s="52"/>
      <c r="E90" s="182"/>
      <c r="F90" s="182"/>
      <c r="G90" s="182"/>
      <c r="H90" s="132"/>
      <c r="I90" s="132"/>
      <c r="J90" s="132"/>
      <c r="K90" s="132"/>
      <c r="L90" s="132"/>
    </row>
    <row r="91" spans="2:12" x14ac:dyDescent="0.2">
      <c r="B91" s="58" t="s">
        <v>55</v>
      </c>
      <c r="C91" s="58"/>
      <c r="D91" s="58"/>
      <c r="E91" s="181"/>
      <c r="F91" s="181"/>
      <c r="G91" s="181"/>
      <c r="H91" s="132"/>
      <c r="I91" s="132"/>
      <c r="J91" s="132"/>
      <c r="K91" s="132"/>
      <c r="L91" s="132"/>
    </row>
    <row r="92" spans="2:12" x14ac:dyDescent="0.2">
      <c r="B92" s="49" t="s">
        <v>56</v>
      </c>
      <c r="C92" s="49"/>
      <c r="D92" s="49"/>
      <c r="E92" s="180"/>
      <c r="F92" s="180"/>
      <c r="G92" s="180"/>
      <c r="H92" s="180"/>
      <c r="I92" s="180"/>
      <c r="J92" s="180"/>
      <c r="K92" s="180"/>
      <c r="L92" s="180"/>
    </row>
    <row r="93" spans="2:12" x14ac:dyDescent="0.2">
      <c r="B93" s="49" t="s">
        <v>57</v>
      </c>
      <c r="C93" s="49"/>
      <c r="D93" s="49"/>
      <c r="E93" s="180"/>
      <c r="F93" s="180"/>
      <c r="G93" s="180"/>
      <c r="H93" s="180"/>
      <c r="I93" s="180"/>
      <c r="J93" s="180"/>
      <c r="K93" s="180"/>
      <c r="L93" s="180"/>
    </row>
    <row r="94" spans="2:12" x14ac:dyDescent="0.2">
      <c r="B94" s="61" t="s">
        <v>58</v>
      </c>
      <c r="C94" s="61"/>
      <c r="D94" s="61"/>
      <c r="E94" s="25">
        <f>SUM(E92:E93)</f>
        <v>0</v>
      </c>
      <c r="F94" s="25">
        <f t="shared" ref="F94:L94" si="22">SUM(F92:F93)</f>
        <v>0</v>
      </c>
      <c r="G94" s="25">
        <f t="shared" si="22"/>
        <v>0</v>
      </c>
      <c r="H94" s="25">
        <f t="shared" si="22"/>
        <v>0</v>
      </c>
      <c r="I94" s="25">
        <f t="shared" si="22"/>
        <v>0</v>
      </c>
      <c r="J94" s="25">
        <f t="shared" si="22"/>
        <v>0</v>
      </c>
      <c r="K94" s="25">
        <f t="shared" si="22"/>
        <v>0</v>
      </c>
      <c r="L94" s="25">
        <f t="shared" si="22"/>
        <v>0</v>
      </c>
    </row>
    <row r="95" spans="2:12" x14ac:dyDescent="0.2">
      <c r="B95" s="52"/>
      <c r="C95" s="52"/>
      <c r="D95" s="52"/>
      <c r="E95" s="182"/>
      <c r="F95" s="182"/>
      <c r="G95" s="182"/>
      <c r="H95" s="182"/>
      <c r="I95" s="182"/>
      <c r="J95" s="182"/>
      <c r="K95" s="182"/>
      <c r="L95" s="182"/>
    </row>
    <row r="96" spans="2:12" x14ac:dyDescent="0.2">
      <c r="B96" s="51" t="s">
        <v>59</v>
      </c>
      <c r="C96" s="51"/>
      <c r="D96" s="51"/>
      <c r="E96" s="25">
        <f>E82+E89+E94</f>
        <v>0</v>
      </c>
      <c r="F96" s="25">
        <f t="shared" ref="F96:L96" si="23">F82+F89+F94</f>
        <v>0</v>
      </c>
      <c r="G96" s="25">
        <f t="shared" si="23"/>
        <v>0</v>
      </c>
      <c r="H96" s="25">
        <f t="shared" si="23"/>
        <v>0</v>
      </c>
      <c r="I96" s="25">
        <f t="shared" si="23"/>
        <v>0</v>
      </c>
      <c r="J96" s="25">
        <f t="shared" si="23"/>
        <v>0</v>
      </c>
      <c r="K96" s="25">
        <f t="shared" si="23"/>
        <v>0</v>
      </c>
      <c r="L96" s="25">
        <f t="shared" si="23"/>
        <v>0</v>
      </c>
    </row>
    <row r="97" spans="2:12" x14ac:dyDescent="0.2">
      <c r="B97" s="49" t="s">
        <v>60</v>
      </c>
      <c r="C97" s="49"/>
      <c r="D97" s="49"/>
      <c r="E97" s="180">
        <f>D98</f>
        <v>0</v>
      </c>
      <c r="F97" s="180">
        <f t="shared" ref="F97:L97" si="24">E98</f>
        <v>0</v>
      </c>
      <c r="G97" s="180">
        <f t="shared" si="24"/>
        <v>0</v>
      </c>
      <c r="H97" s="180">
        <f t="shared" si="24"/>
        <v>0</v>
      </c>
      <c r="I97" s="180">
        <f t="shared" si="24"/>
        <v>0</v>
      </c>
      <c r="J97" s="180">
        <f t="shared" si="24"/>
        <v>0</v>
      </c>
      <c r="K97" s="180">
        <f t="shared" si="24"/>
        <v>0</v>
      </c>
      <c r="L97" s="180">
        <f t="shared" si="24"/>
        <v>0</v>
      </c>
    </row>
    <row r="98" spans="2:12" ht="10.8" thickBot="1" x14ac:dyDescent="0.25">
      <c r="B98" s="53" t="s">
        <v>61</v>
      </c>
      <c r="C98" s="53"/>
      <c r="D98" s="53"/>
      <c r="E98" s="183">
        <f>SUM(E96:E97)</f>
        <v>0</v>
      </c>
      <c r="F98" s="183">
        <f t="shared" ref="F98:L98" si="25">SUM(F96:F97)</f>
        <v>0</v>
      </c>
      <c r="G98" s="183">
        <f t="shared" si="25"/>
        <v>0</v>
      </c>
      <c r="H98" s="183">
        <f t="shared" si="25"/>
        <v>0</v>
      </c>
      <c r="I98" s="183">
        <f t="shared" si="25"/>
        <v>0</v>
      </c>
      <c r="J98" s="183">
        <f t="shared" si="25"/>
        <v>0</v>
      </c>
      <c r="K98" s="183">
        <f t="shared" si="25"/>
        <v>0</v>
      </c>
      <c r="L98" s="183">
        <f t="shared" si="25"/>
        <v>0</v>
      </c>
    </row>
    <row r="99" spans="2:12" x14ac:dyDescent="0.2">
      <c r="B99" s="58"/>
      <c r="C99" s="58"/>
      <c r="D99" s="58"/>
      <c r="E99" s="15"/>
      <c r="F99" s="26"/>
      <c r="G99" s="26"/>
      <c r="H99" s="26"/>
      <c r="I99" s="26"/>
      <c r="J99" s="26"/>
      <c r="K99" s="26"/>
      <c r="L99" s="26"/>
    </row>
    <row r="100" spans="2:12" x14ac:dyDescent="0.2">
      <c r="B100" s="131" t="s">
        <v>62</v>
      </c>
      <c r="C100" s="131"/>
      <c r="D100" s="131"/>
      <c r="E100" s="28">
        <f>E98-E52</f>
        <v>0</v>
      </c>
      <c r="F100" s="28">
        <f>F98-F52</f>
        <v>0</v>
      </c>
      <c r="G100" s="28">
        <f>G98-G52</f>
        <v>0</v>
      </c>
      <c r="H100" s="28">
        <f t="shared" ref="H100:L100" si="26">H98-H52</f>
        <v>0</v>
      </c>
      <c r="I100" s="28">
        <f t="shared" si="26"/>
        <v>0</v>
      </c>
      <c r="J100" s="28">
        <f t="shared" si="26"/>
        <v>0</v>
      </c>
      <c r="K100" s="28">
        <f t="shared" si="26"/>
        <v>0</v>
      </c>
      <c r="L100" s="28">
        <f t="shared" si="26"/>
        <v>0</v>
      </c>
    </row>
    <row r="101" spans="2:12" x14ac:dyDescent="0.2">
      <c r="B101" s="131" t="s">
        <v>63</v>
      </c>
      <c r="C101" s="131"/>
      <c r="D101" s="131"/>
      <c r="E101" s="28">
        <f>E78-E47</f>
        <v>0</v>
      </c>
      <c r="F101" s="28">
        <f>F78-F47</f>
        <v>0</v>
      </c>
      <c r="G101" s="28">
        <f>G78-G47</f>
        <v>0</v>
      </c>
      <c r="H101" s="28">
        <f t="shared" ref="H101:L101" si="27">H78-H47</f>
        <v>0</v>
      </c>
      <c r="I101" s="28">
        <f t="shared" si="27"/>
        <v>0</v>
      </c>
      <c r="J101" s="28">
        <f t="shared" si="27"/>
        <v>0</v>
      </c>
      <c r="K101" s="28">
        <f t="shared" si="27"/>
        <v>0</v>
      </c>
      <c r="L101" s="28">
        <f t="shared" si="27"/>
        <v>0</v>
      </c>
    </row>
    <row r="102" spans="2:12" x14ac:dyDescent="0.2">
      <c r="B102" s="131" t="s">
        <v>64</v>
      </c>
      <c r="C102" s="131"/>
      <c r="D102" s="131"/>
      <c r="E102" s="28">
        <f t="shared" ref="E102:L103" si="28">E79-E40</f>
        <v>0</v>
      </c>
      <c r="F102" s="28">
        <f t="shared" si="28"/>
        <v>0</v>
      </c>
      <c r="G102" s="28">
        <f t="shared" si="28"/>
        <v>0</v>
      </c>
      <c r="H102" s="28">
        <f t="shared" si="28"/>
        <v>0</v>
      </c>
      <c r="I102" s="28">
        <f t="shared" si="28"/>
        <v>0</v>
      </c>
      <c r="J102" s="28">
        <f t="shared" si="28"/>
        <v>0</v>
      </c>
      <c r="K102" s="28">
        <f t="shared" si="28"/>
        <v>0</v>
      </c>
      <c r="L102" s="28">
        <f t="shared" si="28"/>
        <v>0</v>
      </c>
    </row>
    <row r="103" spans="2:12" x14ac:dyDescent="0.2">
      <c r="B103" s="131" t="s">
        <v>65</v>
      </c>
      <c r="C103" s="131"/>
      <c r="D103" s="131"/>
      <c r="E103" s="28">
        <f t="shared" si="28"/>
        <v>0</v>
      </c>
      <c r="F103" s="28">
        <f t="shared" si="28"/>
        <v>0</v>
      </c>
      <c r="G103" s="28">
        <f t="shared" si="28"/>
        <v>0</v>
      </c>
      <c r="H103" s="28">
        <f t="shared" si="28"/>
        <v>0</v>
      </c>
      <c r="I103" s="28">
        <f t="shared" si="28"/>
        <v>0</v>
      </c>
      <c r="J103" s="28">
        <f t="shared" si="28"/>
        <v>0</v>
      </c>
      <c r="K103" s="28">
        <f t="shared" si="28"/>
        <v>0</v>
      </c>
      <c r="L103" s="28">
        <f t="shared" si="28"/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4A1E-0D69-4560-A492-EB82D01944D1}">
  <sheetPr>
    <tabColor rgb="FF92D050"/>
  </sheetPr>
  <dimension ref="B1:AN190"/>
  <sheetViews>
    <sheetView showGridLines="0" zoomScaleNormal="100" workbookViewId="0">
      <pane xSplit="2" ySplit="7" topLeftCell="C103" activePane="bottomRight" state="frozen"/>
      <selection pane="topRight" activeCell="C1" sqref="C1"/>
      <selection pane="bottomLeft" activeCell="A8" sqref="A8"/>
      <selection pane="bottomRigh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5" width="9.109375" style="39"/>
    <col min="16" max="16" width="11.109375" style="39" customWidth="1"/>
    <col min="17" max="17" width="8.44140625" style="39" customWidth="1"/>
    <col min="18" max="25" width="10.5546875" style="39" customWidth="1"/>
    <col min="26" max="26" width="2.44140625" style="39" customWidth="1"/>
    <col min="27" max="28" width="9.109375" style="39"/>
    <col min="29" max="29" width="11.109375" style="39" customWidth="1"/>
    <col min="30" max="30" width="8.44140625" style="39" customWidth="1"/>
    <col min="31" max="38" width="10.5546875" style="39" customWidth="1"/>
    <col min="39" max="39" width="2.44140625" style="39" customWidth="1"/>
    <col min="40" max="16384" width="9.109375" style="39"/>
  </cols>
  <sheetData>
    <row r="1" spans="2:40" x14ac:dyDescent="0.2">
      <c r="B1" s="256" t="s">
        <v>343</v>
      </c>
    </row>
    <row r="2" spans="2:40" ht="15.6" x14ac:dyDescent="0.3">
      <c r="B2" s="37" t="s">
        <v>258</v>
      </c>
      <c r="C2" s="37"/>
      <c r="D2" s="37"/>
      <c r="P2" s="37"/>
      <c r="Q2" s="37"/>
      <c r="AC2" s="37"/>
      <c r="AD2" s="37"/>
    </row>
    <row r="3" spans="2:40" x14ac:dyDescent="0.2">
      <c r="B3" s="38" t="s">
        <v>94</v>
      </c>
      <c r="C3" s="38"/>
      <c r="D3" s="38"/>
      <c r="P3" s="38"/>
      <c r="Q3" s="38"/>
      <c r="AC3" s="38"/>
      <c r="AD3" s="38"/>
    </row>
    <row r="5" spans="2:40" x14ac:dyDescent="0.2">
      <c r="B5" s="40" t="s">
        <v>80</v>
      </c>
      <c r="C5" s="241" t="s">
        <v>270</v>
      </c>
      <c r="D5" s="242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132"/>
      <c r="P5" s="241" t="s">
        <v>271</v>
      </c>
      <c r="Q5" s="242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132"/>
      <c r="AC5" s="241" t="s">
        <v>272</v>
      </c>
      <c r="AD5" s="167"/>
      <c r="AE5" s="168"/>
      <c r="AF5" s="168"/>
      <c r="AG5" s="168"/>
      <c r="AH5" s="168"/>
      <c r="AI5" s="168"/>
      <c r="AJ5" s="168"/>
      <c r="AK5" s="168"/>
      <c r="AL5" s="168"/>
      <c r="AM5" s="168"/>
      <c r="AN5" s="168"/>
    </row>
    <row r="6" spans="2:40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  <c r="R6" s="71" t="s">
        <v>95</v>
      </c>
      <c r="S6" s="71" t="s">
        <v>95</v>
      </c>
      <c r="T6" s="71" t="s">
        <v>95</v>
      </c>
      <c r="U6" s="72" t="s">
        <v>96</v>
      </c>
      <c r="V6" s="72" t="s">
        <v>96</v>
      </c>
      <c r="W6" s="72" t="s">
        <v>96</v>
      </c>
      <c r="X6" s="72" t="s">
        <v>96</v>
      </c>
      <c r="Y6" s="72" t="s">
        <v>96</v>
      </c>
      <c r="AE6" s="71" t="s">
        <v>95</v>
      </c>
      <c r="AF6" s="71" t="s">
        <v>95</v>
      </c>
      <c r="AG6" s="71" t="s">
        <v>95</v>
      </c>
      <c r="AH6" s="72" t="s">
        <v>96</v>
      </c>
      <c r="AI6" s="72" t="s">
        <v>96</v>
      </c>
      <c r="AJ6" s="72" t="s">
        <v>96</v>
      </c>
      <c r="AK6" s="72" t="s">
        <v>96</v>
      </c>
      <c r="AL6" s="72" t="s">
        <v>96</v>
      </c>
    </row>
    <row r="7" spans="2:40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  <c r="P7" s="33"/>
      <c r="Q7" s="33"/>
      <c r="R7" s="74">
        <v>2020</v>
      </c>
      <c r="S7" s="74">
        <f>R7+1</f>
        <v>2021</v>
      </c>
      <c r="T7" s="74">
        <f t="shared" ref="T7" si="1">S7+1</f>
        <v>2022</v>
      </c>
      <c r="U7" s="74">
        <f t="shared" ref="U7" si="2">T7+1</f>
        <v>2023</v>
      </c>
      <c r="V7" s="74">
        <f t="shared" ref="V7" si="3">U7+1</f>
        <v>2024</v>
      </c>
      <c r="W7" s="74">
        <f t="shared" ref="W7" si="4">V7+1</f>
        <v>2025</v>
      </c>
      <c r="X7" s="74">
        <f t="shared" ref="X7" si="5">W7+1</f>
        <v>2026</v>
      </c>
      <c r="Y7" s="74">
        <f t="shared" ref="Y7" si="6">X7+1</f>
        <v>2027</v>
      </c>
      <c r="AA7" s="74" t="s">
        <v>97</v>
      </c>
      <c r="AC7" s="33"/>
      <c r="AD7" s="33"/>
      <c r="AE7" s="74">
        <v>2020</v>
      </c>
      <c r="AF7" s="74">
        <f>AE7+1</f>
        <v>2021</v>
      </c>
      <c r="AG7" s="74">
        <f t="shared" ref="AG7" si="7">AF7+1</f>
        <v>2022</v>
      </c>
      <c r="AH7" s="74">
        <f t="shared" ref="AH7" si="8">AG7+1</f>
        <v>2023</v>
      </c>
      <c r="AI7" s="74">
        <f t="shared" ref="AI7" si="9">AH7+1</f>
        <v>2024</v>
      </c>
      <c r="AJ7" s="74">
        <f t="shared" ref="AJ7" si="10">AI7+1</f>
        <v>2025</v>
      </c>
      <c r="AK7" s="74">
        <f t="shared" ref="AK7" si="11">AJ7+1</f>
        <v>2026</v>
      </c>
      <c r="AL7" s="74">
        <f t="shared" ref="AL7" si="12">AK7+1</f>
        <v>2027</v>
      </c>
      <c r="AN7" s="74" t="s">
        <v>97</v>
      </c>
    </row>
    <row r="9" spans="2:40" ht="10.8" thickBot="1" x14ac:dyDescent="0.25">
      <c r="B9" s="188" t="s">
        <v>177</v>
      </c>
      <c r="C9" s="168"/>
      <c r="D9" s="168"/>
      <c r="E9" s="189">
        <f>E$7</f>
        <v>2020</v>
      </c>
      <c r="F9" s="189">
        <f t="shared" ref="F9:L9" si="13">F$7</f>
        <v>2021</v>
      </c>
      <c r="G9" s="189">
        <f t="shared" si="13"/>
        <v>2022</v>
      </c>
      <c r="H9" s="189">
        <f t="shared" si="13"/>
        <v>2023</v>
      </c>
      <c r="I9" s="189">
        <f t="shared" si="13"/>
        <v>2024</v>
      </c>
      <c r="J9" s="189">
        <f t="shared" si="13"/>
        <v>2025</v>
      </c>
      <c r="K9" s="189">
        <f t="shared" si="13"/>
        <v>2026</v>
      </c>
      <c r="L9" s="189">
        <f t="shared" si="13"/>
        <v>2027</v>
      </c>
      <c r="P9" s="168"/>
      <c r="Q9" s="168"/>
      <c r="R9" s="189">
        <f>R$7</f>
        <v>2020</v>
      </c>
      <c r="S9" s="189">
        <f t="shared" ref="S9:Y9" si="14">S$7</f>
        <v>2021</v>
      </c>
      <c r="T9" s="189">
        <f t="shared" si="14"/>
        <v>2022</v>
      </c>
      <c r="U9" s="189">
        <f t="shared" si="14"/>
        <v>2023</v>
      </c>
      <c r="V9" s="189">
        <f t="shared" si="14"/>
        <v>2024</v>
      </c>
      <c r="W9" s="189">
        <f t="shared" si="14"/>
        <v>2025</v>
      </c>
      <c r="X9" s="189">
        <f t="shared" si="14"/>
        <v>2026</v>
      </c>
      <c r="Y9" s="189">
        <f t="shared" si="14"/>
        <v>2027</v>
      </c>
      <c r="AC9" s="168"/>
      <c r="AD9" s="168"/>
      <c r="AE9" s="189">
        <f>AE$7</f>
        <v>2020</v>
      </c>
      <c r="AF9" s="189">
        <f t="shared" ref="AF9:AL9" si="15">AF$7</f>
        <v>2021</v>
      </c>
      <c r="AG9" s="189">
        <f t="shared" si="15"/>
        <v>2022</v>
      </c>
      <c r="AH9" s="189">
        <f t="shared" si="15"/>
        <v>2023</v>
      </c>
      <c r="AI9" s="189">
        <f t="shared" si="15"/>
        <v>2024</v>
      </c>
      <c r="AJ9" s="189">
        <f t="shared" si="15"/>
        <v>2025</v>
      </c>
      <c r="AK9" s="189">
        <f t="shared" si="15"/>
        <v>2026</v>
      </c>
      <c r="AL9" s="189">
        <f t="shared" si="15"/>
        <v>2027</v>
      </c>
    </row>
    <row r="10" spans="2:40" x14ac:dyDescent="0.2">
      <c r="B10" s="171" t="s">
        <v>178</v>
      </c>
      <c r="C10" s="172" t="s">
        <v>180</v>
      </c>
      <c r="D10" s="173"/>
    </row>
    <row r="11" spans="2:40" x14ac:dyDescent="0.2">
      <c r="B11" s="174" t="s">
        <v>271</v>
      </c>
      <c r="C11" s="246">
        <v>1</v>
      </c>
      <c r="D11" s="175"/>
    </row>
    <row r="12" spans="2:40" x14ac:dyDescent="0.2">
      <c r="B12" s="174" t="s">
        <v>272</v>
      </c>
      <c r="D12" s="175"/>
    </row>
    <row r="13" spans="2:40" ht="10.8" thickBot="1" x14ac:dyDescent="0.25">
      <c r="B13" s="176"/>
      <c r="C13" s="177"/>
      <c r="D13" s="178"/>
    </row>
    <row r="15" spans="2:40" x14ac:dyDescent="0.2">
      <c r="B15" s="188" t="s">
        <v>188</v>
      </c>
      <c r="C15" s="168"/>
      <c r="D15" s="168"/>
      <c r="E15" s="189">
        <f>E$7</f>
        <v>2020</v>
      </c>
      <c r="F15" s="189">
        <f t="shared" ref="F15:L15" si="16">F$7</f>
        <v>2021</v>
      </c>
      <c r="G15" s="189">
        <f t="shared" si="16"/>
        <v>2022</v>
      </c>
      <c r="H15" s="189">
        <f t="shared" si="16"/>
        <v>2023</v>
      </c>
      <c r="I15" s="189">
        <f t="shared" si="16"/>
        <v>2024</v>
      </c>
      <c r="J15" s="189">
        <f t="shared" si="16"/>
        <v>2025</v>
      </c>
      <c r="K15" s="189">
        <f t="shared" si="16"/>
        <v>2026</v>
      </c>
      <c r="L15" s="189">
        <f t="shared" si="16"/>
        <v>2027</v>
      </c>
      <c r="P15" s="168"/>
      <c r="Q15" s="168"/>
      <c r="R15" s="189">
        <f>R$7</f>
        <v>2020</v>
      </c>
      <c r="S15" s="189">
        <f t="shared" ref="S15:Y15" si="17">S$7</f>
        <v>2021</v>
      </c>
      <c r="T15" s="189">
        <f t="shared" si="17"/>
        <v>2022</v>
      </c>
      <c r="U15" s="189">
        <f t="shared" si="17"/>
        <v>2023</v>
      </c>
      <c r="V15" s="189">
        <f t="shared" si="17"/>
        <v>2024</v>
      </c>
      <c r="W15" s="189">
        <f t="shared" si="17"/>
        <v>2025</v>
      </c>
      <c r="X15" s="189">
        <f t="shared" si="17"/>
        <v>2026</v>
      </c>
      <c r="Y15" s="189">
        <f t="shared" si="17"/>
        <v>2027</v>
      </c>
      <c r="AC15" s="168"/>
      <c r="AD15" s="168"/>
      <c r="AE15" s="189">
        <f>AE$7</f>
        <v>2020</v>
      </c>
      <c r="AF15" s="189">
        <f t="shared" ref="AF15:AL15" si="18">AF$7</f>
        <v>2021</v>
      </c>
      <c r="AG15" s="189">
        <f t="shared" si="18"/>
        <v>2022</v>
      </c>
      <c r="AH15" s="189">
        <f t="shared" si="18"/>
        <v>2023</v>
      </c>
      <c r="AI15" s="189">
        <f t="shared" si="18"/>
        <v>2024</v>
      </c>
      <c r="AJ15" s="189">
        <f t="shared" si="18"/>
        <v>2025</v>
      </c>
      <c r="AK15" s="189">
        <f t="shared" si="18"/>
        <v>2026</v>
      </c>
      <c r="AL15" s="189">
        <f t="shared" si="18"/>
        <v>2027</v>
      </c>
    </row>
    <row r="17" spans="2:38" x14ac:dyDescent="0.2">
      <c r="B17" s="39" t="s">
        <v>259</v>
      </c>
      <c r="E17" s="244"/>
      <c r="F17" s="244"/>
      <c r="G17" s="244"/>
      <c r="H17" s="244"/>
      <c r="I17" s="244"/>
      <c r="J17" s="244"/>
      <c r="K17" s="244"/>
      <c r="L17" s="244"/>
      <c r="M17" s="245"/>
      <c r="N17" s="245"/>
      <c r="O17" s="245"/>
      <c r="P17" s="245"/>
      <c r="Q17" s="245"/>
      <c r="R17" s="244">
        <f>CoreBusiness!E11</f>
        <v>480425.96059999999</v>
      </c>
      <c r="S17" s="244">
        <f>CoreBusiness!F11</f>
        <v>538423.73080000002</v>
      </c>
      <c r="T17" s="244">
        <f>CoreBusiness!G11</f>
        <v>593488.803266</v>
      </c>
      <c r="U17" s="244">
        <f>CoreBusiness!H11</f>
        <v>623163.24342930003</v>
      </c>
      <c r="V17" s="244">
        <f>CoreBusiness!I11</f>
        <v>654321.40560076502</v>
      </c>
      <c r="W17" s="244">
        <f>CoreBusiness!J11</f>
        <v>687037.47588080331</v>
      </c>
      <c r="X17" s="244">
        <f>CoreBusiness!K11</f>
        <v>721389.3496748436</v>
      </c>
      <c r="Y17" s="244">
        <f>CoreBusiness!L11</f>
        <v>757458.81715858565</v>
      </c>
      <c r="Z17" s="245"/>
      <c r="AA17" s="245"/>
      <c r="AB17" s="245"/>
      <c r="AC17" s="245"/>
      <c r="AD17" s="245"/>
      <c r="AE17" s="244">
        <f>CoreBusiness!E11</f>
        <v>480425.96059999999</v>
      </c>
      <c r="AF17" s="244">
        <f>CoreBusiness!F11</f>
        <v>538423.73080000002</v>
      </c>
      <c r="AG17" s="244">
        <f>CoreBusiness!G11</f>
        <v>593488.803266</v>
      </c>
      <c r="AH17" s="244">
        <f>CoreBusiness!H11</f>
        <v>623163.24342930003</v>
      </c>
      <c r="AI17" s="244">
        <f>CoreBusiness!I11</f>
        <v>654321.40560076502</v>
      </c>
      <c r="AJ17" s="244">
        <f>CoreBusiness!J11</f>
        <v>687037.47588080331</v>
      </c>
      <c r="AK17" s="244">
        <f>CoreBusiness!K11</f>
        <v>721389.3496748436</v>
      </c>
      <c r="AL17" s="244">
        <f>CoreBusiness!L11</f>
        <v>757458.81715858565</v>
      </c>
    </row>
    <row r="18" spans="2:38" x14ac:dyDescent="0.2">
      <c r="B18" s="39" t="s">
        <v>260</v>
      </c>
      <c r="E18" s="244"/>
      <c r="F18" s="244"/>
      <c r="G18" s="244"/>
      <c r="H18" s="244"/>
      <c r="I18" s="244"/>
      <c r="J18" s="244"/>
      <c r="K18" s="244"/>
      <c r="L18" s="244"/>
      <c r="M18" s="245"/>
      <c r="N18" s="245"/>
      <c r="O18" s="245"/>
      <c r="P18" s="245"/>
      <c r="Q18" s="245"/>
      <c r="R18" s="244">
        <f>IF(Config!E14="on",RockCodeAcq!R155,0)</f>
        <v>45860</v>
      </c>
      <c r="S18" s="244">
        <f>IF(Config!F14="on",RockCodeAcq!S155,0)</f>
        <v>55719.9</v>
      </c>
      <c r="T18" s="244">
        <f>IF(Config!G14="on",RockCodeAcq!T155,0)</f>
        <v>71210.032200000001</v>
      </c>
      <c r="U18" s="244">
        <f>IF(Config!H14="on",RockCodeAcq!U155,0)</f>
        <v>74770.533810000008</v>
      </c>
      <c r="V18" s="244">
        <f>IF(Config!I14="on",RockCodeAcq!V155,0)</f>
        <v>78509.060500500011</v>
      </c>
      <c r="W18" s="244">
        <f>IF(Config!J14="on",RockCodeAcq!W155,0)</f>
        <v>82434.513525525021</v>
      </c>
      <c r="X18" s="244">
        <f>IF(Config!K14="on",RockCodeAcq!X155,0)</f>
        <v>86556.239201801276</v>
      </c>
      <c r="Y18" s="244">
        <f>IF(Config!L14="on",RockCodeAcq!Y155,0)</f>
        <v>90884.051161891344</v>
      </c>
      <c r="Z18" s="245"/>
      <c r="AA18" s="245"/>
      <c r="AB18" s="245"/>
      <c r="AC18" s="245"/>
      <c r="AD18" s="245"/>
      <c r="AE18" s="244">
        <f>IF(Config!E14="on",RockCodeAcq!R155,0)</f>
        <v>45860</v>
      </c>
      <c r="AF18" s="244">
        <f>IF(Config!F14="on",RockCodeAcq!S155,0)</f>
        <v>55719.9</v>
      </c>
      <c r="AG18" s="244">
        <f>IF(Config!G14="on",RockCodeAcq!T155,0)</f>
        <v>71210.032200000001</v>
      </c>
      <c r="AH18" s="244">
        <f>IF(Config!H14="on",RockCodeAcq!U155,0)</f>
        <v>74770.533810000008</v>
      </c>
      <c r="AI18" s="244">
        <f>IF(Config!I14="on",RockCodeAcq!V155,0)</f>
        <v>78509.060500500011</v>
      </c>
      <c r="AJ18" s="244">
        <f>IF(Config!J14="on",RockCodeAcq!W155,0)</f>
        <v>82434.513525525021</v>
      </c>
      <c r="AK18" s="244">
        <f>IF(Config!K14="on",RockCodeAcq!X155,0)</f>
        <v>86556.239201801276</v>
      </c>
      <c r="AL18" s="244">
        <f>IF(Config!L14="on",RockCodeAcq!Y155,0)</f>
        <v>90884.051161891344</v>
      </c>
    </row>
    <row r="19" spans="2:38" x14ac:dyDescent="0.2">
      <c r="B19" s="39" t="s">
        <v>187</v>
      </c>
      <c r="E19" s="244"/>
      <c r="F19" s="244"/>
      <c r="G19" s="244"/>
      <c r="H19" s="244"/>
      <c r="I19" s="244"/>
      <c r="J19" s="244"/>
      <c r="K19" s="244"/>
      <c r="L19" s="244"/>
      <c r="M19" s="245"/>
      <c r="N19" s="245"/>
      <c r="O19" s="245"/>
      <c r="P19" s="245"/>
      <c r="Q19" s="245"/>
      <c r="R19" s="244">
        <f>IF(Config!E15="on",AcqPipeline!E248-AcqPipeline!E31,0)</f>
        <v>0</v>
      </c>
      <c r="S19" s="244">
        <f>IF(Config!F15="on",AcqPipeline!F248-AcqPipeline!F31,0)</f>
        <v>0</v>
      </c>
      <c r="T19" s="244">
        <f>IF(Config!G15="on",AcqPipeline!G248-AcqPipeline!G31,0)</f>
        <v>0</v>
      </c>
      <c r="U19" s="244">
        <f>IF(Config!H15="on",AcqPipeline!H248-AcqPipeline!H31,0)</f>
        <v>0</v>
      </c>
      <c r="V19" s="244">
        <f>IF(Config!I15="on",AcqPipeline!I248-AcqPipeline!I31,0)</f>
        <v>107500</v>
      </c>
      <c r="W19" s="244">
        <f>IF(Config!J15="on",AcqPipeline!J248-AcqPipeline!J31,0)</f>
        <v>223062.5</v>
      </c>
      <c r="X19" s="244">
        <f>IF(Config!K15="on",AcqPipeline!K248-AcqPipeline!K31,0)</f>
        <v>347292.1875</v>
      </c>
      <c r="Y19" s="244">
        <f>IF(Config!L15="on",AcqPipeline!L248-AcqPipeline!L31,0)</f>
        <v>534589.1015625</v>
      </c>
      <c r="Z19" s="245"/>
      <c r="AA19" s="245"/>
      <c r="AB19" s="245"/>
      <c r="AC19" s="245"/>
      <c r="AD19" s="245"/>
      <c r="AE19" s="244">
        <f>IF(Config!E15="on",AcqPipeline!E248-AcqPipeline!E31,0)</f>
        <v>0</v>
      </c>
      <c r="AF19" s="244">
        <f>IF(Config!F15="on",AcqPipeline!F248-AcqPipeline!F31,0)</f>
        <v>0</v>
      </c>
      <c r="AG19" s="244">
        <f>IF(Config!G15="on",AcqPipeline!G248-AcqPipeline!G31,0)</f>
        <v>0</v>
      </c>
      <c r="AH19" s="244">
        <f>IF(Config!H15="on",AcqPipeline!H248-AcqPipeline!H31,0)</f>
        <v>0</v>
      </c>
      <c r="AI19" s="244">
        <f>IF(Config!I15="on",AcqPipeline!I248-AcqPipeline!I31,0)</f>
        <v>107500</v>
      </c>
      <c r="AJ19" s="244">
        <f>IF(Config!J15="on",AcqPipeline!J248-AcqPipeline!J31,0)</f>
        <v>223062.5</v>
      </c>
      <c r="AK19" s="244">
        <f>IF(Config!K15="on",AcqPipeline!K248-AcqPipeline!K31,0)</f>
        <v>347292.1875</v>
      </c>
      <c r="AL19" s="244">
        <f>IF(Config!L15="on",AcqPipeline!L248-AcqPipeline!L31,0)</f>
        <v>534589.1015625</v>
      </c>
    </row>
    <row r="21" spans="2:38" x14ac:dyDescent="0.2">
      <c r="B21" s="39" t="s">
        <v>261</v>
      </c>
      <c r="C21" s="105">
        <v>0.1</v>
      </c>
      <c r="G21" s="75"/>
      <c r="H21" s="191"/>
      <c r="I21" s="191"/>
      <c r="J21" s="191"/>
      <c r="K21" s="191"/>
      <c r="L21" s="191"/>
      <c r="P21" s="105">
        <v>0.1</v>
      </c>
      <c r="T21" s="75" t="s">
        <v>262</v>
      </c>
      <c r="U21" s="191">
        <v>0.5</v>
      </c>
      <c r="V21" s="191">
        <v>1</v>
      </c>
      <c r="W21" s="191">
        <v>1.5</v>
      </c>
      <c r="X21" s="191">
        <v>2</v>
      </c>
      <c r="Y21" s="191">
        <v>2.5</v>
      </c>
      <c r="AC21" s="105">
        <v>0.1</v>
      </c>
      <c r="AG21" s="75" t="s">
        <v>262</v>
      </c>
      <c r="AH21" s="191">
        <v>0.25</v>
      </c>
      <c r="AI21" s="191">
        <v>0.5</v>
      </c>
      <c r="AJ21" s="191">
        <v>0.75</v>
      </c>
      <c r="AK21" s="191">
        <v>1</v>
      </c>
      <c r="AL21" s="191">
        <v>1.25</v>
      </c>
    </row>
    <row r="23" spans="2:38" x14ac:dyDescent="0.2">
      <c r="B23" s="161" t="s">
        <v>263</v>
      </c>
      <c r="C23" s="161"/>
      <c r="D23" s="161"/>
      <c r="E23" s="161"/>
      <c r="F23" s="161"/>
      <c r="G23" s="161"/>
      <c r="H23" s="202"/>
      <c r="I23" s="202"/>
      <c r="J23" s="202"/>
      <c r="K23" s="202"/>
      <c r="L23" s="202"/>
      <c r="P23" s="161"/>
      <c r="Q23" s="161"/>
      <c r="R23" s="161"/>
      <c r="S23" s="161"/>
      <c r="T23" s="161"/>
      <c r="U23" s="202">
        <f>$C$21*(1+U21)</f>
        <v>0.15000000000000002</v>
      </c>
      <c r="V23" s="202">
        <f t="shared" ref="V23:Y23" si="19">$C$21*(1+V21)</f>
        <v>0.2</v>
      </c>
      <c r="W23" s="202">
        <f t="shared" si="19"/>
        <v>0.25</v>
      </c>
      <c r="X23" s="202">
        <f t="shared" si="19"/>
        <v>0.30000000000000004</v>
      </c>
      <c r="Y23" s="202">
        <f t="shared" si="19"/>
        <v>0.35000000000000003</v>
      </c>
      <c r="AC23" s="161"/>
      <c r="AD23" s="161"/>
      <c r="AE23" s="161"/>
      <c r="AF23" s="161"/>
      <c r="AG23" s="161"/>
      <c r="AH23" s="202">
        <f>$C$21*(1+AH21)</f>
        <v>0.125</v>
      </c>
      <c r="AI23" s="202">
        <f t="shared" ref="AI23:AL23" si="20">$C$21*(1+AI21)</f>
        <v>0.15000000000000002</v>
      </c>
      <c r="AJ23" s="202">
        <f t="shared" si="20"/>
        <v>0.17500000000000002</v>
      </c>
      <c r="AK23" s="202">
        <f t="shared" si="20"/>
        <v>0.2</v>
      </c>
      <c r="AL23" s="202">
        <f t="shared" si="20"/>
        <v>0.22500000000000001</v>
      </c>
    </row>
    <row r="25" spans="2:38" x14ac:dyDescent="0.2">
      <c r="B25" s="161" t="s">
        <v>264</v>
      </c>
      <c r="C25" s="161"/>
      <c r="D25" s="161"/>
      <c r="E25" s="161"/>
      <c r="F25" s="161"/>
      <c r="G25" s="161"/>
      <c r="H25" s="237"/>
      <c r="I25" s="237"/>
      <c r="J25" s="237"/>
      <c r="K25" s="237"/>
      <c r="L25" s="237"/>
      <c r="P25" s="161"/>
      <c r="Q25" s="161"/>
      <c r="R25" s="161"/>
      <c r="S25" s="161"/>
      <c r="T25" s="161"/>
      <c r="U25" s="237">
        <v>0.75</v>
      </c>
      <c r="V25" s="237">
        <v>1.25</v>
      </c>
      <c r="W25" s="237">
        <v>1.5</v>
      </c>
      <c r="X25" s="237">
        <v>1.6</v>
      </c>
      <c r="Y25" s="237">
        <v>1.75</v>
      </c>
      <c r="AC25" s="161"/>
      <c r="AD25" s="161"/>
      <c r="AE25" s="161"/>
      <c r="AF25" s="161"/>
      <c r="AG25" s="161"/>
      <c r="AH25" s="237">
        <v>0.4</v>
      </c>
      <c r="AI25" s="237">
        <v>0.6</v>
      </c>
      <c r="AJ25" s="237">
        <v>0.75</v>
      </c>
      <c r="AK25" s="237">
        <v>0.8</v>
      </c>
      <c r="AL25" s="237">
        <v>0.85</v>
      </c>
    </row>
    <row r="27" spans="2:38" ht="10.8" thickBot="1" x14ac:dyDescent="0.25">
      <c r="B27" s="238" t="s">
        <v>265</v>
      </c>
      <c r="C27" s="238"/>
      <c r="D27" s="238"/>
      <c r="E27" s="238"/>
      <c r="F27" s="238"/>
      <c r="G27" s="238"/>
      <c r="H27" s="239"/>
      <c r="I27" s="239"/>
      <c r="J27" s="239"/>
      <c r="K27" s="239"/>
      <c r="L27" s="239"/>
      <c r="P27" s="238"/>
      <c r="Q27" s="238"/>
      <c r="R27" s="238"/>
      <c r="S27" s="238"/>
      <c r="T27" s="238"/>
      <c r="U27" s="239">
        <f>U23*U25</f>
        <v>0.11250000000000002</v>
      </c>
      <c r="V27" s="239">
        <f t="shared" ref="V27:Y27" si="21">V23*V25</f>
        <v>0.25</v>
      </c>
      <c r="W27" s="239">
        <f t="shared" si="21"/>
        <v>0.375</v>
      </c>
      <c r="X27" s="239">
        <f t="shared" si="21"/>
        <v>0.48000000000000009</v>
      </c>
      <c r="Y27" s="239">
        <f t="shared" si="21"/>
        <v>0.61250000000000004</v>
      </c>
      <c r="AC27" s="238"/>
      <c r="AD27" s="238"/>
      <c r="AE27" s="238"/>
      <c r="AF27" s="238"/>
      <c r="AG27" s="238"/>
      <c r="AH27" s="239">
        <f>AH23*AH25</f>
        <v>0.05</v>
      </c>
      <c r="AI27" s="239">
        <f t="shared" ref="AI27:AL27" si="22">AI23*AI25</f>
        <v>9.0000000000000011E-2</v>
      </c>
      <c r="AJ27" s="239">
        <f t="shared" si="22"/>
        <v>0.13125000000000001</v>
      </c>
      <c r="AK27" s="239">
        <f t="shared" si="22"/>
        <v>0.16000000000000003</v>
      </c>
      <c r="AL27" s="239">
        <f t="shared" si="22"/>
        <v>0.19125</v>
      </c>
    </row>
    <row r="29" spans="2:38" ht="10.8" thickBot="1" x14ac:dyDescent="0.25">
      <c r="B29" s="162" t="s">
        <v>266</v>
      </c>
      <c r="C29" s="162"/>
      <c r="D29" s="162"/>
      <c r="E29" s="162"/>
      <c r="F29" s="162"/>
      <c r="G29" s="162"/>
      <c r="H29" s="236"/>
      <c r="I29" s="236"/>
      <c r="J29" s="236"/>
      <c r="K29" s="236"/>
      <c r="L29" s="236"/>
      <c r="P29" s="162"/>
      <c r="Q29" s="162"/>
      <c r="R29" s="162"/>
      <c r="S29" s="162"/>
      <c r="T29" s="162"/>
      <c r="U29" s="236">
        <f>SUM(U17:U19)*U27</f>
        <v>78517.549939421267</v>
      </c>
      <c r="V29" s="236">
        <f t="shared" ref="V29:Y29" si="23">SUM(V17:V19)*V27</f>
        <v>210082.61652531626</v>
      </c>
      <c r="W29" s="236">
        <f t="shared" si="23"/>
        <v>372200.43352737313</v>
      </c>
      <c r="X29" s="236">
        <f t="shared" si="23"/>
        <v>554514.13266078965</v>
      </c>
      <c r="Y29" s="236">
        <f t="shared" si="23"/>
        <v>847045.83155332343</v>
      </c>
      <c r="AC29" s="162"/>
      <c r="AD29" s="162"/>
      <c r="AE29" s="162"/>
      <c r="AF29" s="162"/>
      <c r="AG29" s="162"/>
      <c r="AH29" s="236">
        <f>SUM(AH17:AH19)*AH27</f>
        <v>34896.688861965005</v>
      </c>
      <c r="AI29" s="236">
        <f t="shared" ref="AI29:AL29" si="24">SUM(AI17:AI19)*AI27</f>
        <v>75629.741949113857</v>
      </c>
      <c r="AJ29" s="236">
        <f t="shared" si="24"/>
        <v>130270.15173458059</v>
      </c>
      <c r="AK29" s="236">
        <f t="shared" si="24"/>
        <v>184838.04422026323</v>
      </c>
      <c r="AL29" s="236">
        <f t="shared" si="24"/>
        <v>264485.73924011935</v>
      </c>
    </row>
    <row r="31" spans="2:38" x14ac:dyDescent="0.2">
      <c r="B31" s="75" t="s">
        <v>267</v>
      </c>
      <c r="H31" s="191"/>
      <c r="I31" s="191"/>
      <c r="J31" s="191"/>
      <c r="K31" s="191"/>
      <c r="L31" s="191"/>
      <c r="U31" s="191">
        <v>0.3</v>
      </c>
      <c r="V31" s="191">
        <v>0.35</v>
      </c>
      <c r="W31" s="191">
        <v>0.35</v>
      </c>
      <c r="X31" s="191">
        <v>0.3</v>
      </c>
      <c r="Y31" s="191">
        <v>0.2</v>
      </c>
      <c r="AH31" s="191">
        <v>0.3</v>
      </c>
      <c r="AI31" s="191">
        <v>0.35</v>
      </c>
      <c r="AJ31" s="191">
        <v>0.35</v>
      </c>
      <c r="AK31" s="191">
        <v>0.3</v>
      </c>
      <c r="AL31" s="191">
        <v>0.2</v>
      </c>
    </row>
    <row r="33" spans="2:38" ht="10.8" thickBot="1" x14ac:dyDescent="0.25">
      <c r="B33" s="162" t="s">
        <v>268</v>
      </c>
      <c r="C33" s="162"/>
      <c r="D33" s="162"/>
      <c r="E33" s="162"/>
      <c r="F33" s="162"/>
      <c r="G33" s="162"/>
      <c r="H33" s="236"/>
      <c r="I33" s="236"/>
      <c r="J33" s="236"/>
      <c r="K33" s="236"/>
      <c r="L33" s="236"/>
      <c r="P33" s="162"/>
      <c r="Q33" s="162"/>
      <c r="R33" s="162"/>
      <c r="S33" s="162"/>
      <c r="T33" s="162"/>
      <c r="U33" s="236">
        <f>U29*U31</f>
        <v>23555.264981826378</v>
      </c>
      <c r="V33" s="236">
        <f t="shared" ref="V33:Y33" si="25">V29*V31</f>
        <v>73528.915783860692</v>
      </c>
      <c r="W33" s="236">
        <f t="shared" si="25"/>
        <v>130270.15173458059</v>
      </c>
      <c r="X33" s="236">
        <f t="shared" si="25"/>
        <v>166354.2397982369</v>
      </c>
      <c r="Y33" s="236">
        <f t="shared" si="25"/>
        <v>169409.1663106647</v>
      </c>
      <c r="AC33" s="162"/>
      <c r="AD33" s="162"/>
      <c r="AE33" s="162"/>
      <c r="AF33" s="162"/>
      <c r="AG33" s="162"/>
      <c r="AH33" s="236">
        <f>AH29*AH31</f>
        <v>10469.006658589502</v>
      </c>
      <c r="AI33" s="236">
        <f t="shared" ref="AI33:AL33" si="26">AI29*AI31</f>
        <v>26470.409682189849</v>
      </c>
      <c r="AJ33" s="236">
        <f t="shared" si="26"/>
        <v>45594.553107103202</v>
      </c>
      <c r="AK33" s="236">
        <f t="shared" si="26"/>
        <v>55451.413266078969</v>
      </c>
      <c r="AL33" s="236">
        <f t="shared" si="26"/>
        <v>52897.147848023873</v>
      </c>
    </row>
    <row r="35" spans="2:38" x14ac:dyDescent="0.2">
      <c r="B35" s="188" t="s">
        <v>205</v>
      </c>
      <c r="C35" s="168"/>
      <c r="D35" s="168"/>
      <c r="E35" s="189"/>
      <c r="F35" s="189"/>
      <c r="G35" s="189"/>
      <c r="H35" s="189"/>
      <c r="I35" s="189"/>
      <c r="J35" s="189"/>
      <c r="K35" s="189"/>
      <c r="L35" s="189"/>
      <c r="P35" s="168"/>
      <c r="Q35" s="168"/>
      <c r="R35" s="189">
        <f>R$7</f>
        <v>2020</v>
      </c>
      <c r="S35" s="189">
        <f t="shared" ref="S35:Y35" si="27">S$7</f>
        <v>2021</v>
      </c>
      <c r="T35" s="189">
        <f t="shared" si="27"/>
        <v>2022</v>
      </c>
      <c r="U35" s="189">
        <f t="shared" si="27"/>
        <v>2023</v>
      </c>
      <c r="V35" s="189">
        <f t="shared" si="27"/>
        <v>2024</v>
      </c>
      <c r="W35" s="189">
        <f t="shared" si="27"/>
        <v>2025</v>
      </c>
      <c r="X35" s="189">
        <f t="shared" si="27"/>
        <v>2026</v>
      </c>
      <c r="Y35" s="189">
        <f t="shared" si="27"/>
        <v>2027</v>
      </c>
      <c r="AC35" s="168"/>
      <c r="AD35" s="168"/>
      <c r="AE35" s="189">
        <f>AE$7</f>
        <v>2020</v>
      </c>
      <c r="AF35" s="189">
        <f t="shared" ref="AF35:AL35" si="28">AF$7</f>
        <v>2021</v>
      </c>
      <c r="AG35" s="189">
        <f t="shared" si="28"/>
        <v>2022</v>
      </c>
      <c r="AH35" s="189">
        <f t="shared" si="28"/>
        <v>2023</v>
      </c>
      <c r="AI35" s="189">
        <f t="shared" si="28"/>
        <v>2024</v>
      </c>
      <c r="AJ35" s="189">
        <f t="shared" si="28"/>
        <v>2025</v>
      </c>
      <c r="AK35" s="189">
        <f t="shared" si="28"/>
        <v>2026</v>
      </c>
      <c r="AL35" s="189">
        <f t="shared" si="28"/>
        <v>2027</v>
      </c>
    </row>
    <row r="36" spans="2:38" x14ac:dyDescent="0.2">
      <c r="B36" s="39" t="s">
        <v>206</v>
      </c>
      <c r="E36" s="199"/>
      <c r="F36" s="199"/>
      <c r="G36" s="199"/>
      <c r="H36" s="199"/>
      <c r="I36" s="199"/>
      <c r="J36" s="199"/>
      <c r="K36" s="199"/>
      <c r="L36" s="199"/>
      <c r="R36" s="199">
        <f>CommonSize!E10</f>
        <v>0.43889264255550309</v>
      </c>
      <c r="S36" s="199">
        <f>CommonSize!F10</f>
        <v>0.45355310202831794</v>
      </c>
      <c r="T36" s="199">
        <f>CommonSize!G10</f>
        <v>0.44308089469791817</v>
      </c>
      <c r="U36" s="199">
        <f>CommonSize!H10</f>
        <v>0.44383638214637156</v>
      </c>
      <c r="V36" s="199">
        <f>CommonSize!I10</f>
        <v>0.44661189593694967</v>
      </c>
      <c r="W36" s="199">
        <f>CommonSize!J10</f>
        <v>0.44450972426041313</v>
      </c>
      <c r="X36" s="199">
        <f>CommonSize!K10</f>
        <v>0.44498600078124473</v>
      </c>
      <c r="Y36" s="199">
        <f>CommonSize!L10</f>
        <v>0.4453692069928693</v>
      </c>
      <c r="AE36" s="199">
        <f>CommonSize!E10</f>
        <v>0.43889264255550309</v>
      </c>
      <c r="AF36" s="199">
        <f>CommonSize!F10</f>
        <v>0.45355310202831794</v>
      </c>
      <c r="AG36" s="199">
        <f>CommonSize!G10</f>
        <v>0.44308089469791817</v>
      </c>
      <c r="AH36" s="199">
        <f>CommonSize!H10</f>
        <v>0.44383638214637156</v>
      </c>
      <c r="AI36" s="199">
        <f>CommonSize!I10</f>
        <v>0.44661189593694967</v>
      </c>
      <c r="AJ36" s="199">
        <f>CommonSize!J10</f>
        <v>0.44450972426041313</v>
      </c>
      <c r="AK36" s="199">
        <f>CommonSize!K10</f>
        <v>0.44498600078124473</v>
      </c>
      <c r="AL36" s="199">
        <f>CommonSize!L10</f>
        <v>0.4453692069928693</v>
      </c>
    </row>
    <row r="37" spans="2:38" x14ac:dyDescent="0.2">
      <c r="B37" s="161" t="s">
        <v>5</v>
      </c>
      <c r="C37" s="161"/>
      <c r="D37" s="161"/>
      <c r="E37" s="161"/>
      <c r="F37" s="161"/>
      <c r="G37" s="161"/>
      <c r="H37" s="200"/>
      <c r="I37" s="200"/>
      <c r="J37" s="200"/>
      <c r="K37" s="200"/>
      <c r="L37" s="200"/>
      <c r="P37" s="161"/>
      <c r="Q37" s="161"/>
      <c r="R37" s="161"/>
      <c r="S37" s="161"/>
      <c r="T37" s="161"/>
      <c r="U37" s="200">
        <f>U29*U36</f>
        <v>34848.945300109794</v>
      </c>
      <c r="V37" s="200">
        <f t="shared" ref="V37:Y37" si="29">V29*V36</f>
        <v>93825.395669766644</v>
      </c>
      <c r="W37" s="200">
        <f t="shared" si="29"/>
        <v>165446.71207685885</v>
      </c>
      <c r="X37" s="200">
        <f t="shared" si="29"/>
        <v>246751.02626940538</v>
      </c>
      <c r="Y37" s="200">
        <f t="shared" si="29"/>
        <v>377248.13028551923</v>
      </c>
      <c r="AC37" s="161"/>
      <c r="AD37" s="161"/>
      <c r="AE37" s="161"/>
      <c r="AF37" s="161"/>
      <c r="AG37" s="161"/>
      <c r="AH37" s="200">
        <f>AH29*AH36</f>
        <v>15488.420133382127</v>
      </c>
      <c r="AI37" s="200">
        <f t="shared" ref="AI37:AL37" si="30">AI29*AI36</f>
        <v>33777.142441115997</v>
      </c>
      <c r="AJ37" s="200">
        <f t="shared" si="30"/>
        <v>57906.349226900595</v>
      </c>
      <c r="AK37" s="200">
        <f t="shared" si="30"/>
        <v>82250.342089801794</v>
      </c>
      <c r="AL37" s="200">
        <f t="shared" si="30"/>
        <v>117793.80394629476</v>
      </c>
    </row>
    <row r="38" spans="2:38" ht="10.8" thickBot="1" x14ac:dyDescent="0.25">
      <c r="B38" s="162" t="s">
        <v>6</v>
      </c>
      <c r="C38" s="162"/>
      <c r="D38" s="162"/>
      <c r="E38" s="162"/>
      <c r="F38" s="162"/>
      <c r="G38" s="162"/>
      <c r="H38" s="163"/>
      <c r="I38" s="163"/>
      <c r="J38" s="163"/>
      <c r="K38" s="163"/>
      <c r="L38" s="163"/>
      <c r="P38" s="162"/>
      <c r="Q38" s="162"/>
      <c r="R38" s="162"/>
      <c r="S38" s="162"/>
      <c r="T38" s="162"/>
      <c r="U38" s="163">
        <f>U29-U37</f>
        <v>43668.604639311474</v>
      </c>
      <c r="V38" s="163">
        <f t="shared" ref="V38:Y38" si="31">V29-V37</f>
        <v>116257.22085554962</v>
      </c>
      <c r="W38" s="163">
        <f t="shared" si="31"/>
        <v>206753.72145051428</v>
      </c>
      <c r="X38" s="163">
        <f t="shared" si="31"/>
        <v>307763.10639138427</v>
      </c>
      <c r="Y38" s="163">
        <f t="shared" si="31"/>
        <v>469797.70126780419</v>
      </c>
      <c r="AC38" s="162"/>
      <c r="AD38" s="162"/>
      <c r="AE38" s="162"/>
      <c r="AF38" s="162"/>
      <c r="AG38" s="162"/>
      <c r="AH38" s="163">
        <f>AH29-AH37</f>
        <v>19408.26872858288</v>
      </c>
      <c r="AI38" s="163">
        <f t="shared" ref="AI38:AL38" si="32">AI29-AI37</f>
        <v>41852.59950799786</v>
      </c>
      <c r="AJ38" s="163">
        <f t="shared" si="32"/>
        <v>72363.802507679997</v>
      </c>
      <c r="AK38" s="163">
        <f t="shared" si="32"/>
        <v>102587.70213046143</v>
      </c>
      <c r="AL38" s="163">
        <f t="shared" si="32"/>
        <v>146691.93529382459</v>
      </c>
    </row>
    <row r="40" spans="2:38" x14ac:dyDescent="0.2">
      <c r="B40" s="188" t="s">
        <v>269</v>
      </c>
      <c r="C40" s="168"/>
      <c r="D40" s="168"/>
      <c r="E40" s="189"/>
      <c r="F40" s="189"/>
      <c r="G40" s="189"/>
      <c r="H40" s="189"/>
      <c r="I40" s="189"/>
      <c r="J40" s="189"/>
      <c r="K40" s="189"/>
      <c r="L40" s="189"/>
      <c r="P40" s="168"/>
      <c r="Q40" s="168"/>
      <c r="R40" s="189">
        <f>R$7</f>
        <v>2020</v>
      </c>
      <c r="S40" s="189">
        <f t="shared" ref="S40:Y40" si="33">S$7</f>
        <v>2021</v>
      </c>
      <c r="T40" s="189">
        <f t="shared" si="33"/>
        <v>2022</v>
      </c>
      <c r="U40" s="189">
        <f t="shared" si="33"/>
        <v>2023</v>
      </c>
      <c r="V40" s="189">
        <f t="shared" si="33"/>
        <v>2024</v>
      </c>
      <c r="W40" s="189">
        <f t="shared" si="33"/>
        <v>2025</v>
      </c>
      <c r="X40" s="189">
        <f t="shared" si="33"/>
        <v>2026</v>
      </c>
      <c r="Y40" s="189">
        <f t="shared" si="33"/>
        <v>2027</v>
      </c>
      <c r="AC40" s="168"/>
      <c r="AD40" s="168"/>
      <c r="AE40" s="189">
        <f>AE$7</f>
        <v>2020</v>
      </c>
      <c r="AF40" s="189">
        <f t="shared" ref="AF40:AL40" si="34">AF$7</f>
        <v>2021</v>
      </c>
      <c r="AG40" s="189">
        <f t="shared" si="34"/>
        <v>2022</v>
      </c>
      <c r="AH40" s="189">
        <f t="shared" si="34"/>
        <v>2023</v>
      </c>
      <c r="AI40" s="189">
        <f t="shared" si="34"/>
        <v>2024</v>
      </c>
      <c r="AJ40" s="189">
        <f t="shared" si="34"/>
        <v>2025</v>
      </c>
      <c r="AK40" s="189">
        <f t="shared" si="34"/>
        <v>2026</v>
      </c>
      <c r="AL40" s="189">
        <f t="shared" si="34"/>
        <v>2027</v>
      </c>
    </row>
    <row r="41" spans="2:38" x14ac:dyDescent="0.2">
      <c r="B41" s="39" t="s">
        <v>6</v>
      </c>
      <c r="H41" s="83"/>
      <c r="I41" s="83"/>
      <c r="J41" s="83"/>
      <c r="K41" s="83"/>
      <c r="L41" s="83"/>
      <c r="U41" s="83">
        <f>U38</f>
        <v>43668.604639311474</v>
      </c>
      <c r="V41" s="83">
        <f t="shared" ref="V41:Y41" si="35">V38</f>
        <v>116257.22085554962</v>
      </c>
      <c r="W41" s="83">
        <f t="shared" si="35"/>
        <v>206753.72145051428</v>
      </c>
      <c r="X41" s="83">
        <f t="shared" si="35"/>
        <v>307763.10639138427</v>
      </c>
      <c r="Y41" s="83">
        <f t="shared" si="35"/>
        <v>469797.70126780419</v>
      </c>
      <c r="AH41" s="83">
        <f>AH38</f>
        <v>19408.26872858288</v>
      </c>
      <c r="AI41" s="83">
        <f t="shared" ref="AI41:AL41" si="36">AI38</f>
        <v>41852.59950799786</v>
      </c>
      <c r="AJ41" s="83">
        <f t="shared" si="36"/>
        <v>72363.802507679997</v>
      </c>
      <c r="AK41" s="83">
        <f t="shared" si="36"/>
        <v>102587.70213046143</v>
      </c>
      <c r="AL41" s="83">
        <f t="shared" si="36"/>
        <v>146691.93529382459</v>
      </c>
    </row>
    <row r="42" spans="2:38" x14ac:dyDescent="0.2">
      <c r="B42" s="39" t="s">
        <v>20</v>
      </c>
      <c r="H42" s="83"/>
      <c r="I42" s="83"/>
      <c r="J42" s="83"/>
      <c r="K42" s="83"/>
      <c r="L42" s="83"/>
      <c r="U42" s="83">
        <f>U33</f>
        <v>23555.264981826378</v>
      </c>
      <c r="V42" s="83">
        <f t="shared" ref="V42:Y42" si="37">V33</f>
        <v>73528.915783860692</v>
      </c>
      <c r="W42" s="83">
        <f t="shared" si="37"/>
        <v>130270.15173458059</v>
      </c>
      <c r="X42" s="83">
        <f t="shared" si="37"/>
        <v>166354.2397982369</v>
      </c>
      <c r="Y42" s="83">
        <f t="shared" si="37"/>
        <v>169409.1663106647</v>
      </c>
      <c r="AH42" s="83">
        <f>AH33</f>
        <v>10469.006658589502</v>
      </c>
      <c r="AI42" s="83">
        <f t="shared" ref="AI42:AL42" si="38">AI33</f>
        <v>26470.409682189849</v>
      </c>
      <c r="AJ42" s="83">
        <f t="shared" si="38"/>
        <v>45594.553107103202</v>
      </c>
      <c r="AK42" s="83">
        <f t="shared" si="38"/>
        <v>55451.413266078969</v>
      </c>
      <c r="AL42" s="83">
        <f t="shared" si="38"/>
        <v>52897.147848023873</v>
      </c>
    </row>
    <row r="43" spans="2:38" ht="10.8" thickBot="1" x14ac:dyDescent="0.25">
      <c r="B43" s="162" t="s">
        <v>100</v>
      </c>
      <c r="C43" s="162"/>
      <c r="D43" s="162"/>
      <c r="E43" s="162"/>
      <c r="F43" s="162"/>
      <c r="G43" s="162"/>
      <c r="H43" s="163"/>
      <c r="I43" s="163"/>
      <c r="J43" s="163"/>
      <c r="K43" s="163"/>
      <c r="L43" s="163"/>
      <c r="P43" s="162"/>
      <c r="Q43" s="162"/>
      <c r="R43" s="162"/>
      <c r="S43" s="162"/>
      <c r="T43" s="162"/>
      <c r="U43" s="163">
        <f>U41-U42</f>
        <v>20113.339657485096</v>
      </c>
      <c r="V43" s="163">
        <f t="shared" ref="V43:Y43" si="39">V41-V42</f>
        <v>42728.305071688927</v>
      </c>
      <c r="W43" s="163">
        <f t="shared" si="39"/>
        <v>76483.569715933685</v>
      </c>
      <c r="X43" s="163">
        <f t="shared" si="39"/>
        <v>141408.86659314737</v>
      </c>
      <c r="Y43" s="163">
        <f t="shared" si="39"/>
        <v>300388.53495713952</v>
      </c>
      <c r="AC43" s="162"/>
      <c r="AD43" s="162"/>
      <c r="AE43" s="162"/>
      <c r="AF43" s="162"/>
      <c r="AG43" s="162"/>
      <c r="AH43" s="163">
        <f>AH41-AH42</f>
        <v>8939.2620699933777</v>
      </c>
      <c r="AI43" s="163">
        <f t="shared" ref="AI43:AL43" si="40">AI41-AI42</f>
        <v>15382.189825808011</v>
      </c>
      <c r="AJ43" s="163">
        <f t="shared" si="40"/>
        <v>26769.249400576795</v>
      </c>
      <c r="AK43" s="163">
        <f t="shared" si="40"/>
        <v>47136.288864382463</v>
      </c>
      <c r="AL43" s="163">
        <f t="shared" si="40"/>
        <v>93794.787445800714</v>
      </c>
    </row>
    <row r="45" spans="2:38" x14ac:dyDescent="0.2">
      <c r="B45" s="188" t="s">
        <v>216</v>
      </c>
      <c r="C45" s="168"/>
      <c r="D45" s="168"/>
      <c r="E45" s="189"/>
      <c r="F45" s="189"/>
      <c r="G45" s="189"/>
      <c r="H45" s="189"/>
      <c r="I45" s="189"/>
      <c r="J45" s="189"/>
      <c r="K45" s="189"/>
      <c r="L45" s="189"/>
      <c r="P45" s="168"/>
      <c r="Q45" s="168"/>
      <c r="R45" s="189">
        <f>R$7</f>
        <v>2020</v>
      </c>
      <c r="S45" s="189">
        <f t="shared" ref="S45:Y45" si="41">S$7</f>
        <v>2021</v>
      </c>
      <c r="T45" s="189">
        <f t="shared" si="41"/>
        <v>2022</v>
      </c>
      <c r="U45" s="189">
        <f t="shared" si="41"/>
        <v>2023</v>
      </c>
      <c r="V45" s="189">
        <f t="shared" si="41"/>
        <v>2024</v>
      </c>
      <c r="W45" s="189">
        <f t="shared" si="41"/>
        <v>2025</v>
      </c>
      <c r="X45" s="189">
        <f t="shared" si="41"/>
        <v>2026</v>
      </c>
      <c r="Y45" s="189">
        <f t="shared" si="41"/>
        <v>2027</v>
      </c>
      <c r="AC45" s="168"/>
      <c r="AD45" s="168"/>
      <c r="AE45" s="189">
        <f>AE$7</f>
        <v>2020</v>
      </c>
      <c r="AF45" s="189">
        <f t="shared" ref="AF45:AL45" si="42">AF$7</f>
        <v>2021</v>
      </c>
      <c r="AG45" s="189">
        <f t="shared" si="42"/>
        <v>2022</v>
      </c>
      <c r="AH45" s="189">
        <f t="shared" si="42"/>
        <v>2023</v>
      </c>
      <c r="AI45" s="189">
        <f t="shared" si="42"/>
        <v>2024</v>
      </c>
      <c r="AJ45" s="189">
        <f t="shared" si="42"/>
        <v>2025</v>
      </c>
      <c r="AK45" s="189">
        <f t="shared" si="42"/>
        <v>2026</v>
      </c>
      <c r="AL45" s="189">
        <f t="shared" si="42"/>
        <v>2027</v>
      </c>
    </row>
    <row r="46" spans="2:38" x14ac:dyDescent="0.2">
      <c r="B46" s="201" t="s">
        <v>8</v>
      </c>
      <c r="E46" s="199"/>
      <c r="F46" s="199"/>
      <c r="G46" s="199"/>
      <c r="H46" s="199"/>
      <c r="I46" s="199"/>
      <c r="J46" s="199"/>
      <c r="K46" s="199"/>
      <c r="L46" s="199"/>
      <c r="R46" s="199">
        <f>CommonSize!E13</f>
        <v>0.47463467255162828</v>
      </c>
      <c r="S46" s="199">
        <f>CommonSize!F13</f>
        <v>0.46364318109242281</v>
      </c>
      <c r="T46" s="199">
        <f>CommonSize!G13</f>
        <v>0.44385694618770177</v>
      </c>
      <c r="U46" s="199">
        <f>CommonSize!H13</f>
        <v>0.46146767866775418</v>
      </c>
      <c r="V46" s="199">
        <f>CommonSize!I13</f>
        <v>0.45636140747415693</v>
      </c>
      <c r="W46" s="199">
        <f>CommonSize!J13</f>
        <v>0.45389072663759983</v>
      </c>
      <c r="X46" s="199">
        <f>CommonSize!K13</f>
        <v>0.45724650078586482</v>
      </c>
      <c r="Y46" s="199">
        <f>CommonSize!L13</f>
        <v>0.45583143741235149</v>
      </c>
      <c r="AE46" s="199">
        <f>CommonSize!E13</f>
        <v>0.47463467255162828</v>
      </c>
      <c r="AF46" s="199">
        <f>CommonSize!F13</f>
        <v>0.46364318109242281</v>
      </c>
      <c r="AG46" s="199">
        <f>CommonSize!G13</f>
        <v>0.44385694618770177</v>
      </c>
      <c r="AH46" s="199">
        <f>CommonSize!H13</f>
        <v>0.46146767866775418</v>
      </c>
      <c r="AI46" s="199">
        <f>CommonSize!I13</f>
        <v>0.45636140747415693</v>
      </c>
      <c r="AJ46" s="199">
        <f>CommonSize!J13</f>
        <v>0.45389072663759983</v>
      </c>
      <c r="AK46" s="199">
        <f>CommonSize!K13</f>
        <v>0.45724650078586482</v>
      </c>
      <c r="AL46" s="199">
        <f>CommonSize!L13</f>
        <v>0.45583143741235149</v>
      </c>
    </row>
    <row r="47" spans="2:38" x14ac:dyDescent="0.2">
      <c r="B47" s="201" t="s">
        <v>9</v>
      </c>
      <c r="E47" s="199"/>
      <c r="F47" s="199"/>
      <c r="G47" s="199"/>
      <c r="H47" s="199"/>
      <c r="I47" s="199"/>
      <c r="J47" s="199"/>
      <c r="K47" s="199"/>
      <c r="L47" s="199"/>
      <c r="R47" s="199">
        <f>CommonSize!E14</f>
        <v>0.10139619486597712</v>
      </c>
      <c r="S47" s="199">
        <f>CommonSize!F14</f>
        <v>0.10373211202264006</v>
      </c>
      <c r="T47" s="199">
        <f>CommonSize!G14</f>
        <v>0.10723546749041316</v>
      </c>
      <c r="U47" s="199">
        <f>CommonSize!H14</f>
        <v>0.1037962799934689</v>
      </c>
      <c r="V47" s="199">
        <f>CommonSize!I14</f>
        <v>0.1048785445514018</v>
      </c>
      <c r="W47" s="199">
        <f>CommonSize!J14</f>
        <v>0.10530416436715098</v>
      </c>
      <c r="X47" s="199">
        <f>CommonSize!K14</f>
        <v>0.10465824460382067</v>
      </c>
      <c r="Y47" s="199">
        <f>CommonSize!L14</f>
        <v>0.10494720057381345</v>
      </c>
      <c r="AE47" s="199">
        <f>CommonSize!E14</f>
        <v>0.10139619486597712</v>
      </c>
      <c r="AF47" s="199">
        <f>CommonSize!F14</f>
        <v>0.10373211202264006</v>
      </c>
      <c r="AG47" s="199">
        <f>CommonSize!G14</f>
        <v>0.10723546749041316</v>
      </c>
      <c r="AH47" s="199">
        <f>CommonSize!H14</f>
        <v>0.1037962799934689</v>
      </c>
      <c r="AI47" s="199">
        <f>CommonSize!I14</f>
        <v>0.1048785445514018</v>
      </c>
      <c r="AJ47" s="199">
        <f>CommonSize!J14</f>
        <v>0.10530416436715098</v>
      </c>
      <c r="AK47" s="199">
        <f>CommonSize!K14</f>
        <v>0.10465824460382067</v>
      </c>
      <c r="AL47" s="199">
        <f>CommonSize!L14</f>
        <v>0.10494720057381345</v>
      </c>
    </row>
    <row r="48" spans="2:38" x14ac:dyDescent="0.2">
      <c r="B48" s="201" t="s">
        <v>10</v>
      </c>
      <c r="E48" s="199"/>
      <c r="F48" s="199"/>
      <c r="G48" s="199"/>
      <c r="H48" s="199"/>
      <c r="I48" s="199"/>
      <c r="J48" s="199"/>
      <c r="K48" s="199"/>
      <c r="L48" s="199"/>
      <c r="R48" s="199">
        <f>CommonSize!E15</f>
        <v>0.1833408745037248</v>
      </c>
      <c r="S48" s="199">
        <f>CommonSize!F15</f>
        <v>0.1818573138383929</v>
      </c>
      <c r="T48" s="199">
        <f>CommonSize!G15</f>
        <v>0.19129607024524059</v>
      </c>
      <c r="U48" s="199">
        <f>CommonSize!H15</f>
        <v>0.18602784143850007</v>
      </c>
      <c r="V48" s="199">
        <f>CommonSize!I15</f>
        <v>0.18655321922840892</v>
      </c>
      <c r="W48" s="199">
        <f>CommonSize!J15</f>
        <v>0.18796240481927137</v>
      </c>
      <c r="X48" s="199">
        <f>CommonSize!K15</f>
        <v>0.18684746829945295</v>
      </c>
      <c r="Y48" s="199">
        <f>CommonSize!L15</f>
        <v>0.18712223140665535</v>
      </c>
      <c r="AE48" s="199">
        <f>CommonSize!E15</f>
        <v>0.1833408745037248</v>
      </c>
      <c r="AF48" s="199">
        <f>CommonSize!F15</f>
        <v>0.1818573138383929</v>
      </c>
      <c r="AG48" s="199">
        <f>CommonSize!G15</f>
        <v>0.19129607024524059</v>
      </c>
      <c r="AH48" s="199">
        <f>CommonSize!H15</f>
        <v>0.18602784143850007</v>
      </c>
      <c r="AI48" s="199">
        <f>CommonSize!I15</f>
        <v>0.18655321922840892</v>
      </c>
      <c r="AJ48" s="199">
        <f>CommonSize!J15</f>
        <v>0.18796240481927137</v>
      </c>
      <c r="AK48" s="199">
        <f>CommonSize!K15</f>
        <v>0.18684746829945295</v>
      </c>
      <c r="AL48" s="199">
        <f>CommonSize!L15</f>
        <v>0.18712223140665535</v>
      </c>
    </row>
    <row r="49" spans="2:38" x14ac:dyDescent="0.2">
      <c r="B49" s="201" t="s">
        <v>11</v>
      </c>
      <c r="E49" s="199"/>
      <c r="F49" s="199"/>
      <c r="G49" s="199"/>
      <c r="H49" s="199"/>
      <c r="I49" s="199"/>
      <c r="J49" s="199"/>
      <c r="K49" s="199"/>
      <c r="L49" s="199"/>
      <c r="R49" s="199">
        <f>CommonSize!E16</f>
        <v>5.458522295140629E-2</v>
      </c>
      <c r="S49" s="199">
        <f>CommonSize!F16</f>
        <v>5.8287866888636873E-2</v>
      </c>
      <c r="T49" s="199">
        <f>CommonSize!G16</f>
        <v>5.8038618464181707E-2</v>
      </c>
      <c r="U49" s="199">
        <f>CommonSize!H16</f>
        <v>5.675907036890307E-2</v>
      </c>
      <c r="V49" s="199">
        <f>CommonSize!I16</f>
        <v>5.7648964230326248E-2</v>
      </c>
      <c r="W49" s="199">
        <f>CommonSize!J16</f>
        <v>5.748152806461327E-2</v>
      </c>
      <c r="X49" s="199">
        <f>CommonSize!K16</f>
        <v>5.7295210497625121E-2</v>
      </c>
      <c r="Y49" s="199">
        <f>CommonSize!L16</f>
        <v>5.7474940487796895E-2</v>
      </c>
      <c r="AE49" s="199">
        <f>CommonSize!E16</f>
        <v>5.458522295140629E-2</v>
      </c>
      <c r="AF49" s="199">
        <f>CommonSize!F16</f>
        <v>5.8287866888636873E-2</v>
      </c>
      <c r="AG49" s="199">
        <f>CommonSize!G16</f>
        <v>5.8038618464181707E-2</v>
      </c>
      <c r="AH49" s="199">
        <f>CommonSize!H16</f>
        <v>5.675907036890307E-2</v>
      </c>
      <c r="AI49" s="199">
        <f>CommonSize!I16</f>
        <v>5.7648964230326248E-2</v>
      </c>
      <c r="AJ49" s="199">
        <f>CommonSize!J16</f>
        <v>5.748152806461327E-2</v>
      </c>
      <c r="AK49" s="199">
        <f>CommonSize!K16</f>
        <v>5.7295210497625121E-2</v>
      </c>
      <c r="AL49" s="199">
        <f>CommonSize!L16</f>
        <v>5.7474940487796895E-2</v>
      </c>
    </row>
    <row r="50" spans="2:38" x14ac:dyDescent="0.2">
      <c r="B50" s="201" t="s">
        <v>12</v>
      </c>
      <c r="E50" s="199"/>
      <c r="F50" s="199"/>
      <c r="G50" s="199"/>
      <c r="H50" s="199"/>
      <c r="I50" s="199"/>
      <c r="J50" s="199"/>
      <c r="K50" s="199"/>
      <c r="L50" s="199"/>
      <c r="R50" s="199">
        <f>CommonSize!E17</f>
        <v>7.8206456249477918E-2</v>
      </c>
      <c r="S50" s="199">
        <f>CommonSize!F17</f>
        <v>8.0169324554398666E-2</v>
      </c>
      <c r="T50" s="199">
        <f>CommonSize!G17</f>
        <v>8.2220500379469333E-2</v>
      </c>
      <c r="U50" s="199">
        <f>CommonSize!H17</f>
        <v>7.9936830624164387E-2</v>
      </c>
      <c r="V50" s="199">
        <f>CommonSize!I17</f>
        <v>8.07386338627126E-2</v>
      </c>
      <c r="W50" s="199">
        <f>CommonSize!J17</f>
        <v>8.0965644502200923E-2</v>
      </c>
      <c r="X50" s="199">
        <f>CommonSize!K17</f>
        <v>8.0545960920946361E-2</v>
      </c>
      <c r="Y50" s="199">
        <f>CommonSize!L17</f>
        <v>8.0750159369055247E-2</v>
      </c>
      <c r="AE50" s="199">
        <f>CommonSize!E17</f>
        <v>7.8206456249477918E-2</v>
      </c>
      <c r="AF50" s="199">
        <f>CommonSize!F17</f>
        <v>8.0169324554398666E-2</v>
      </c>
      <c r="AG50" s="199">
        <f>CommonSize!G17</f>
        <v>8.2220500379469333E-2</v>
      </c>
      <c r="AH50" s="199">
        <f>CommonSize!H17</f>
        <v>7.9936830624164387E-2</v>
      </c>
      <c r="AI50" s="199">
        <f>CommonSize!I17</f>
        <v>8.07386338627126E-2</v>
      </c>
      <c r="AJ50" s="199">
        <f>CommonSize!J17</f>
        <v>8.0965644502200923E-2</v>
      </c>
      <c r="AK50" s="199">
        <f>CommonSize!K17</f>
        <v>8.0545960920946361E-2</v>
      </c>
      <c r="AL50" s="199">
        <f>CommonSize!L17</f>
        <v>8.0750159369055247E-2</v>
      </c>
    </row>
    <row r="51" spans="2:38" x14ac:dyDescent="0.2">
      <c r="B51" s="201" t="s">
        <v>13</v>
      </c>
      <c r="E51" s="199"/>
      <c r="F51" s="199"/>
      <c r="G51" s="199"/>
      <c r="H51" s="199"/>
      <c r="I51" s="199"/>
      <c r="J51" s="199"/>
      <c r="K51" s="199"/>
      <c r="L51" s="199"/>
      <c r="R51" s="199">
        <f>CommonSize!E18</f>
        <v>1.0761740150478078E-2</v>
      </c>
      <c r="S51" s="199">
        <f>CommonSize!F18</f>
        <v>1.3050925197576072E-2</v>
      </c>
      <c r="T51" s="199">
        <f>CommonSize!G18</f>
        <v>1.0370460426350583E-2</v>
      </c>
      <c r="U51" s="199">
        <f>CommonSize!H18</f>
        <v>1.11814405765529E-2</v>
      </c>
      <c r="V51" s="199">
        <f>CommonSize!I18</f>
        <v>1.1477118760789362E-2</v>
      </c>
      <c r="W51" s="199">
        <f>CommonSize!J18</f>
        <v>1.1008411918058694E-2</v>
      </c>
      <c r="X51" s="199">
        <f>CommonSize!K18</f>
        <v>1.1221773286130377E-2</v>
      </c>
      <c r="Y51" s="199">
        <f>CommonSize!L18</f>
        <v>1.123529400041311E-2</v>
      </c>
      <c r="AE51" s="199">
        <f>CommonSize!E18</f>
        <v>1.0761740150478078E-2</v>
      </c>
      <c r="AF51" s="199">
        <f>CommonSize!F18</f>
        <v>1.3050925197576072E-2</v>
      </c>
      <c r="AG51" s="199">
        <f>CommonSize!G18</f>
        <v>1.0370460426350583E-2</v>
      </c>
      <c r="AH51" s="199">
        <f>CommonSize!H18</f>
        <v>1.11814405765529E-2</v>
      </c>
      <c r="AI51" s="199">
        <f>CommonSize!I18</f>
        <v>1.1477118760789362E-2</v>
      </c>
      <c r="AJ51" s="199">
        <f>CommonSize!J18</f>
        <v>1.1008411918058694E-2</v>
      </c>
      <c r="AK51" s="199">
        <f>CommonSize!K18</f>
        <v>1.1221773286130377E-2</v>
      </c>
      <c r="AL51" s="199">
        <f>CommonSize!L18</f>
        <v>1.123529400041311E-2</v>
      </c>
    </row>
    <row r="52" spans="2:38" x14ac:dyDescent="0.2">
      <c r="B52" s="201" t="s">
        <v>14</v>
      </c>
      <c r="E52" s="199"/>
      <c r="F52" s="199"/>
      <c r="G52" s="199"/>
      <c r="H52" s="199"/>
      <c r="I52" s="199"/>
      <c r="J52" s="199"/>
      <c r="K52" s="199"/>
      <c r="L52" s="199"/>
      <c r="R52" s="199">
        <f>CommonSize!E19</f>
        <v>1.1561688469433474E-2</v>
      </c>
      <c r="S52" s="199">
        <f>CommonSize!F19</f>
        <v>1.1767124832244163E-2</v>
      </c>
      <c r="T52" s="199">
        <f>CommonSize!G19</f>
        <v>1.2330098130137763E-2</v>
      </c>
      <c r="U52" s="199">
        <f>CommonSize!H19</f>
        <v>1.179926380677839E-2</v>
      </c>
      <c r="V52" s="199">
        <f>CommonSize!I19</f>
        <v>1.1951933891214435E-2</v>
      </c>
      <c r="W52" s="199">
        <f>CommonSize!J19</f>
        <v>1.202724025489621E-2</v>
      </c>
      <c r="X52" s="199">
        <f>CommonSize!K19</f>
        <v>1.1925950154578705E-2</v>
      </c>
      <c r="Y52" s="199">
        <f>CommonSize!L19</f>
        <v>1.1968419156291597E-2</v>
      </c>
      <c r="AE52" s="199">
        <f>CommonSize!E19</f>
        <v>1.1561688469433474E-2</v>
      </c>
      <c r="AF52" s="199">
        <f>CommonSize!F19</f>
        <v>1.1767124832244163E-2</v>
      </c>
      <c r="AG52" s="199">
        <f>CommonSize!G19</f>
        <v>1.2330098130137763E-2</v>
      </c>
      <c r="AH52" s="199">
        <f>CommonSize!H19</f>
        <v>1.179926380677839E-2</v>
      </c>
      <c r="AI52" s="199">
        <f>CommonSize!I19</f>
        <v>1.1951933891214435E-2</v>
      </c>
      <c r="AJ52" s="199">
        <f>CommonSize!J19</f>
        <v>1.202724025489621E-2</v>
      </c>
      <c r="AK52" s="199">
        <f>CommonSize!K19</f>
        <v>1.1925950154578705E-2</v>
      </c>
      <c r="AL52" s="199">
        <f>CommonSize!L19</f>
        <v>1.1968419156291597E-2</v>
      </c>
    </row>
    <row r="53" spans="2:38" x14ac:dyDescent="0.2">
      <c r="B53" s="201" t="s">
        <v>15</v>
      </c>
      <c r="E53" s="199"/>
      <c r="F53" s="199"/>
      <c r="G53" s="199"/>
      <c r="H53" s="199"/>
      <c r="I53" s="199"/>
      <c r="J53" s="199"/>
      <c r="K53" s="199"/>
      <c r="L53" s="199"/>
      <c r="R53" s="199">
        <f>CommonSize!E20</f>
        <v>1.3674867387294034E-2</v>
      </c>
      <c r="S53" s="199">
        <f>CommonSize!F20</f>
        <v>1.2853564360693752E-2</v>
      </c>
      <c r="T53" s="199">
        <f>CommonSize!G20</f>
        <v>1.6400247156362416E-2</v>
      </c>
      <c r="U53" s="199">
        <f>CommonSize!H20</f>
        <v>1.4250474961439058E-2</v>
      </c>
      <c r="V53" s="199">
        <f>CommonSize!I20</f>
        <v>1.4508580854442376E-2</v>
      </c>
      <c r="W53" s="199">
        <f>CommonSize!J20</f>
        <v>1.5054386196175943E-2</v>
      </c>
      <c r="X53" s="199">
        <f>CommonSize!K20</f>
        <v>1.4604266180105765E-2</v>
      </c>
      <c r="Y53" s="199">
        <f>CommonSize!L20</f>
        <v>1.4722867435351096E-2</v>
      </c>
      <c r="AE53" s="199">
        <f>CommonSize!E20</f>
        <v>1.3674867387294034E-2</v>
      </c>
      <c r="AF53" s="199">
        <f>CommonSize!F20</f>
        <v>1.2853564360693752E-2</v>
      </c>
      <c r="AG53" s="199">
        <f>CommonSize!G20</f>
        <v>1.6400247156362416E-2</v>
      </c>
      <c r="AH53" s="199">
        <f>CommonSize!H20</f>
        <v>1.4250474961439058E-2</v>
      </c>
      <c r="AI53" s="199">
        <f>CommonSize!I20</f>
        <v>1.4508580854442376E-2</v>
      </c>
      <c r="AJ53" s="199">
        <f>CommonSize!J20</f>
        <v>1.5054386196175943E-2</v>
      </c>
      <c r="AK53" s="199">
        <f>CommonSize!K20</f>
        <v>1.4604266180105765E-2</v>
      </c>
      <c r="AL53" s="199">
        <f>CommonSize!L20</f>
        <v>1.4722867435351096E-2</v>
      </c>
    </row>
    <row r="54" spans="2:38" x14ac:dyDescent="0.2">
      <c r="B54" s="201" t="s">
        <v>16</v>
      </c>
      <c r="E54" s="199"/>
      <c r="F54" s="199"/>
      <c r="G54" s="199"/>
      <c r="H54" s="199"/>
      <c r="I54" s="199"/>
      <c r="J54" s="199"/>
      <c r="K54" s="199"/>
      <c r="L54" s="199"/>
      <c r="R54" s="199">
        <f>CommonSize!E21</f>
        <v>4.3960161354359664E-2</v>
      </c>
      <c r="S54" s="199">
        <f>CommonSize!F21</f>
        <v>4.500665918720001E-2</v>
      </c>
      <c r="T54" s="199">
        <f>CommonSize!G21</f>
        <v>4.6917675415390214E-2</v>
      </c>
      <c r="U54" s="199">
        <f>CommonSize!H21</f>
        <v>4.5290351847343029E-2</v>
      </c>
      <c r="V54" s="199">
        <f>CommonSize!I21</f>
        <v>4.5748212498146028E-2</v>
      </c>
      <c r="W54" s="199">
        <f>CommonSize!J21</f>
        <v>4.598586756194601E-2</v>
      </c>
      <c r="X54" s="199">
        <f>CommonSize!K21</f>
        <v>4.5674226628466159E-2</v>
      </c>
      <c r="Y54" s="199">
        <f>CommonSize!L21</f>
        <v>4.580291278147415E-2</v>
      </c>
      <c r="AE54" s="199">
        <f>CommonSize!E21</f>
        <v>4.3960161354359664E-2</v>
      </c>
      <c r="AF54" s="199">
        <f>CommonSize!F21</f>
        <v>4.500665918720001E-2</v>
      </c>
      <c r="AG54" s="199">
        <f>CommonSize!G21</f>
        <v>4.6917675415390214E-2</v>
      </c>
      <c r="AH54" s="199">
        <f>CommonSize!H21</f>
        <v>4.5290351847343029E-2</v>
      </c>
      <c r="AI54" s="199">
        <f>CommonSize!I21</f>
        <v>4.5748212498146028E-2</v>
      </c>
      <c r="AJ54" s="199">
        <f>CommonSize!J21</f>
        <v>4.598586756194601E-2</v>
      </c>
      <c r="AK54" s="199">
        <f>CommonSize!K21</f>
        <v>4.5674226628466159E-2</v>
      </c>
      <c r="AL54" s="199">
        <f>CommonSize!L21</f>
        <v>4.580291278147415E-2</v>
      </c>
    </row>
    <row r="55" spans="2:38" x14ac:dyDescent="0.2">
      <c r="B55" s="201" t="s">
        <v>17</v>
      </c>
      <c r="E55" s="199"/>
      <c r="F55" s="199"/>
      <c r="G55" s="199"/>
      <c r="H55" s="199"/>
      <c r="I55" s="199"/>
      <c r="J55" s="199"/>
      <c r="K55" s="199"/>
      <c r="L55" s="199"/>
      <c r="R55" s="199">
        <f>CommonSize!E22</f>
        <v>2.7878121516220544E-2</v>
      </c>
      <c r="S55" s="199">
        <f>CommonSize!F22</f>
        <v>2.9631928025794795E-2</v>
      </c>
      <c r="T55" s="199">
        <f>CommonSize!G22</f>
        <v>3.1333916104752391E-2</v>
      </c>
      <c r="U55" s="199">
        <f>CommonSize!H22</f>
        <v>2.9490767715096004E-2</v>
      </c>
      <c r="V55" s="199">
        <f>CommonSize!I22</f>
        <v>3.0133384648401134E-2</v>
      </c>
      <c r="W55" s="199">
        <f>CommonSize!J22</f>
        <v>3.0319625678086617E-2</v>
      </c>
      <c r="X55" s="199">
        <f>CommonSize!K22</f>
        <v>2.9980398643009123E-2</v>
      </c>
      <c r="Y55" s="199">
        <f>CommonSize!L22</f>
        <v>3.0144537376797585E-2</v>
      </c>
      <c r="AE55" s="199">
        <f>CommonSize!E22</f>
        <v>2.7878121516220544E-2</v>
      </c>
      <c r="AF55" s="199">
        <f>CommonSize!F22</f>
        <v>2.9631928025794795E-2</v>
      </c>
      <c r="AG55" s="199">
        <f>CommonSize!G22</f>
        <v>3.1333916104752391E-2</v>
      </c>
      <c r="AH55" s="199">
        <f>CommonSize!H22</f>
        <v>2.9490767715096004E-2</v>
      </c>
      <c r="AI55" s="199">
        <f>CommonSize!I22</f>
        <v>3.0133384648401134E-2</v>
      </c>
      <c r="AJ55" s="199">
        <f>CommonSize!J22</f>
        <v>3.0319625678086617E-2</v>
      </c>
      <c r="AK55" s="199">
        <f>CommonSize!K22</f>
        <v>2.9980398643009123E-2</v>
      </c>
      <c r="AL55" s="199">
        <f>CommonSize!L22</f>
        <v>3.0144537376797585E-2</v>
      </c>
    </row>
    <row r="57" spans="2:38" x14ac:dyDescent="0.2">
      <c r="B57" s="201" t="s">
        <v>25</v>
      </c>
      <c r="E57" s="105"/>
      <c r="F57" s="105"/>
      <c r="G57" s="105"/>
      <c r="H57" s="240"/>
      <c r="I57" s="240"/>
      <c r="J57" s="240"/>
      <c r="K57" s="240"/>
      <c r="L57" s="240"/>
      <c r="R57" s="105">
        <v>0.35</v>
      </c>
      <c r="S57" s="105">
        <v>0.35</v>
      </c>
      <c r="T57" s="105">
        <v>0.35</v>
      </c>
      <c r="U57" s="240">
        <v>0.35</v>
      </c>
      <c r="V57" s="240">
        <v>0.35</v>
      </c>
      <c r="W57" s="240">
        <v>0.35</v>
      </c>
      <c r="X57" s="240">
        <v>0.35</v>
      </c>
      <c r="Y57" s="240">
        <v>0.35</v>
      </c>
      <c r="AE57" s="105">
        <v>0.35</v>
      </c>
      <c r="AF57" s="105">
        <v>0.35</v>
      </c>
      <c r="AG57" s="105">
        <v>0.35</v>
      </c>
      <c r="AH57" s="240">
        <v>0.35</v>
      </c>
      <c r="AI57" s="240">
        <v>0.35</v>
      </c>
      <c r="AJ57" s="240">
        <v>0.35</v>
      </c>
      <c r="AK57" s="240">
        <v>0.35</v>
      </c>
      <c r="AL57" s="240">
        <v>0.35</v>
      </c>
    </row>
    <row r="59" spans="2:38" x14ac:dyDescent="0.2">
      <c r="B59" s="76" t="s">
        <v>126</v>
      </c>
      <c r="C59" s="76"/>
      <c r="D59" s="76"/>
      <c r="E59" s="76"/>
      <c r="F59" s="76"/>
      <c r="G59" s="76"/>
      <c r="H59" s="76"/>
      <c r="I59" s="76"/>
      <c r="J59" s="76"/>
      <c r="K59" s="76"/>
      <c r="L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</row>
    <row r="61" spans="2:38" x14ac:dyDescent="0.2">
      <c r="B61" s="113" t="s">
        <v>30</v>
      </c>
      <c r="C61" s="113"/>
      <c r="D61" s="113"/>
      <c r="E61" s="73"/>
      <c r="F61" s="73"/>
      <c r="G61" s="73"/>
      <c r="H61" s="73"/>
      <c r="I61" s="73"/>
      <c r="J61" s="73"/>
      <c r="K61" s="73"/>
      <c r="L61" s="73"/>
      <c r="P61" s="113"/>
      <c r="Q61" s="113"/>
      <c r="R61" s="73"/>
      <c r="S61" s="73"/>
      <c r="T61" s="73"/>
      <c r="U61" s="73"/>
      <c r="V61" s="73"/>
      <c r="W61" s="73"/>
      <c r="X61" s="73"/>
      <c r="Y61" s="73"/>
      <c r="AC61" s="113"/>
      <c r="AD61" s="113"/>
      <c r="AE61" s="73"/>
      <c r="AF61" s="73"/>
      <c r="AG61" s="73"/>
      <c r="AH61" s="73"/>
      <c r="AI61" s="73"/>
      <c r="AJ61" s="73"/>
      <c r="AK61" s="73"/>
      <c r="AL61" s="73"/>
    </row>
    <row r="62" spans="2:38" x14ac:dyDescent="0.2">
      <c r="B62" s="47" t="s">
        <v>127</v>
      </c>
      <c r="C62" s="47"/>
      <c r="D62" s="47"/>
      <c r="E62" s="114"/>
      <c r="F62" s="114"/>
      <c r="G62" s="114"/>
      <c r="H62" s="114"/>
      <c r="I62" s="114"/>
      <c r="J62" s="114"/>
      <c r="K62" s="114"/>
      <c r="L62" s="114"/>
      <c r="P62" s="47"/>
      <c r="Q62" s="47"/>
      <c r="R62" s="114">
        <v>365</v>
      </c>
      <c r="S62" s="114">
        <v>365</v>
      </c>
      <c r="T62" s="114">
        <v>365</v>
      </c>
      <c r="U62" s="114">
        <v>365</v>
      </c>
      <c r="V62" s="114">
        <v>365</v>
      </c>
      <c r="W62" s="114">
        <v>365</v>
      </c>
      <c r="X62" s="114">
        <v>365</v>
      </c>
      <c r="Y62" s="114">
        <v>365</v>
      </c>
      <c r="AC62" s="47"/>
      <c r="AD62" s="47"/>
      <c r="AE62" s="114">
        <v>365</v>
      </c>
      <c r="AF62" s="114">
        <v>365</v>
      </c>
      <c r="AG62" s="114">
        <v>365</v>
      </c>
      <c r="AH62" s="114">
        <v>365</v>
      </c>
      <c r="AI62" s="114">
        <v>365</v>
      </c>
      <c r="AJ62" s="114">
        <v>365</v>
      </c>
      <c r="AK62" s="114">
        <v>365</v>
      </c>
      <c r="AL62" s="114">
        <v>365</v>
      </c>
    </row>
    <row r="63" spans="2:38" x14ac:dyDescent="0.2">
      <c r="B63" s="47" t="s">
        <v>128</v>
      </c>
      <c r="C63" s="47"/>
      <c r="D63" s="47"/>
      <c r="E63" s="116"/>
      <c r="F63" s="116"/>
      <c r="G63" s="116"/>
      <c r="H63" s="221"/>
      <c r="I63" s="221"/>
      <c r="J63" s="221"/>
      <c r="K63" s="221"/>
      <c r="L63" s="221"/>
      <c r="P63" s="47"/>
      <c r="Q63" s="47"/>
      <c r="R63" s="116"/>
      <c r="S63" s="116"/>
      <c r="T63" s="116"/>
      <c r="U63" s="221">
        <f>CommonSize!H29</f>
        <v>28.220485863543082</v>
      </c>
      <c r="V63" s="221">
        <f>CommonSize!I29</f>
        <v>28.663398354207597</v>
      </c>
      <c r="W63" s="221">
        <f>CommonSize!J29</f>
        <v>28.431447756428867</v>
      </c>
      <c r="X63" s="221">
        <f>CommonSize!K29</f>
        <v>28.684075935384609</v>
      </c>
      <c r="Y63" s="221">
        <f>CommonSize!L29</f>
        <v>28.359038830586613</v>
      </c>
      <c r="AC63" s="47"/>
      <c r="AD63" s="47"/>
      <c r="AE63" s="116"/>
      <c r="AF63" s="116"/>
      <c r="AG63" s="116"/>
      <c r="AH63" s="221">
        <f>CommonSize!H29</f>
        <v>28.220485863543082</v>
      </c>
      <c r="AI63" s="221">
        <f>CommonSize!I29</f>
        <v>28.663398354207597</v>
      </c>
      <c r="AJ63" s="221">
        <f>CommonSize!J29</f>
        <v>28.431447756428867</v>
      </c>
      <c r="AK63" s="221">
        <f>CommonSize!K29</f>
        <v>28.684075935384609</v>
      </c>
      <c r="AL63" s="221">
        <f>CommonSize!L29</f>
        <v>28.359038830586613</v>
      </c>
    </row>
    <row r="64" spans="2:38" x14ac:dyDescent="0.2">
      <c r="B64" s="47" t="s">
        <v>129</v>
      </c>
      <c r="C64" s="47"/>
      <c r="D64" s="47"/>
      <c r="E64" s="117"/>
      <c r="F64" s="117"/>
      <c r="G64" s="117"/>
      <c r="H64" s="117"/>
      <c r="I64" s="117"/>
      <c r="J64" s="117"/>
      <c r="K64" s="117"/>
      <c r="L64" s="117"/>
      <c r="P64" s="47"/>
      <c r="Q64" s="47"/>
      <c r="R64" s="117"/>
      <c r="S64" s="117"/>
      <c r="T64" s="117"/>
      <c r="U64" s="117">
        <f>U108</f>
        <v>78517.549939421267</v>
      </c>
      <c r="V64" s="117">
        <f t="shared" ref="V64:Y64" si="43">V108</f>
        <v>210082.61652531626</v>
      </c>
      <c r="W64" s="117">
        <f t="shared" si="43"/>
        <v>372200.43352737313</v>
      </c>
      <c r="X64" s="117">
        <f t="shared" si="43"/>
        <v>554514.13266078965</v>
      </c>
      <c r="Y64" s="117">
        <f t="shared" si="43"/>
        <v>847045.83155332343</v>
      </c>
      <c r="AC64" s="47"/>
      <c r="AD64" s="47"/>
      <c r="AE64" s="117"/>
      <c r="AF64" s="117"/>
      <c r="AG64" s="117"/>
      <c r="AH64" s="117">
        <f>AH108</f>
        <v>34896.688861965005</v>
      </c>
      <c r="AI64" s="117">
        <f t="shared" ref="AI64:AL64" si="44">AI108</f>
        <v>75629.741949113857</v>
      </c>
      <c r="AJ64" s="117">
        <f t="shared" si="44"/>
        <v>130270.15173458059</v>
      </c>
      <c r="AK64" s="117">
        <f t="shared" si="44"/>
        <v>184838.04422026323</v>
      </c>
      <c r="AL64" s="117">
        <f t="shared" si="44"/>
        <v>264485.73924011935</v>
      </c>
    </row>
    <row r="65" spans="2:38" x14ac:dyDescent="0.2">
      <c r="B65" s="47" t="s">
        <v>130</v>
      </c>
      <c r="C65" s="47"/>
      <c r="D65" s="47"/>
      <c r="E65" s="116"/>
      <c r="F65" s="116"/>
      <c r="G65" s="116"/>
      <c r="H65" s="84"/>
      <c r="I65" s="84"/>
      <c r="J65" s="84"/>
      <c r="K65" s="84"/>
      <c r="L65" s="84"/>
      <c r="P65" s="47"/>
      <c r="Q65" s="47"/>
      <c r="R65" s="116"/>
      <c r="S65" s="116"/>
      <c r="T65" s="116"/>
      <c r="U65" s="84">
        <f>U63/U62*U64</f>
        <v>6070.6942687821256</v>
      </c>
      <c r="V65" s="84">
        <f t="shared" ref="V65:Y65" si="45">V63/V62*V64</f>
        <v>16497.758150025689</v>
      </c>
      <c r="W65" s="84">
        <f t="shared" si="45"/>
        <v>28992.32104316078</v>
      </c>
      <c r="X65" s="84">
        <f t="shared" si="45"/>
        <v>43577.330105441164</v>
      </c>
      <c r="Y65" s="84">
        <f t="shared" si="45"/>
        <v>65812.070214540348</v>
      </c>
      <c r="AC65" s="47"/>
      <c r="AD65" s="47"/>
      <c r="AE65" s="116"/>
      <c r="AF65" s="116"/>
      <c r="AG65" s="116"/>
      <c r="AH65" s="84">
        <f>AH63/AH62*AH64</f>
        <v>2698.0863416809448</v>
      </c>
      <c r="AI65" s="84">
        <f t="shared" ref="AI65:AL65" si="46">AI63/AI62*AI64</f>
        <v>5939.1929340092474</v>
      </c>
      <c r="AJ65" s="84">
        <f t="shared" si="46"/>
        <v>10147.312365106272</v>
      </c>
      <c r="AK65" s="84">
        <f t="shared" si="46"/>
        <v>14525.776701813724</v>
      </c>
      <c r="AL65" s="84">
        <f t="shared" si="46"/>
        <v>20549.483148621781</v>
      </c>
    </row>
    <row r="66" spans="2:38" x14ac:dyDescent="0.2">
      <c r="B66" s="47" t="s">
        <v>108</v>
      </c>
      <c r="C66" s="47"/>
      <c r="D66" s="47"/>
      <c r="E66" s="118"/>
      <c r="F66" s="117"/>
      <c r="G66" s="117"/>
      <c r="H66" s="187"/>
      <c r="I66" s="117"/>
      <c r="J66" s="117"/>
      <c r="K66" s="117"/>
      <c r="L66" s="117"/>
      <c r="P66" s="47"/>
      <c r="Q66" s="47"/>
      <c r="R66" s="118"/>
      <c r="S66" s="117"/>
      <c r="T66" s="117"/>
      <c r="U66" s="187">
        <f>U65</f>
        <v>6070.6942687821256</v>
      </c>
      <c r="V66" s="117">
        <f t="shared" ref="V66" si="47">U67</f>
        <v>6070.6942687821256</v>
      </c>
      <c r="W66" s="117">
        <f t="shared" ref="W66" si="48">V67</f>
        <v>26924.822031269254</v>
      </c>
      <c r="X66" s="117">
        <f t="shared" ref="X66" si="49">W67</f>
        <v>31059.820055052307</v>
      </c>
      <c r="Y66" s="117">
        <f t="shared" ref="Y66" si="50">X67</f>
        <v>56094.840155830025</v>
      </c>
      <c r="AC66" s="47"/>
      <c r="AD66" s="47"/>
      <c r="AE66" s="118"/>
      <c r="AF66" s="117"/>
      <c r="AG66" s="117"/>
      <c r="AH66" s="187">
        <f>AH65</f>
        <v>2698.0863416809448</v>
      </c>
      <c r="AI66" s="117">
        <f t="shared" ref="AI66" si="51">AH67</f>
        <v>2698.0863416809448</v>
      </c>
      <c r="AJ66" s="117">
        <f t="shared" ref="AJ66" si="52">AI67</f>
        <v>9180.2995263375506</v>
      </c>
      <c r="AK66" s="117">
        <f t="shared" ref="AK66" si="53">AJ67</f>
        <v>11114.325203874994</v>
      </c>
      <c r="AL66" s="117">
        <f t="shared" ref="AL66" si="54">AK67</f>
        <v>17937.228199752455</v>
      </c>
    </row>
    <row r="67" spans="2:38" x14ac:dyDescent="0.2">
      <c r="B67" s="115" t="s">
        <v>111</v>
      </c>
      <c r="C67" s="115"/>
      <c r="D67" s="115"/>
      <c r="E67" s="119"/>
      <c r="F67" s="119"/>
      <c r="G67" s="119"/>
      <c r="H67" s="121"/>
      <c r="I67" s="121"/>
      <c r="J67" s="121"/>
      <c r="K67" s="121"/>
      <c r="L67" s="121"/>
      <c r="P67" s="115"/>
      <c r="Q67" s="115"/>
      <c r="R67" s="119"/>
      <c r="S67" s="119"/>
      <c r="T67" s="119"/>
      <c r="U67" s="121">
        <f>U65*2-U66</f>
        <v>6070.6942687821256</v>
      </c>
      <c r="V67" s="121">
        <f t="shared" ref="V67:Y67" si="55">V65*2-V66</f>
        <v>26924.822031269254</v>
      </c>
      <c r="W67" s="121">
        <f t="shared" si="55"/>
        <v>31059.820055052307</v>
      </c>
      <c r="X67" s="121">
        <f t="shared" si="55"/>
        <v>56094.840155830025</v>
      </c>
      <c r="Y67" s="121">
        <f t="shared" si="55"/>
        <v>75529.300273250672</v>
      </c>
      <c r="AC67" s="115"/>
      <c r="AD67" s="115"/>
      <c r="AE67" s="119"/>
      <c r="AF67" s="119"/>
      <c r="AG67" s="119"/>
      <c r="AH67" s="121">
        <f>AH65*2-AH66</f>
        <v>2698.0863416809448</v>
      </c>
      <c r="AI67" s="121">
        <f t="shared" ref="AI67:AL67" si="56">AI65*2-AI66</f>
        <v>9180.2995263375506</v>
      </c>
      <c r="AJ67" s="121">
        <f t="shared" si="56"/>
        <v>11114.325203874994</v>
      </c>
      <c r="AK67" s="121">
        <f t="shared" si="56"/>
        <v>17937.228199752455</v>
      </c>
      <c r="AL67" s="121">
        <f t="shared" si="56"/>
        <v>23161.738097491107</v>
      </c>
    </row>
    <row r="68" spans="2:38" x14ac:dyDescent="0.2">
      <c r="B68" s="47"/>
      <c r="C68" s="47"/>
      <c r="D68" s="47"/>
      <c r="E68" s="1"/>
      <c r="F68" s="1"/>
      <c r="G68" s="1"/>
      <c r="P68" s="47"/>
      <c r="Q68" s="47"/>
      <c r="R68" s="1"/>
      <c r="S68" s="1"/>
      <c r="T68" s="1"/>
      <c r="AC68" s="47"/>
      <c r="AD68" s="47"/>
      <c r="AE68" s="1"/>
      <c r="AF68" s="1"/>
      <c r="AG68" s="1"/>
    </row>
    <row r="69" spans="2:38" x14ac:dyDescent="0.2">
      <c r="B69" s="113" t="s">
        <v>32</v>
      </c>
      <c r="C69" s="113"/>
      <c r="D69" s="113"/>
      <c r="E69" s="73"/>
      <c r="F69" s="73"/>
      <c r="G69" s="73"/>
      <c r="H69" s="73"/>
      <c r="I69" s="73"/>
      <c r="J69" s="73"/>
      <c r="K69" s="73"/>
      <c r="L69" s="73"/>
      <c r="P69" s="113"/>
      <c r="Q69" s="113"/>
      <c r="R69" s="73"/>
      <c r="S69" s="73"/>
      <c r="T69" s="73"/>
      <c r="U69" s="73"/>
      <c r="V69" s="73"/>
      <c r="W69" s="73"/>
      <c r="X69" s="73"/>
      <c r="Y69" s="73"/>
      <c r="AC69" s="113"/>
      <c r="AD69" s="113"/>
      <c r="AE69" s="73"/>
      <c r="AF69" s="73"/>
      <c r="AG69" s="73"/>
      <c r="AH69" s="73"/>
      <c r="AI69" s="73"/>
      <c r="AJ69" s="73"/>
      <c r="AK69" s="73"/>
      <c r="AL69" s="73"/>
    </row>
    <row r="70" spans="2:38" x14ac:dyDescent="0.2">
      <c r="B70" s="47" t="s">
        <v>127</v>
      </c>
      <c r="C70" s="47"/>
      <c r="D70" s="47"/>
      <c r="E70" s="114"/>
      <c r="F70" s="114"/>
      <c r="G70" s="114"/>
      <c r="H70" s="114"/>
      <c r="I70" s="114"/>
      <c r="J70" s="114"/>
      <c r="K70" s="114"/>
      <c r="L70" s="114"/>
      <c r="P70" s="47"/>
      <c r="Q70" s="47"/>
      <c r="R70" s="114">
        <v>365</v>
      </c>
      <c r="S70" s="114">
        <v>365</v>
      </c>
      <c r="T70" s="114">
        <v>365</v>
      </c>
      <c r="U70" s="114">
        <v>365</v>
      </c>
      <c r="V70" s="114">
        <v>365</v>
      </c>
      <c r="W70" s="114">
        <v>365</v>
      </c>
      <c r="X70" s="114">
        <v>365</v>
      </c>
      <c r="Y70" s="114">
        <v>365</v>
      </c>
      <c r="AC70" s="47"/>
      <c r="AD70" s="47"/>
      <c r="AE70" s="114">
        <v>365</v>
      </c>
      <c r="AF70" s="114">
        <v>365</v>
      </c>
      <c r="AG70" s="114">
        <v>365</v>
      </c>
      <c r="AH70" s="114">
        <v>365</v>
      </c>
      <c r="AI70" s="114">
        <v>365</v>
      </c>
      <c r="AJ70" s="114">
        <v>365</v>
      </c>
      <c r="AK70" s="114">
        <v>365</v>
      </c>
      <c r="AL70" s="114">
        <v>365</v>
      </c>
    </row>
    <row r="71" spans="2:38" x14ac:dyDescent="0.2">
      <c r="B71" s="47" t="s">
        <v>133</v>
      </c>
      <c r="C71" s="47"/>
      <c r="D71" s="47"/>
      <c r="E71" s="116"/>
      <c r="F71" s="116"/>
      <c r="G71" s="116"/>
      <c r="H71" s="221"/>
      <c r="I71" s="221"/>
      <c r="J71" s="221"/>
      <c r="K71" s="221"/>
      <c r="L71" s="221"/>
      <c r="P71" s="47"/>
      <c r="Q71" s="47"/>
      <c r="R71" s="116"/>
      <c r="S71" s="116"/>
      <c r="T71" s="116"/>
      <c r="U71" s="221">
        <f>CommonSize!H32</f>
        <v>551.17061965040625</v>
      </c>
      <c r="V71" s="221">
        <f>CommonSize!I32</f>
        <v>563.0026537698842</v>
      </c>
      <c r="W71" s="221">
        <f>CommonSize!J32</f>
        <v>549.40483759292647</v>
      </c>
      <c r="X71" s="221">
        <f>CommonSize!K32</f>
        <v>560.34273786744814</v>
      </c>
      <c r="Y71" s="221">
        <f>CommonSize!L32</f>
        <v>552.02642745503772</v>
      </c>
      <c r="AC71" s="47"/>
      <c r="AD71" s="47"/>
      <c r="AE71" s="116"/>
      <c r="AF71" s="116"/>
      <c r="AG71" s="116"/>
      <c r="AH71" s="221">
        <f>CommonSize!H32</f>
        <v>551.17061965040625</v>
      </c>
      <c r="AI71" s="221">
        <f>CommonSize!I32</f>
        <v>563.0026537698842</v>
      </c>
      <c r="AJ71" s="221">
        <f>CommonSize!J32</f>
        <v>549.40483759292647</v>
      </c>
      <c r="AK71" s="221">
        <f>CommonSize!K32</f>
        <v>560.34273786744814</v>
      </c>
      <c r="AL71" s="221">
        <f>CommonSize!L32</f>
        <v>552.02642745503772</v>
      </c>
    </row>
    <row r="72" spans="2:38" x14ac:dyDescent="0.2">
      <c r="B72" s="47" t="s">
        <v>134</v>
      </c>
      <c r="C72" s="47"/>
      <c r="D72" s="47"/>
      <c r="E72" s="117"/>
      <c r="F72" s="117"/>
      <c r="G72" s="117"/>
      <c r="H72" s="117"/>
      <c r="I72" s="117"/>
      <c r="J72" s="117"/>
      <c r="K72" s="117"/>
      <c r="L72" s="117"/>
      <c r="P72" s="47"/>
      <c r="Q72" s="47"/>
      <c r="R72" s="117"/>
      <c r="S72" s="117"/>
      <c r="T72" s="117"/>
      <c r="U72" s="117">
        <f>U114</f>
        <v>2087.6898346920648</v>
      </c>
      <c r="V72" s="117">
        <f t="shared" ref="V72:Y72" si="57">V114</f>
        <v>4481.2824470670148</v>
      </c>
      <c r="W72" s="117">
        <f t="shared" si="57"/>
        <v>8054.0383967531316</v>
      </c>
      <c r="X72" s="117">
        <f t="shared" si="57"/>
        <v>14799.603749054662</v>
      </c>
      <c r="Y72" s="117">
        <f t="shared" si="57"/>
        <v>31524.935828220892</v>
      </c>
      <c r="AC72" s="47"/>
      <c r="AD72" s="47"/>
      <c r="AE72" s="117"/>
      <c r="AF72" s="117"/>
      <c r="AG72" s="117"/>
      <c r="AH72" s="117">
        <f>AH114</f>
        <v>927.86214875202893</v>
      </c>
      <c r="AI72" s="117">
        <f t="shared" ref="AI72:AL72" si="58">AI114</f>
        <v>1613.2616809441249</v>
      </c>
      <c r="AJ72" s="117">
        <f t="shared" si="58"/>
        <v>2818.9134388635966</v>
      </c>
      <c r="AK72" s="117">
        <f t="shared" si="58"/>
        <v>4933.2012496848884</v>
      </c>
      <c r="AL72" s="117">
        <f t="shared" si="58"/>
        <v>9843.5003708526474</v>
      </c>
    </row>
    <row r="73" spans="2:38" x14ac:dyDescent="0.2">
      <c r="B73" s="47" t="s">
        <v>130</v>
      </c>
      <c r="C73" s="47"/>
      <c r="D73" s="47"/>
      <c r="E73" s="116"/>
      <c r="F73" s="116"/>
      <c r="G73" s="116"/>
      <c r="H73" s="84"/>
      <c r="I73" s="84"/>
      <c r="J73" s="84"/>
      <c r="K73" s="84"/>
      <c r="L73" s="84"/>
      <c r="P73" s="47"/>
      <c r="Q73" s="47"/>
      <c r="R73" s="116"/>
      <c r="S73" s="116"/>
      <c r="T73" s="116"/>
      <c r="U73" s="84">
        <f>U71/U70*U72</f>
        <v>3152.5295885618616</v>
      </c>
      <c r="V73" s="84">
        <f t="shared" ref="V73:Y73" si="59">V71/V70*V72</f>
        <v>6912.2572876469321</v>
      </c>
      <c r="W73" s="84">
        <f t="shared" si="59"/>
        <v>12123.089472151638</v>
      </c>
      <c r="X73" s="84">
        <f t="shared" si="59"/>
        <v>22720.138312599011</v>
      </c>
      <c r="Y73" s="84">
        <f t="shared" si="59"/>
        <v>47678.349865759177</v>
      </c>
      <c r="AC73" s="47"/>
      <c r="AD73" s="47"/>
      <c r="AE73" s="116"/>
      <c r="AF73" s="116"/>
      <c r="AG73" s="116"/>
      <c r="AH73" s="84">
        <f>AH71/AH70*AH72</f>
        <v>1401.1242615830499</v>
      </c>
      <c r="AI73" s="84">
        <f t="shared" ref="AI73:AL73" si="60">AI71/AI70*AI72</f>
        <v>2488.4126235528947</v>
      </c>
      <c r="AJ73" s="84">
        <f t="shared" si="60"/>
        <v>4243.0813152530745</v>
      </c>
      <c r="AK73" s="84">
        <f t="shared" si="60"/>
        <v>7573.3794375330053</v>
      </c>
      <c r="AL73" s="84">
        <f t="shared" si="60"/>
        <v>14887.321488696234</v>
      </c>
    </row>
    <row r="74" spans="2:38" x14ac:dyDescent="0.2">
      <c r="B74" s="47" t="s">
        <v>108</v>
      </c>
      <c r="C74" s="47"/>
      <c r="D74" s="47"/>
      <c r="E74" s="118"/>
      <c r="F74" s="117"/>
      <c r="G74" s="117"/>
      <c r="H74" s="187"/>
      <c r="I74" s="117"/>
      <c r="J74" s="117"/>
      <c r="K74" s="117"/>
      <c r="L74" s="117"/>
      <c r="P74" s="47"/>
      <c r="Q74" s="47"/>
      <c r="R74" s="118"/>
      <c r="S74" s="117"/>
      <c r="T74" s="117"/>
      <c r="U74" s="187">
        <f>U73</f>
        <v>3152.5295885618616</v>
      </c>
      <c r="V74" s="117">
        <f t="shared" ref="V74" si="61">U75</f>
        <v>3152.5295885618616</v>
      </c>
      <c r="W74" s="117">
        <f t="shared" ref="W74" si="62">V75</f>
        <v>10671.984986732003</v>
      </c>
      <c r="X74" s="117">
        <f t="shared" ref="X74" si="63">W75</f>
        <v>13574.193957571273</v>
      </c>
      <c r="Y74" s="117">
        <f t="shared" ref="Y74" si="64">X75</f>
        <v>31866.082667626746</v>
      </c>
      <c r="AC74" s="47"/>
      <c r="AD74" s="47"/>
      <c r="AE74" s="118"/>
      <c r="AF74" s="117"/>
      <c r="AG74" s="117"/>
      <c r="AH74" s="187">
        <f>AH73</f>
        <v>1401.1242615830499</v>
      </c>
      <c r="AI74" s="117">
        <f t="shared" ref="AI74" si="65">AH75</f>
        <v>1401.1242615830499</v>
      </c>
      <c r="AJ74" s="117">
        <f t="shared" ref="AJ74" si="66">AI75</f>
        <v>3575.7009855227398</v>
      </c>
      <c r="AK74" s="117">
        <f t="shared" ref="AK74" si="67">AJ75</f>
        <v>4910.4616449834093</v>
      </c>
      <c r="AL74" s="117">
        <f t="shared" ref="AL74" si="68">AK75</f>
        <v>10236.2972300826</v>
      </c>
    </row>
    <row r="75" spans="2:38" x14ac:dyDescent="0.2">
      <c r="B75" s="115" t="s">
        <v>111</v>
      </c>
      <c r="C75" s="115"/>
      <c r="D75" s="115"/>
      <c r="E75" s="119"/>
      <c r="F75" s="119"/>
      <c r="G75" s="119"/>
      <c r="H75" s="121"/>
      <c r="I75" s="121"/>
      <c r="J75" s="121"/>
      <c r="K75" s="121"/>
      <c r="L75" s="121"/>
      <c r="P75" s="115"/>
      <c r="Q75" s="115"/>
      <c r="R75" s="119"/>
      <c r="S75" s="119"/>
      <c r="T75" s="119"/>
      <c r="U75" s="121">
        <f>U73*2-U74</f>
        <v>3152.5295885618616</v>
      </c>
      <c r="V75" s="121">
        <f t="shared" ref="V75:Y75" si="69">V73*2-V74</f>
        <v>10671.984986732003</v>
      </c>
      <c r="W75" s="121">
        <f t="shared" si="69"/>
        <v>13574.193957571273</v>
      </c>
      <c r="X75" s="121">
        <f t="shared" si="69"/>
        <v>31866.082667626746</v>
      </c>
      <c r="Y75" s="121">
        <f t="shared" si="69"/>
        <v>63490.617063891608</v>
      </c>
      <c r="AC75" s="115"/>
      <c r="AD75" s="115"/>
      <c r="AE75" s="119"/>
      <c r="AF75" s="119"/>
      <c r="AG75" s="119"/>
      <c r="AH75" s="121">
        <f>AH73*2-AH74</f>
        <v>1401.1242615830499</v>
      </c>
      <c r="AI75" s="121">
        <f t="shared" ref="AI75:AL75" si="70">AI73*2-AI74</f>
        <v>3575.7009855227398</v>
      </c>
      <c r="AJ75" s="121">
        <f t="shared" si="70"/>
        <v>4910.4616449834093</v>
      </c>
      <c r="AK75" s="121">
        <f t="shared" si="70"/>
        <v>10236.2972300826</v>
      </c>
      <c r="AL75" s="121">
        <f t="shared" si="70"/>
        <v>19538.345747309868</v>
      </c>
    </row>
    <row r="76" spans="2:38" x14ac:dyDescent="0.2">
      <c r="B76" s="47"/>
      <c r="C76" s="47"/>
      <c r="D76" s="47"/>
      <c r="E76" s="1"/>
      <c r="F76" s="1"/>
      <c r="G76" s="1"/>
      <c r="P76" s="47"/>
      <c r="Q76" s="47"/>
      <c r="R76" s="1"/>
      <c r="S76" s="1"/>
      <c r="T76" s="1"/>
      <c r="AC76" s="47"/>
      <c r="AD76" s="47"/>
      <c r="AE76" s="1"/>
      <c r="AF76" s="1"/>
      <c r="AG76" s="1"/>
    </row>
    <row r="77" spans="2:38" x14ac:dyDescent="0.2">
      <c r="B77" s="113" t="s">
        <v>36</v>
      </c>
      <c r="C77" s="113"/>
      <c r="D77" s="113"/>
      <c r="E77" s="73"/>
      <c r="F77" s="73"/>
      <c r="G77" s="73"/>
      <c r="H77" s="73"/>
      <c r="I77" s="73"/>
      <c r="J77" s="73"/>
      <c r="K77" s="73"/>
      <c r="L77" s="73"/>
      <c r="P77" s="113"/>
      <c r="Q77" s="113"/>
      <c r="R77" s="73"/>
      <c r="S77" s="73"/>
      <c r="T77" s="73"/>
      <c r="U77" s="73"/>
      <c r="V77" s="73"/>
      <c r="W77" s="73"/>
      <c r="X77" s="73"/>
      <c r="Y77" s="73"/>
      <c r="AC77" s="113"/>
      <c r="AD77" s="113"/>
      <c r="AE77" s="73"/>
      <c r="AF77" s="73"/>
      <c r="AG77" s="73"/>
      <c r="AH77" s="73"/>
      <c r="AI77" s="73"/>
      <c r="AJ77" s="73"/>
      <c r="AK77" s="73"/>
      <c r="AL77" s="73"/>
    </row>
    <row r="78" spans="2:38" x14ac:dyDescent="0.2">
      <c r="B78" s="47" t="s">
        <v>127</v>
      </c>
      <c r="C78" s="47"/>
      <c r="D78" s="47"/>
      <c r="E78" s="114"/>
      <c r="F78" s="114"/>
      <c r="G78" s="114"/>
      <c r="H78" s="114"/>
      <c r="I78" s="114"/>
      <c r="J78" s="114"/>
      <c r="K78" s="114"/>
      <c r="L78" s="114"/>
      <c r="P78" s="47"/>
      <c r="Q78" s="47"/>
      <c r="R78" s="114">
        <v>365</v>
      </c>
      <c r="S78" s="114">
        <v>365</v>
      </c>
      <c r="T78" s="114">
        <v>365</v>
      </c>
      <c r="U78" s="114">
        <v>365</v>
      </c>
      <c r="V78" s="114">
        <v>365</v>
      </c>
      <c r="W78" s="114">
        <v>365</v>
      </c>
      <c r="X78" s="114">
        <v>365</v>
      </c>
      <c r="Y78" s="114">
        <v>365</v>
      </c>
      <c r="AC78" s="47"/>
      <c r="AD78" s="47"/>
      <c r="AE78" s="114">
        <v>365</v>
      </c>
      <c r="AF78" s="114">
        <v>365</v>
      </c>
      <c r="AG78" s="114">
        <v>365</v>
      </c>
      <c r="AH78" s="114">
        <v>365</v>
      </c>
      <c r="AI78" s="114">
        <v>365</v>
      </c>
      <c r="AJ78" s="114">
        <v>365</v>
      </c>
      <c r="AK78" s="114">
        <v>365</v>
      </c>
      <c r="AL78" s="114">
        <v>365</v>
      </c>
    </row>
    <row r="79" spans="2:38" x14ac:dyDescent="0.2">
      <c r="B79" s="47" t="s">
        <v>131</v>
      </c>
      <c r="C79" s="47"/>
      <c r="D79" s="47"/>
      <c r="E79" s="116"/>
      <c r="F79" s="116"/>
      <c r="G79" s="116"/>
      <c r="H79" s="221"/>
      <c r="I79" s="221"/>
      <c r="J79" s="221"/>
      <c r="K79" s="221"/>
      <c r="L79" s="221"/>
      <c r="P79" s="47"/>
      <c r="Q79" s="47"/>
      <c r="R79" s="116"/>
      <c r="S79" s="116"/>
      <c r="T79" s="116"/>
      <c r="U79" s="221">
        <f>CommonSize!H35</f>
        <v>110.91825688489139</v>
      </c>
      <c r="V79" s="221">
        <f>CommonSize!I35</f>
        <v>115.7710654308119</v>
      </c>
      <c r="W79" s="221">
        <f>CommonSize!J35</f>
        <v>112.36749833926955</v>
      </c>
      <c r="X79" s="221">
        <f>CommonSize!K35</f>
        <v>115.25286326032305</v>
      </c>
      <c r="Y79" s="221">
        <f>CommonSize!L35</f>
        <v>112.32282574066642</v>
      </c>
      <c r="AC79" s="47"/>
      <c r="AD79" s="47"/>
      <c r="AE79" s="116"/>
      <c r="AF79" s="116"/>
      <c r="AG79" s="116"/>
      <c r="AH79" s="221">
        <f>CommonSize!H35</f>
        <v>110.91825688489139</v>
      </c>
      <c r="AI79" s="221">
        <f>CommonSize!I35</f>
        <v>115.7710654308119</v>
      </c>
      <c r="AJ79" s="221">
        <f>CommonSize!J35</f>
        <v>112.36749833926955</v>
      </c>
      <c r="AK79" s="221">
        <f>CommonSize!K35</f>
        <v>115.25286326032305</v>
      </c>
      <c r="AL79" s="221">
        <f>CommonSize!L35</f>
        <v>112.32282574066642</v>
      </c>
    </row>
    <row r="80" spans="2:38" x14ac:dyDescent="0.2">
      <c r="B80" s="47" t="s">
        <v>132</v>
      </c>
      <c r="C80" s="47"/>
      <c r="D80" s="47"/>
      <c r="E80" s="117"/>
      <c r="F80" s="117"/>
      <c r="G80" s="117"/>
      <c r="H80" s="117"/>
      <c r="I80" s="117"/>
      <c r="J80" s="117"/>
      <c r="K80" s="117"/>
      <c r="L80" s="117"/>
      <c r="P80" s="47"/>
      <c r="Q80" s="47"/>
      <c r="R80" s="117"/>
      <c r="S80" s="117"/>
      <c r="T80" s="117"/>
      <c r="U80" s="117">
        <f>U123</f>
        <v>20113.339657485092</v>
      </c>
      <c r="V80" s="117">
        <f t="shared" ref="V80:Y80" si="71">V123</f>
        <v>42728.305071688912</v>
      </c>
      <c r="W80" s="117">
        <f t="shared" si="71"/>
        <v>76483.569715933656</v>
      </c>
      <c r="X80" s="117">
        <f t="shared" si="71"/>
        <v>141408.86659314737</v>
      </c>
      <c r="Y80" s="117">
        <f t="shared" si="71"/>
        <v>300388.53495713952</v>
      </c>
      <c r="AC80" s="47"/>
      <c r="AD80" s="47"/>
      <c r="AE80" s="117"/>
      <c r="AF80" s="117"/>
      <c r="AG80" s="117"/>
      <c r="AH80" s="117">
        <f>AH123</f>
        <v>8939.2620699933777</v>
      </c>
      <c r="AI80" s="117">
        <f t="shared" ref="AI80:AL80" si="72">AI123</f>
        <v>15382.189825808007</v>
      </c>
      <c r="AJ80" s="117">
        <f t="shared" si="72"/>
        <v>26769.249400576791</v>
      </c>
      <c r="AK80" s="117">
        <f t="shared" si="72"/>
        <v>47136.288864382448</v>
      </c>
      <c r="AL80" s="117">
        <f t="shared" si="72"/>
        <v>93794.787445800699</v>
      </c>
    </row>
    <row r="81" spans="2:38" x14ac:dyDescent="0.2">
      <c r="B81" s="47" t="s">
        <v>130</v>
      </c>
      <c r="C81" s="47"/>
      <c r="D81" s="47"/>
      <c r="E81" s="116"/>
      <c r="F81" s="116"/>
      <c r="G81" s="116"/>
      <c r="H81" s="84"/>
      <c r="I81" s="84"/>
      <c r="J81" s="84"/>
      <c r="K81" s="84"/>
      <c r="L81" s="84"/>
      <c r="P81" s="47"/>
      <c r="Q81" s="47"/>
      <c r="R81" s="116"/>
      <c r="S81" s="116"/>
      <c r="T81" s="116"/>
      <c r="U81" s="84">
        <f>U79/U78*U80</f>
        <v>6112.1549998411092</v>
      </c>
      <c r="V81" s="84">
        <f t="shared" ref="V81:Y81" si="73">V79/V78*V80</f>
        <v>13552.60658137586</v>
      </c>
      <c r="W81" s="84">
        <f t="shared" si="73"/>
        <v>23545.938063113921</v>
      </c>
      <c r="X81" s="84">
        <f t="shared" si="73"/>
        <v>44651.443192485698</v>
      </c>
      <c r="Y81" s="84">
        <f t="shared" si="73"/>
        <v>92439.696072561273</v>
      </c>
      <c r="AC81" s="47"/>
      <c r="AD81" s="47"/>
      <c r="AE81" s="116"/>
      <c r="AF81" s="116"/>
      <c r="AG81" s="116"/>
      <c r="AH81" s="84">
        <f>AH79/AH78*AH80</f>
        <v>2716.5133332627165</v>
      </c>
      <c r="AI81" s="84">
        <f t="shared" ref="AI81:AL81" si="74">AI79/AI78*AI80</f>
        <v>4878.9383692953088</v>
      </c>
      <c r="AJ81" s="84">
        <f t="shared" si="74"/>
        <v>8241.0783220898757</v>
      </c>
      <c r="AK81" s="84">
        <f t="shared" si="74"/>
        <v>14883.814397495229</v>
      </c>
      <c r="AL81" s="84">
        <f t="shared" si="74"/>
        <v>28863.823467554841</v>
      </c>
    </row>
    <row r="82" spans="2:38" x14ac:dyDescent="0.2">
      <c r="B82" s="47" t="s">
        <v>108</v>
      </c>
      <c r="C82" s="47"/>
      <c r="D82" s="47"/>
      <c r="E82" s="118"/>
      <c r="F82" s="117"/>
      <c r="G82" s="117"/>
      <c r="H82" s="187"/>
      <c r="I82" s="117"/>
      <c r="J82" s="117"/>
      <c r="K82" s="117"/>
      <c r="L82" s="117"/>
      <c r="P82" s="47"/>
      <c r="Q82" s="47"/>
      <c r="R82" s="118"/>
      <c r="S82" s="117"/>
      <c r="T82" s="117"/>
      <c r="U82" s="187">
        <f>U81</f>
        <v>6112.1549998411092</v>
      </c>
      <c r="V82" s="117">
        <f t="shared" ref="V82" si="75">U83</f>
        <v>6112.1549998411092</v>
      </c>
      <c r="W82" s="117">
        <f t="shared" ref="W82" si="76">V83</f>
        <v>20993.058162910609</v>
      </c>
      <c r="X82" s="117">
        <f t="shared" ref="X82" si="77">W83</f>
        <v>26098.817963317233</v>
      </c>
      <c r="Y82" s="117">
        <f t="shared" ref="Y82" si="78">X83</f>
        <v>63204.068421654163</v>
      </c>
      <c r="AC82" s="47"/>
      <c r="AD82" s="47"/>
      <c r="AE82" s="118"/>
      <c r="AF82" s="117"/>
      <c r="AG82" s="117"/>
      <c r="AH82" s="187">
        <f>AH81</f>
        <v>2716.5133332627165</v>
      </c>
      <c r="AI82" s="117">
        <f t="shared" ref="AI82" si="79">AH83</f>
        <v>2716.5133332627165</v>
      </c>
      <c r="AJ82" s="117">
        <f t="shared" ref="AJ82" si="80">AI83</f>
        <v>7041.3634053279011</v>
      </c>
      <c r="AK82" s="117">
        <f t="shared" ref="AK82" si="81">AJ83</f>
        <v>9440.7932388518493</v>
      </c>
      <c r="AL82" s="117">
        <f t="shared" ref="AL82" si="82">AK83</f>
        <v>20326.835556138609</v>
      </c>
    </row>
    <row r="83" spans="2:38" x14ac:dyDescent="0.2">
      <c r="B83" s="115" t="s">
        <v>111</v>
      </c>
      <c r="C83" s="115"/>
      <c r="D83" s="115"/>
      <c r="E83" s="119"/>
      <c r="F83" s="119"/>
      <c r="G83" s="119"/>
      <c r="H83" s="121"/>
      <c r="I83" s="121"/>
      <c r="J83" s="121"/>
      <c r="K83" s="121"/>
      <c r="L83" s="121"/>
      <c r="P83" s="115"/>
      <c r="Q83" s="115"/>
      <c r="R83" s="119"/>
      <c r="S83" s="119"/>
      <c r="T83" s="119"/>
      <c r="U83" s="121">
        <f>U81*2-U82</f>
        <v>6112.1549998411092</v>
      </c>
      <c r="V83" s="121">
        <f t="shared" ref="V83:Y83" si="83">V81*2-V82</f>
        <v>20993.058162910609</v>
      </c>
      <c r="W83" s="121">
        <f t="shared" si="83"/>
        <v>26098.817963317233</v>
      </c>
      <c r="X83" s="121">
        <f t="shared" si="83"/>
        <v>63204.068421654163</v>
      </c>
      <c r="Y83" s="121">
        <f t="shared" si="83"/>
        <v>121675.32372346838</v>
      </c>
      <c r="AC83" s="115"/>
      <c r="AD83" s="115"/>
      <c r="AE83" s="119"/>
      <c r="AF83" s="119"/>
      <c r="AG83" s="119"/>
      <c r="AH83" s="121">
        <f>AH81*2-AH82</f>
        <v>2716.5133332627165</v>
      </c>
      <c r="AI83" s="121">
        <f t="shared" ref="AI83:AL83" si="84">AI81*2-AI82</f>
        <v>7041.3634053279011</v>
      </c>
      <c r="AJ83" s="121">
        <f t="shared" si="84"/>
        <v>9440.7932388518493</v>
      </c>
      <c r="AK83" s="121">
        <f t="shared" si="84"/>
        <v>20326.835556138609</v>
      </c>
      <c r="AL83" s="121">
        <f t="shared" si="84"/>
        <v>37400.811378971077</v>
      </c>
    </row>
    <row r="84" spans="2:38" x14ac:dyDescent="0.2">
      <c r="B84" s="47"/>
      <c r="C84" s="47"/>
      <c r="D84" s="47"/>
      <c r="E84" s="1"/>
      <c r="F84" s="1"/>
      <c r="G84" s="1"/>
      <c r="P84" s="47"/>
      <c r="Q84" s="47"/>
      <c r="R84" s="1"/>
      <c r="S84" s="1"/>
      <c r="T84" s="1"/>
      <c r="AC84" s="47"/>
      <c r="AD84" s="47"/>
      <c r="AE84" s="1"/>
      <c r="AF84" s="1"/>
      <c r="AG84" s="1"/>
    </row>
    <row r="85" spans="2:38" x14ac:dyDescent="0.2">
      <c r="B85" s="47" t="s">
        <v>135</v>
      </c>
      <c r="C85" s="47"/>
      <c r="D85" s="47"/>
      <c r="E85" s="117"/>
      <c r="F85" s="117"/>
      <c r="G85" s="117"/>
      <c r="H85" s="117"/>
      <c r="I85" s="117"/>
      <c r="J85" s="117"/>
      <c r="K85" s="117"/>
      <c r="L85" s="117"/>
      <c r="P85" s="47"/>
      <c r="Q85" s="47"/>
      <c r="R85" s="117"/>
      <c r="S85" s="117"/>
      <c r="T85" s="117"/>
      <c r="U85" s="117">
        <f t="shared" ref="U85:Y85" si="85">U67+U75-U83</f>
        <v>3111.0688575028771</v>
      </c>
      <c r="V85" s="117">
        <f t="shared" si="85"/>
        <v>16603.748855090649</v>
      </c>
      <c r="W85" s="117">
        <f t="shared" si="85"/>
        <v>18535.196049306345</v>
      </c>
      <c r="X85" s="117">
        <f t="shared" si="85"/>
        <v>24756.854401802608</v>
      </c>
      <c r="Y85" s="117">
        <f t="shared" si="85"/>
        <v>17344.593613673904</v>
      </c>
      <c r="AC85" s="47"/>
      <c r="AD85" s="47"/>
      <c r="AE85" s="117"/>
      <c r="AF85" s="117"/>
      <c r="AG85" s="117"/>
      <c r="AH85" s="117">
        <f t="shared" ref="AH85:AL85" si="86">AH67+AH75-AH83</f>
        <v>1382.6972700012784</v>
      </c>
      <c r="AI85" s="117">
        <f t="shared" si="86"/>
        <v>5714.6371065323883</v>
      </c>
      <c r="AJ85" s="117">
        <f t="shared" si="86"/>
        <v>6583.9936100065534</v>
      </c>
      <c r="AK85" s="117">
        <f t="shared" si="86"/>
        <v>7846.6898736964467</v>
      </c>
      <c r="AL85" s="117">
        <f t="shared" si="86"/>
        <v>5299.2724658298976</v>
      </c>
    </row>
    <row r="86" spans="2:38" ht="10.8" thickBot="1" x14ac:dyDescent="0.25">
      <c r="B86" s="122" t="s">
        <v>136</v>
      </c>
      <c r="C86" s="122"/>
      <c r="D86" s="122"/>
      <c r="E86" s="123"/>
      <c r="F86" s="124"/>
      <c r="G86" s="124"/>
      <c r="H86" s="124"/>
      <c r="I86" s="124"/>
      <c r="J86" s="124"/>
      <c r="K86" s="124"/>
      <c r="L86" s="124"/>
      <c r="P86" s="122"/>
      <c r="Q86" s="122"/>
      <c r="R86" s="123"/>
      <c r="S86" s="124"/>
      <c r="T86" s="124"/>
      <c r="U86" s="124">
        <f t="shared" ref="U86" si="87">U85-T85</f>
        <v>3111.0688575028771</v>
      </c>
      <c r="V86" s="124">
        <f t="shared" ref="V86" si="88">V85-U85</f>
        <v>13492.679997587773</v>
      </c>
      <c r="W86" s="124">
        <f t="shared" ref="W86" si="89">W85-V85</f>
        <v>1931.4471942156961</v>
      </c>
      <c r="X86" s="124">
        <f t="shared" ref="X86" si="90">X85-W85</f>
        <v>6221.6583524962625</v>
      </c>
      <c r="Y86" s="124">
        <f t="shared" ref="Y86" si="91">Y85-X85</f>
        <v>-7412.260788128704</v>
      </c>
      <c r="AC86" s="122"/>
      <c r="AD86" s="122"/>
      <c r="AE86" s="123"/>
      <c r="AF86" s="124"/>
      <c r="AG86" s="124"/>
      <c r="AH86" s="124">
        <f t="shared" ref="AH86" si="92">AH85-AG85</f>
        <v>1382.6972700012784</v>
      </c>
      <c r="AI86" s="124">
        <f t="shared" ref="AI86" si="93">AI85-AH85</f>
        <v>4331.9398365311099</v>
      </c>
      <c r="AJ86" s="124">
        <f t="shared" ref="AJ86" si="94">AJ85-AI85</f>
        <v>869.35650347416504</v>
      </c>
      <c r="AK86" s="124">
        <f t="shared" ref="AK86" si="95">AK85-AJ85</f>
        <v>1262.6962636898934</v>
      </c>
      <c r="AL86" s="124">
        <f t="shared" ref="AL86" si="96">AL85-AK85</f>
        <v>-2547.4174078665492</v>
      </c>
    </row>
    <row r="87" spans="2:38" ht="10.8" thickTop="1" x14ac:dyDescent="0.2"/>
    <row r="88" spans="2:38" x14ac:dyDescent="0.2">
      <c r="B88" s="76" t="s">
        <v>153</v>
      </c>
      <c r="C88" s="76"/>
      <c r="D88" s="76"/>
      <c r="E88" s="76"/>
      <c r="F88" s="76"/>
      <c r="G88" s="76"/>
      <c r="H88" s="76"/>
      <c r="I88" s="76"/>
      <c r="J88" s="76"/>
      <c r="K88" s="76"/>
      <c r="L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</row>
    <row r="90" spans="2:38" x14ac:dyDescent="0.2">
      <c r="B90" s="39" t="s">
        <v>254</v>
      </c>
      <c r="C90" s="234">
        <v>0.25</v>
      </c>
      <c r="P90" s="234">
        <v>0.25</v>
      </c>
      <c r="AC90" s="234">
        <v>0.25</v>
      </c>
    </row>
    <row r="91" spans="2:38" x14ac:dyDescent="0.2"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</row>
    <row r="92" spans="2:38" x14ac:dyDescent="0.2">
      <c r="B92" s="39" t="s">
        <v>137</v>
      </c>
      <c r="H92" s="219"/>
      <c r="I92" s="219"/>
      <c r="J92" s="219"/>
      <c r="K92" s="219"/>
      <c r="L92" s="219"/>
      <c r="U92" s="219">
        <f>T96</f>
        <v>0</v>
      </c>
      <c r="V92" s="219">
        <f t="shared" ref="V92" si="97">U96</f>
        <v>2000</v>
      </c>
      <c r="W92" s="219">
        <f t="shared" ref="W92" si="98">V96</f>
        <v>3500</v>
      </c>
      <c r="X92" s="219">
        <f t="shared" ref="X92" si="99">W96</f>
        <v>4625</v>
      </c>
      <c r="Y92" s="219">
        <f t="shared" ref="Y92" si="100">X96</f>
        <v>5468.75</v>
      </c>
      <c r="AH92" s="219">
        <f>AG96</f>
        <v>0</v>
      </c>
      <c r="AI92" s="219">
        <f t="shared" ref="AI92" si="101">AH96</f>
        <v>2000</v>
      </c>
      <c r="AJ92" s="219">
        <f t="shared" ref="AJ92" si="102">AI96</f>
        <v>3500</v>
      </c>
      <c r="AK92" s="219">
        <f t="shared" ref="AK92" si="103">AJ96</f>
        <v>4625</v>
      </c>
      <c r="AL92" s="219">
        <f t="shared" ref="AL92" si="104">AK96</f>
        <v>5468.75</v>
      </c>
    </row>
    <row r="93" spans="2:38" x14ac:dyDescent="0.2">
      <c r="B93" s="39" t="s">
        <v>138</v>
      </c>
      <c r="H93" s="219"/>
      <c r="I93" s="219"/>
      <c r="J93" s="219"/>
      <c r="K93" s="219"/>
      <c r="L93" s="219"/>
      <c r="U93" s="219">
        <f>-U92*$C$90</f>
        <v>0</v>
      </c>
      <c r="V93" s="219">
        <f t="shared" ref="V93:Y93" si="105">-V92*$C$90</f>
        <v>-500</v>
      </c>
      <c r="W93" s="219">
        <f t="shared" si="105"/>
        <v>-875</v>
      </c>
      <c r="X93" s="219">
        <f t="shared" si="105"/>
        <v>-1156.25</v>
      </c>
      <c r="Y93" s="219">
        <f t="shared" si="105"/>
        <v>-1367.1875</v>
      </c>
      <c r="AH93" s="219">
        <f>-AH92*$C$90</f>
        <v>0</v>
      </c>
      <c r="AI93" s="219">
        <f t="shared" ref="AI93:AL93" si="106">-AI92*$C$90</f>
        <v>-500</v>
      </c>
      <c r="AJ93" s="219">
        <f t="shared" si="106"/>
        <v>-875</v>
      </c>
      <c r="AK93" s="219">
        <f t="shared" si="106"/>
        <v>-1156.25</v>
      </c>
      <c r="AL93" s="219">
        <f t="shared" si="106"/>
        <v>-1367.1875</v>
      </c>
    </row>
    <row r="94" spans="2:38" x14ac:dyDescent="0.2">
      <c r="B94" s="39" t="s">
        <v>139</v>
      </c>
      <c r="H94" s="232"/>
      <c r="I94" s="232"/>
      <c r="J94" s="232"/>
      <c r="K94" s="232"/>
      <c r="L94" s="232"/>
      <c r="U94" s="232">
        <v>2000</v>
      </c>
      <c r="V94" s="232">
        <v>2000</v>
      </c>
      <c r="W94" s="232">
        <v>2000</v>
      </c>
      <c r="X94" s="232">
        <v>2000</v>
      </c>
      <c r="Y94" s="232">
        <v>2000</v>
      </c>
      <c r="AH94" s="232">
        <v>2000</v>
      </c>
      <c r="AI94" s="232">
        <v>2000</v>
      </c>
      <c r="AJ94" s="232">
        <v>2000</v>
      </c>
      <c r="AK94" s="232">
        <v>2000</v>
      </c>
      <c r="AL94" s="232">
        <v>2000</v>
      </c>
    </row>
    <row r="95" spans="2:38" x14ac:dyDescent="0.2">
      <c r="B95" s="39" t="s">
        <v>142</v>
      </c>
      <c r="H95" s="232"/>
      <c r="I95" s="232"/>
      <c r="J95" s="232"/>
      <c r="K95" s="232"/>
      <c r="L95" s="232"/>
      <c r="U95" s="232">
        <v>0</v>
      </c>
      <c r="V95" s="232">
        <v>0</v>
      </c>
      <c r="W95" s="232">
        <v>0</v>
      </c>
      <c r="X95" s="232">
        <v>0</v>
      </c>
      <c r="Y95" s="232">
        <v>0</v>
      </c>
      <c r="AH95" s="232">
        <v>0</v>
      </c>
      <c r="AI95" s="232">
        <v>0</v>
      </c>
      <c r="AJ95" s="232">
        <v>0</v>
      </c>
      <c r="AK95" s="232">
        <v>0</v>
      </c>
      <c r="AL95" s="232">
        <v>0</v>
      </c>
    </row>
    <row r="96" spans="2:38" ht="10.8" thickBot="1" x14ac:dyDescent="0.25">
      <c r="B96" s="162" t="s">
        <v>140</v>
      </c>
      <c r="C96" s="162"/>
      <c r="D96" s="162"/>
      <c r="E96" s="162"/>
      <c r="F96" s="162"/>
      <c r="G96" s="162"/>
      <c r="H96" s="236"/>
      <c r="I96" s="236"/>
      <c r="J96" s="236"/>
      <c r="K96" s="236"/>
      <c r="L96" s="236"/>
      <c r="P96" s="162"/>
      <c r="Q96" s="162"/>
      <c r="R96" s="162"/>
      <c r="S96" s="162"/>
      <c r="T96" s="162"/>
      <c r="U96" s="236">
        <f>SUM(U92:U95)</f>
        <v>2000</v>
      </c>
      <c r="V96" s="236">
        <f t="shared" ref="V96:Y96" si="107">SUM(V92:V95)</f>
        <v>3500</v>
      </c>
      <c r="W96" s="236">
        <f t="shared" si="107"/>
        <v>4625</v>
      </c>
      <c r="X96" s="236">
        <f t="shared" si="107"/>
        <v>5468.75</v>
      </c>
      <c r="Y96" s="236">
        <f t="shared" si="107"/>
        <v>6101.5625</v>
      </c>
      <c r="AC96" s="162"/>
      <c r="AD96" s="162"/>
      <c r="AE96" s="162"/>
      <c r="AF96" s="162"/>
      <c r="AG96" s="162"/>
      <c r="AH96" s="236">
        <f>SUM(AH92:AH95)</f>
        <v>2000</v>
      </c>
      <c r="AI96" s="236">
        <f t="shared" ref="AI96:AL96" si="108">SUM(AI92:AI95)</f>
        <v>3500</v>
      </c>
      <c r="AJ96" s="236">
        <f t="shared" si="108"/>
        <v>4625</v>
      </c>
      <c r="AK96" s="236">
        <f t="shared" si="108"/>
        <v>5468.75</v>
      </c>
      <c r="AL96" s="236">
        <f t="shared" si="108"/>
        <v>6101.5625</v>
      </c>
    </row>
    <row r="98" spans="2:38" x14ac:dyDescent="0.2">
      <c r="B98" s="76" t="s">
        <v>144</v>
      </c>
      <c r="C98" s="76"/>
      <c r="D98" s="76"/>
      <c r="E98" s="76"/>
      <c r="F98" s="76"/>
      <c r="G98" s="76"/>
      <c r="H98" s="76"/>
      <c r="I98" s="76"/>
      <c r="J98" s="76"/>
      <c r="K98" s="76"/>
      <c r="L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</row>
    <row r="99" spans="2:38" x14ac:dyDescent="0.2">
      <c r="H99" s="219"/>
      <c r="I99" s="219"/>
      <c r="J99" s="219"/>
      <c r="K99" s="219"/>
      <c r="L99" s="219"/>
      <c r="U99" s="219"/>
      <c r="V99" s="219"/>
      <c r="W99" s="219"/>
      <c r="X99" s="219"/>
      <c r="Y99" s="219"/>
      <c r="AH99" s="219"/>
      <c r="AI99" s="219"/>
      <c r="AJ99" s="219"/>
      <c r="AK99" s="219"/>
      <c r="AL99" s="219"/>
    </row>
    <row r="100" spans="2:38" x14ac:dyDescent="0.2">
      <c r="B100" s="39" t="s">
        <v>148</v>
      </c>
      <c r="H100" s="219"/>
      <c r="I100" s="219"/>
      <c r="J100" s="219"/>
      <c r="K100" s="219"/>
      <c r="L100" s="219"/>
      <c r="U100" s="219">
        <f>T103</f>
        <v>0</v>
      </c>
      <c r="V100" s="219">
        <f t="shared" ref="V100" si="109">U103</f>
        <v>15310.922238187148</v>
      </c>
      <c r="W100" s="219">
        <f t="shared" ref="W100" si="110">V103</f>
        <v>62779.717497696605</v>
      </c>
      <c r="X100" s="219">
        <f t="shared" ref="X100" si="111">W103</f>
        <v>146886.56612517399</v>
      </c>
      <c r="Y100" s="219">
        <f t="shared" ref="Y100" si="112">X103</f>
        <v>254265.259494028</v>
      </c>
      <c r="AH100" s="219">
        <f>AG103</f>
        <v>0</v>
      </c>
      <c r="AI100" s="219">
        <f t="shared" ref="AI100" si="113">AH103</f>
        <v>6804.8543280831764</v>
      </c>
      <c r="AJ100" s="219">
        <f t="shared" ref="AJ100" si="114">AI103</f>
        <v>23685.620621506579</v>
      </c>
      <c r="AK100" s="219">
        <f t="shared" ref="AK100" si="115">AJ103</f>
        <v>52753.330141123661</v>
      </c>
      <c r="AL100" s="219">
        <f t="shared" ref="AL100" si="116">AK103</f>
        <v>88045.186264075004</v>
      </c>
    </row>
    <row r="101" spans="2:38" x14ac:dyDescent="0.2">
      <c r="B101" s="39" t="s">
        <v>149</v>
      </c>
      <c r="H101" s="219"/>
      <c r="I101" s="219"/>
      <c r="J101" s="219"/>
      <c r="K101" s="219"/>
      <c r="L101" s="219"/>
      <c r="U101" s="219">
        <f>U134</f>
        <v>15310.922238187148</v>
      </c>
      <c r="V101" s="219">
        <f t="shared" ref="V101:Y101" si="117">V134</f>
        <v>47468.795259509461</v>
      </c>
      <c r="W101" s="219">
        <f t="shared" si="117"/>
        <v>84106.848627477404</v>
      </c>
      <c r="X101" s="219">
        <f t="shared" si="117"/>
        <v>107378.69336885399</v>
      </c>
      <c r="Y101" s="219">
        <f t="shared" si="117"/>
        <v>109227.28622693205</v>
      </c>
      <c r="AH101" s="219">
        <f>AH134</f>
        <v>6804.8543280831764</v>
      </c>
      <c r="AI101" s="219">
        <f t="shared" ref="AI101:AL101" si="118">AI134</f>
        <v>16880.766293423403</v>
      </c>
      <c r="AJ101" s="219">
        <f t="shared" si="118"/>
        <v>29067.709519617085</v>
      </c>
      <c r="AK101" s="219">
        <f t="shared" si="118"/>
        <v>35291.856122951343</v>
      </c>
      <c r="AL101" s="219">
        <f t="shared" si="118"/>
        <v>33494.474226215527</v>
      </c>
    </row>
    <row r="102" spans="2:38" x14ac:dyDescent="0.2">
      <c r="B102" s="39" t="s">
        <v>150</v>
      </c>
      <c r="H102" s="232"/>
      <c r="I102" s="232"/>
      <c r="J102" s="232"/>
      <c r="K102" s="232"/>
      <c r="L102" s="232"/>
      <c r="U102" s="232">
        <v>0</v>
      </c>
      <c r="V102" s="232">
        <v>0</v>
      </c>
      <c r="W102" s="232">
        <v>0</v>
      </c>
      <c r="X102" s="232">
        <v>0</v>
      </c>
      <c r="Y102" s="232">
        <v>0</v>
      </c>
      <c r="AH102" s="232">
        <v>0</v>
      </c>
      <c r="AI102" s="232">
        <v>0</v>
      </c>
      <c r="AJ102" s="232">
        <v>0</v>
      </c>
      <c r="AK102" s="232">
        <v>0</v>
      </c>
      <c r="AL102" s="232">
        <v>0</v>
      </c>
    </row>
    <row r="103" spans="2:38" ht="10.8" thickBot="1" x14ac:dyDescent="0.25">
      <c r="B103" s="162" t="s">
        <v>151</v>
      </c>
      <c r="C103" s="162"/>
      <c r="D103" s="162"/>
      <c r="E103" s="162"/>
      <c r="F103" s="162"/>
      <c r="G103" s="162"/>
      <c r="H103" s="236"/>
      <c r="I103" s="236"/>
      <c r="J103" s="236"/>
      <c r="K103" s="236"/>
      <c r="L103" s="236"/>
      <c r="P103" s="162"/>
      <c r="Q103" s="162"/>
      <c r="R103" s="162"/>
      <c r="S103" s="162"/>
      <c r="T103" s="162"/>
      <c r="U103" s="236">
        <f>SUM(U100:U102)</f>
        <v>15310.922238187148</v>
      </c>
      <c r="V103" s="236">
        <f t="shared" ref="V103:Y103" si="119">SUM(V100:V102)</f>
        <v>62779.717497696605</v>
      </c>
      <c r="W103" s="236">
        <f t="shared" si="119"/>
        <v>146886.56612517399</v>
      </c>
      <c r="X103" s="236">
        <f t="shared" si="119"/>
        <v>254265.259494028</v>
      </c>
      <c r="Y103" s="236">
        <f t="shared" si="119"/>
        <v>363492.54572096001</v>
      </c>
      <c r="AC103" s="162"/>
      <c r="AD103" s="162"/>
      <c r="AE103" s="162"/>
      <c r="AF103" s="162"/>
      <c r="AG103" s="162"/>
      <c r="AH103" s="236">
        <f>SUM(AH100:AH102)</f>
        <v>6804.8543280831764</v>
      </c>
      <c r="AI103" s="236">
        <f t="shared" ref="AI103:AL103" si="120">SUM(AI100:AI102)</f>
        <v>23685.620621506579</v>
      </c>
      <c r="AJ103" s="236">
        <f t="shared" si="120"/>
        <v>52753.330141123661</v>
      </c>
      <c r="AK103" s="236">
        <f t="shared" si="120"/>
        <v>88045.186264075004</v>
      </c>
      <c r="AL103" s="236">
        <f t="shared" si="120"/>
        <v>121539.66049029052</v>
      </c>
    </row>
    <row r="106" spans="2:38" x14ac:dyDescent="0.2">
      <c r="B106" s="48" t="s">
        <v>3</v>
      </c>
      <c r="C106" s="48"/>
      <c r="D106" s="48"/>
      <c r="E106" s="36">
        <f>E$7</f>
        <v>2020</v>
      </c>
      <c r="F106" s="36">
        <f t="shared" ref="F106:L106" si="121">F$7</f>
        <v>2021</v>
      </c>
      <c r="G106" s="36">
        <f t="shared" si="121"/>
        <v>2022</v>
      </c>
      <c r="H106" s="36">
        <f t="shared" si="121"/>
        <v>2023</v>
      </c>
      <c r="I106" s="36">
        <f t="shared" si="121"/>
        <v>2024</v>
      </c>
      <c r="J106" s="36">
        <f t="shared" si="121"/>
        <v>2025</v>
      </c>
      <c r="K106" s="36">
        <f t="shared" si="121"/>
        <v>2026</v>
      </c>
      <c r="L106" s="36">
        <f t="shared" si="121"/>
        <v>2027</v>
      </c>
      <c r="P106" s="48"/>
      <c r="Q106" s="48"/>
      <c r="R106" s="36">
        <f>R$7</f>
        <v>2020</v>
      </c>
      <c r="S106" s="36">
        <f t="shared" ref="S106:Y106" si="122">S$7</f>
        <v>2021</v>
      </c>
      <c r="T106" s="36">
        <f t="shared" si="122"/>
        <v>2022</v>
      </c>
      <c r="U106" s="36">
        <f t="shared" si="122"/>
        <v>2023</v>
      </c>
      <c r="V106" s="36">
        <f t="shared" si="122"/>
        <v>2024</v>
      </c>
      <c r="W106" s="36">
        <f t="shared" si="122"/>
        <v>2025</v>
      </c>
      <c r="X106" s="36">
        <f t="shared" si="122"/>
        <v>2026</v>
      </c>
      <c r="Y106" s="36">
        <f t="shared" si="122"/>
        <v>2027</v>
      </c>
      <c r="AC106" s="48"/>
      <c r="AD106" s="48"/>
      <c r="AE106" s="36">
        <f>AE$7</f>
        <v>2020</v>
      </c>
      <c r="AF106" s="36">
        <f t="shared" ref="AF106:AL106" si="123">AF$7</f>
        <v>2021</v>
      </c>
      <c r="AG106" s="36">
        <f t="shared" si="123"/>
        <v>2022</v>
      </c>
      <c r="AH106" s="36">
        <f t="shared" si="123"/>
        <v>2023</v>
      </c>
      <c r="AI106" s="36">
        <f t="shared" si="123"/>
        <v>2024</v>
      </c>
      <c r="AJ106" s="36">
        <f t="shared" si="123"/>
        <v>2025</v>
      </c>
      <c r="AK106" s="36">
        <f t="shared" si="123"/>
        <v>2026</v>
      </c>
      <c r="AL106" s="36">
        <f t="shared" si="123"/>
        <v>2027</v>
      </c>
    </row>
    <row r="107" spans="2:38" x14ac:dyDescent="0.2">
      <c r="B107" s="47"/>
      <c r="C107" s="47"/>
      <c r="D107" s="47"/>
      <c r="E107" s="1"/>
      <c r="F107" s="1"/>
      <c r="G107" s="1"/>
      <c r="P107" s="47"/>
      <c r="Q107" s="47"/>
      <c r="R107" s="1"/>
      <c r="S107" s="1"/>
      <c r="T107" s="1"/>
      <c r="AC107" s="47"/>
      <c r="AD107" s="47"/>
      <c r="AE107" s="1"/>
      <c r="AF107" s="1"/>
      <c r="AG107" s="1"/>
    </row>
    <row r="108" spans="2:38" x14ac:dyDescent="0.2">
      <c r="B108" s="49" t="s">
        <v>4</v>
      </c>
      <c r="C108" s="49"/>
      <c r="D108" s="49"/>
      <c r="E108" s="180" cm="1">
        <f t="array" ref="E108">_xlfn.SWITCH($C$11,1,R108,2,AE108)</f>
        <v>0</v>
      </c>
      <c r="F108" s="180" cm="1">
        <f t="array" ref="F108">_xlfn.SWITCH($C$11,1,S108,2,AF108)</f>
        <v>0</v>
      </c>
      <c r="G108" s="180" cm="1">
        <f t="array" ref="G108">_xlfn.SWITCH($C$11,1,T108,2,AG108)</f>
        <v>0</v>
      </c>
      <c r="H108" s="180" cm="1">
        <f t="array" ref="H108">_xlfn.SWITCH($C$11,1,U108,2,AH108)</f>
        <v>78517.549939421267</v>
      </c>
      <c r="I108" s="180" cm="1">
        <f t="array" ref="I108">_xlfn.SWITCH($C$11,1,V108,2,AI108)</f>
        <v>210082.61652531626</v>
      </c>
      <c r="J108" s="180" cm="1">
        <f t="array" ref="J108">_xlfn.SWITCH($C$11,1,W108,2,AJ108)</f>
        <v>372200.43352737313</v>
      </c>
      <c r="K108" s="180" cm="1">
        <f t="array" ref="K108">_xlfn.SWITCH($C$11,1,X108,2,AK108)</f>
        <v>554514.13266078965</v>
      </c>
      <c r="L108" s="180" cm="1">
        <f t="array" ref="L108">_xlfn.SWITCH($C$11,1,Y108,2,AL108)</f>
        <v>847045.83155332343</v>
      </c>
      <c r="P108" s="49"/>
      <c r="Q108" s="49"/>
      <c r="R108" s="180"/>
      <c r="S108" s="180"/>
      <c r="T108" s="180"/>
      <c r="U108" s="180">
        <f>U29</f>
        <v>78517.549939421267</v>
      </c>
      <c r="V108" s="180">
        <f>V29</f>
        <v>210082.61652531626</v>
      </c>
      <c r="W108" s="180">
        <f>W29</f>
        <v>372200.43352737313</v>
      </c>
      <c r="X108" s="180">
        <f>X29</f>
        <v>554514.13266078965</v>
      </c>
      <c r="Y108" s="180">
        <f>Y29</f>
        <v>847045.83155332343</v>
      </c>
      <c r="AC108" s="49"/>
      <c r="AD108" s="49"/>
      <c r="AE108" s="180"/>
      <c r="AF108" s="180"/>
      <c r="AG108" s="180"/>
      <c r="AH108" s="180">
        <f>AH29</f>
        <v>34896.688861965005</v>
      </c>
      <c r="AI108" s="180">
        <f>AI29</f>
        <v>75629.741949113857</v>
      </c>
      <c r="AJ108" s="180">
        <f>AJ29</f>
        <v>130270.15173458059</v>
      </c>
      <c r="AK108" s="180">
        <f>AK29</f>
        <v>184838.04422026323</v>
      </c>
      <c r="AL108" s="180">
        <f>AL29</f>
        <v>264485.73924011935</v>
      </c>
    </row>
    <row r="109" spans="2:38" x14ac:dyDescent="0.2">
      <c r="B109" s="50" t="s">
        <v>5</v>
      </c>
      <c r="C109" s="50"/>
      <c r="D109" s="50"/>
      <c r="E109" s="180" cm="1">
        <f t="array" ref="E109">_xlfn.SWITCH($C$11,1,R109,2,AE109)</f>
        <v>0</v>
      </c>
      <c r="F109" s="180" cm="1">
        <f t="array" ref="F109">_xlfn.SWITCH($C$11,1,S109,2,AF109)</f>
        <v>0</v>
      </c>
      <c r="G109" s="180" cm="1">
        <f t="array" ref="G109">_xlfn.SWITCH($C$11,1,T109,2,AG109)</f>
        <v>0</v>
      </c>
      <c r="H109" s="180" cm="1">
        <f t="array" ref="H109">_xlfn.SWITCH($C$11,1,U109,2,AH109)</f>
        <v>34848.945300109794</v>
      </c>
      <c r="I109" s="180" cm="1">
        <f t="array" ref="I109">_xlfn.SWITCH($C$11,1,V109,2,AI109)</f>
        <v>93825.395669766644</v>
      </c>
      <c r="J109" s="180" cm="1">
        <f t="array" ref="J109">_xlfn.SWITCH($C$11,1,W109,2,AJ109)</f>
        <v>165446.71207685885</v>
      </c>
      <c r="K109" s="180" cm="1">
        <f t="array" ref="K109">_xlfn.SWITCH($C$11,1,X109,2,AK109)</f>
        <v>246751.02626940538</v>
      </c>
      <c r="L109" s="180" cm="1">
        <f t="array" ref="L109">_xlfn.SWITCH($C$11,1,Y109,2,AL109)</f>
        <v>377248.13028551923</v>
      </c>
      <c r="P109" s="50"/>
      <c r="Q109" s="50"/>
      <c r="R109" s="180"/>
      <c r="S109" s="180"/>
      <c r="T109" s="180"/>
      <c r="U109" s="180">
        <f>U37</f>
        <v>34848.945300109794</v>
      </c>
      <c r="V109" s="180">
        <f>V37</f>
        <v>93825.395669766644</v>
      </c>
      <c r="W109" s="180">
        <f>W37</f>
        <v>165446.71207685885</v>
      </c>
      <c r="X109" s="180">
        <f>X37</f>
        <v>246751.02626940538</v>
      </c>
      <c r="Y109" s="180">
        <f>Y37</f>
        <v>377248.13028551923</v>
      </c>
      <c r="AC109" s="50"/>
      <c r="AD109" s="50"/>
      <c r="AE109" s="180"/>
      <c r="AF109" s="180"/>
      <c r="AG109" s="180"/>
      <c r="AH109" s="180">
        <f>AH37</f>
        <v>15488.420133382127</v>
      </c>
      <c r="AI109" s="180">
        <f>AI37</f>
        <v>33777.142441115997</v>
      </c>
      <c r="AJ109" s="180">
        <f>AJ37</f>
        <v>57906.349226900595</v>
      </c>
      <c r="AK109" s="180">
        <f>AK37</f>
        <v>82250.342089801794</v>
      </c>
      <c r="AL109" s="180">
        <f>AL37</f>
        <v>117793.80394629476</v>
      </c>
    </row>
    <row r="110" spans="2:38" x14ac:dyDescent="0.2">
      <c r="B110" s="51" t="s">
        <v>6</v>
      </c>
      <c r="C110" s="51"/>
      <c r="D110" s="51"/>
      <c r="E110" s="25">
        <f>E108-E109</f>
        <v>0</v>
      </c>
      <c r="F110" s="25">
        <f t="shared" ref="F110:L110" si="124">F108-F109</f>
        <v>0</v>
      </c>
      <c r="G110" s="25">
        <f t="shared" si="124"/>
        <v>0</v>
      </c>
      <c r="H110" s="25">
        <f t="shared" si="124"/>
        <v>43668.604639311474</v>
      </c>
      <c r="I110" s="25">
        <f t="shared" si="124"/>
        <v>116257.22085554962</v>
      </c>
      <c r="J110" s="25">
        <f t="shared" si="124"/>
        <v>206753.72145051428</v>
      </c>
      <c r="K110" s="25">
        <f t="shared" si="124"/>
        <v>307763.10639138427</v>
      </c>
      <c r="L110" s="25">
        <f t="shared" si="124"/>
        <v>469797.70126780419</v>
      </c>
      <c r="P110" s="51"/>
      <c r="Q110" s="51"/>
      <c r="R110" s="25">
        <f>R108-R109</f>
        <v>0</v>
      </c>
      <c r="S110" s="25">
        <f t="shared" ref="S110:Y110" si="125">S108-S109</f>
        <v>0</v>
      </c>
      <c r="T110" s="25">
        <f t="shared" si="125"/>
        <v>0</v>
      </c>
      <c r="U110" s="25">
        <f t="shared" si="125"/>
        <v>43668.604639311474</v>
      </c>
      <c r="V110" s="25">
        <f t="shared" si="125"/>
        <v>116257.22085554962</v>
      </c>
      <c r="W110" s="25">
        <f t="shared" si="125"/>
        <v>206753.72145051428</v>
      </c>
      <c r="X110" s="25">
        <f t="shared" si="125"/>
        <v>307763.10639138427</v>
      </c>
      <c r="Y110" s="25">
        <f t="shared" si="125"/>
        <v>469797.70126780419</v>
      </c>
      <c r="AC110" s="51"/>
      <c r="AD110" s="51"/>
      <c r="AE110" s="25">
        <f>AE108-AE109</f>
        <v>0</v>
      </c>
      <c r="AF110" s="25">
        <f t="shared" ref="AF110:AL110" si="126">AF108-AF109</f>
        <v>0</v>
      </c>
      <c r="AG110" s="25">
        <f t="shared" si="126"/>
        <v>0</v>
      </c>
      <c r="AH110" s="25">
        <f t="shared" si="126"/>
        <v>19408.26872858288</v>
      </c>
      <c r="AI110" s="25">
        <f t="shared" si="126"/>
        <v>41852.59950799786</v>
      </c>
      <c r="AJ110" s="25">
        <f t="shared" si="126"/>
        <v>72363.802507679997</v>
      </c>
      <c r="AK110" s="25">
        <f t="shared" si="126"/>
        <v>102587.70213046143</v>
      </c>
      <c r="AL110" s="25">
        <f t="shared" si="126"/>
        <v>146691.93529382459</v>
      </c>
    </row>
    <row r="111" spans="2:38" x14ac:dyDescent="0.2">
      <c r="B111" s="52"/>
      <c r="C111" s="52"/>
      <c r="D111" s="52"/>
      <c r="E111" s="182"/>
      <c r="F111" s="182"/>
      <c r="G111" s="182"/>
      <c r="H111" s="132"/>
      <c r="I111" s="132"/>
      <c r="J111" s="132"/>
      <c r="K111" s="132"/>
      <c r="L111" s="132"/>
      <c r="P111" s="52"/>
      <c r="Q111" s="52"/>
      <c r="R111" s="182"/>
      <c r="S111" s="182"/>
      <c r="T111" s="182"/>
      <c r="U111" s="132"/>
      <c r="V111" s="132"/>
      <c r="W111" s="132"/>
      <c r="X111" s="132"/>
      <c r="Y111" s="132"/>
      <c r="AC111" s="52"/>
      <c r="AD111" s="52"/>
      <c r="AE111" s="182"/>
      <c r="AF111" s="182"/>
      <c r="AG111" s="182"/>
      <c r="AH111" s="132"/>
      <c r="AI111" s="132"/>
      <c r="AJ111" s="132"/>
      <c r="AK111" s="132"/>
      <c r="AL111" s="132"/>
    </row>
    <row r="112" spans="2:38" x14ac:dyDescent="0.2">
      <c r="B112" s="52" t="s">
        <v>7</v>
      </c>
      <c r="C112" s="52"/>
      <c r="D112" s="52"/>
      <c r="E112" s="182"/>
      <c r="F112" s="182"/>
      <c r="G112" s="182"/>
      <c r="H112" s="132"/>
      <c r="I112" s="132"/>
      <c r="J112" s="132"/>
      <c r="K112" s="132"/>
      <c r="L112" s="132"/>
      <c r="P112" s="52"/>
      <c r="Q112" s="52"/>
      <c r="R112" s="182"/>
      <c r="S112" s="182"/>
      <c r="T112" s="182"/>
      <c r="U112" s="132"/>
      <c r="V112" s="132"/>
      <c r="W112" s="132"/>
      <c r="X112" s="132"/>
      <c r="Y112" s="132"/>
      <c r="AC112" s="52"/>
      <c r="AD112" s="52"/>
      <c r="AE112" s="182"/>
      <c r="AF112" s="182"/>
      <c r="AG112" s="182"/>
      <c r="AH112" s="132"/>
      <c r="AI112" s="132"/>
      <c r="AJ112" s="132"/>
      <c r="AK112" s="132"/>
      <c r="AL112" s="132"/>
    </row>
    <row r="113" spans="2:40" x14ac:dyDescent="0.2">
      <c r="B113" s="49" t="s">
        <v>8</v>
      </c>
      <c r="C113" s="49"/>
      <c r="D113" s="49"/>
      <c r="E113" s="180" cm="1">
        <f t="array" ref="E113">_xlfn.SWITCH($C$11,1,R113,2,AE113)</f>
        <v>0</v>
      </c>
      <c r="F113" s="180" cm="1">
        <f t="array" ref="F113">_xlfn.SWITCH($C$11,1,S113,2,AF113)</f>
        <v>0</v>
      </c>
      <c r="G113" s="180" cm="1">
        <f t="array" ref="G113">_xlfn.SWITCH($C$11,1,T113,2,AG113)</f>
        <v>0</v>
      </c>
      <c r="H113" s="180" cm="1">
        <f t="array" ref="H113">_xlfn.SWITCH($C$11,1,U113,2,AH113)</f>
        <v>9281.6561619957283</v>
      </c>
      <c r="I113" s="180" cm="1">
        <f t="array" ref="I113">_xlfn.SWITCH($C$11,1,V113,2,AI113)</f>
        <v>19499.549441501116</v>
      </c>
      <c r="J113" s="180" cm="1">
        <f t="array" ref="J113">_xlfn.SWITCH($C$11,1,W113,2,AJ113)</f>
        <v>34715.183034202666</v>
      </c>
      <c r="K113" s="180" cm="1">
        <f t="array" ref="K113">_xlfn.SWITCH($C$11,1,X113,2,AK113)</f>
        <v>64658.70942981181</v>
      </c>
      <c r="L113" s="180" cm="1">
        <f t="array" ref="L113">_xlfn.SWITCH($C$11,1,Y113,2,AL113)</f>
        <v>136926.53767170329</v>
      </c>
      <c r="P113" s="49"/>
      <c r="Q113" s="49"/>
      <c r="R113" s="180"/>
      <c r="S113" s="180"/>
      <c r="T113" s="180"/>
      <c r="U113" s="180">
        <f t="shared" ref="U113:Y113" si="127">U$43*U46</f>
        <v>9281.6561619957283</v>
      </c>
      <c r="V113" s="180">
        <f t="shared" si="127"/>
        <v>19499.549441501116</v>
      </c>
      <c r="W113" s="180">
        <f t="shared" si="127"/>
        <v>34715.183034202666</v>
      </c>
      <c r="X113" s="180">
        <f t="shared" si="127"/>
        <v>64658.70942981181</v>
      </c>
      <c r="Y113" s="180">
        <f t="shared" si="127"/>
        <v>136926.53767170329</v>
      </c>
      <c r="AC113" s="49"/>
      <c r="AD113" s="49"/>
      <c r="AE113" s="180"/>
      <c r="AF113" s="180"/>
      <c r="AG113" s="180"/>
      <c r="AH113" s="180">
        <f t="shared" ref="AH113:AL113" si="128">AH$43*AH46</f>
        <v>4125.1805164425468</v>
      </c>
      <c r="AI113" s="180">
        <f t="shared" si="128"/>
        <v>7019.8377989404007</v>
      </c>
      <c r="AJ113" s="180">
        <f t="shared" si="128"/>
        <v>12150.314061970936</v>
      </c>
      <c r="AK113" s="180">
        <f t="shared" si="128"/>
        <v>21552.903143270607</v>
      </c>
      <c r="AL113" s="180">
        <f t="shared" si="128"/>
        <v>42754.612783205317</v>
      </c>
    </row>
    <row r="114" spans="2:40" x14ac:dyDescent="0.2">
      <c r="B114" s="49" t="s">
        <v>9</v>
      </c>
      <c r="C114" s="49"/>
      <c r="D114" s="49"/>
      <c r="E114" s="180" cm="1">
        <f t="array" ref="E114">_xlfn.SWITCH($C$11,1,R114,2,AE114)</f>
        <v>0</v>
      </c>
      <c r="F114" s="180" cm="1">
        <f t="array" ref="F114">_xlfn.SWITCH($C$11,1,S114,2,AF114)</f>
        <v>0</v>
      </c>
      <c r="G114" s="180" cm="1">
        <f t="array" ref="G114">_xlfn.SWITCH($C$11,1,T114,2,AG114)</f>
        <v>0</v>
      </c>
      <c r="H114" s="180" cm="1">
        <f t="array" ref="H114">_xlfn.SWITCH($C$11,1,U114,2,AH114)</f>
        <v>2087.6898346920648</v>
      </c>
      <c r="I114" s="180" cm="1">
        <f t="array" ref="I114">_xlfn.SWITCH($C$11,1,V114,2,AI114)</f>
        <v>4481.2824470670148</v>
      </c>
      <c r="J114" s="180" cm="1">
        <f t="array" ref="J114">_xlfn.SWITCH($C$11,1,W114,2,AJ114)</f>
        <v>8054.0383967531316</v>
      </c>
      <c r="K114" s="180" cm="1">
        <f t="array" ref="K114">_xlfn.SWITCH($C$11,1,X114,2,AK114)</f>
        <v>14799.603749054662</v>
      </c>
      <c r="L114" s="180" cm="1">
        <f t="array" ref="L114">_xlfn.SWITCH($C$11,1,Y114,2,AL114)</f>
        <v>31524.935828220892</v>
      </c>
      <c r="P114" s="49"/>
      <c r="Q114" s="49"/>
      <c r="R114" s="180"/>
      <c r="S114" s="180"/>
      <c r="T114" s="180"/>
      <c r="U114" s="180">
        <f t="shared" ref="U114:Y114" si="129">U$43*U47</f>
        <v>2087.6898346920648</v>
      </c>
      <c r="V114" s="180">
        <f t="shared" si="129"/>
        <v>4481.2824470670148</v>
      </c>
      <c r="W114" s="180">
        <f t="shared" si="129"/>
        <v>8054.0383967531316</v>
      </c>
      <c r="X114" s="180">
        <f t="shared" si="129"/>
        <v>14799.603749054662</v>
      </c>
      <c r="Y114" s="180">
        <f t="shared" si="129"/>
        <v>31524.935828220892</v>
      </c>
      <c r="AC114" s="49"/>
      <c r="AD114" s="49"/>
      <c r="AE114" s="180"/>
      <c r="AF114" s="180"/>
      <c r="AG114" s="180"/>
      <c r="AH114" s="180">
        <f t="shared" ref="AH114:AL114" si="130">AH$43*AH47</f>
        <v>927.86214875202893</v>
      </c>
      <c r="AI114" s="180">
        <f t="shared" si="130"/>
        <v>1613.2616809441249</v>
      </c>
      <c r="AJ114" s="180">
        <f t="shared" si="130"/>
        <v>2818.9134388635966</v>
      </c>
      <c r="AK114" s="180">
        <f t="shared" si="130"/>
        <v>4933.2012496848884</v>
      </c>
      <c r="AL114" s="180">
        <f t="shared" si="130"/>
        <v>9843.5003708526474</v>
      </c>
    </row>
    <row r="115" spans="2:40" x14ac:dyDescent="0.2">
      <c r="B115" s="49" t="s">
        <v>10</v>
      </c>
      <c r="C115" s="49"/>
      <c r="D115" s="49"/>
      <c r="E115" s="180" cm="1">
        <f t="array" ref="E115">_xlfn.SWITCH($C$11,1,R115,2,AE115)</f>
        <v>0</v>
      </c>
      <c r="F115" s="180" cm="1">
        <f t="array" ref="F115">_xlfn.SWITCH($C$11,1,S115,2,AF115)</f>
        <v>0</v>
      </c>
      <c r="G115" s="180" cm="1">
        <f t="array" ref="G115">_xlfn.SWITCH($C$11,1,T115,2,AG115)</f>
        <v>0</v>
      </c>
      <c r="H115" s="180" cm="1">
        <f t="array" ref="H115">_xlfn.SWITCH($C$11,1,U115,2,AH115)</f>
        <v>3741.6411606013326</v>
      </c>
      <c r="I115" s="180" cm="1">
        <f t="array" ref="I115">_xlfn.SWITCH($C$11,1,V115,2,AI115)</f>
        <v>7971.1028632971211</v>
      </c>
      <c r="J115" s="180" cm="1">
        <f t="array" ref="J115">_xlfn.SWITCH($C$11,1,W115,2,AJ115)</f>
        <v>14376.035692969292</v>
      </c>
      <c r="K115" s="180" cm="1">
        <f t="array" ref="K115">_xlfn.SWITCH($C$11,1,X115,2,AK115)</f>
        <v>26421.888718024675</v>
      </c>
      <c r="L115" s="180" cm="1">
        <f t="array" ref="L115">_xlfn.SWITCH($C$11,1,Y115,2,AL115)</f>
        <v>56209.372950156037</v>
      </c>
      <c r="P115" s="49"/>
      <c r="Q115" s="49"/>
      <c r="R115" s="180"/>
      <c r="S115" s="180"/>
      <c r="T115" s="180"/>
      <c r="U115" s="180">
        <f t="shared" ref="U115:Y115" si="131">U$43*U48</f>
        <v>3741.6411606013326</v>
      </c>
      <c r="V115" s="180">
        <f t="shared" si="131"/>
        <v>7971.1028632971211</v>
      </c>
      <c r="W115" s="180">
        <f t="shared" si="131"/>
        <v>14376.035692969292</v>
      </c>
      <c r="X115" s="180">
        <f t="shared" si="131"/>
        <v>26421.888718024675</v>
      </c>
      <c r="Y115" s="180">
        <f t="shared" si="131"/>
        <v>56209.372950156037</v>
      </c>
      <c r="AC115" s="49"/>
      <c r="AD115" s="49"/>
      <c r="AE115" s="180"/>
      <c r="AF115" s="180"/>
      <c r="AG115" s="180"/>
      <c r="AH115" s="180">
        <f t="shared" ref="AH115:AL115" si="132">AH$43*AH48</f>
        <v>1662.951626933926</v>
      </c>
      <c r="AI115" s="180">
        <f t="shared" si="132"/>
        <v>2869.5970307869629</v>
      </c>
      <c r="AJ115" s="180">
        <f t="shared" si="132"/>
        <v>5031.6124925392533</v>
      </c>
      <c r="AK115" s="180">
        <f t="shared" si="132"/>
        <v>8807.2962393415601</v>
      </c>
      <c r="AL115" s="180">
        <f t="shared" si="132"/>
        <v>17551.089921171173</v>
      </c>
    </row>
    <row r="116" spans="2:40" x14ac:dyDescent="0.2">
      <c r="B116" s="49" t="s">
        <v>11</v>
      </c>
      <c r="C116" s="49"/>
      <c r="D116" s="49"/>
      <c r="E116" s="180" cm="1">
        <f t="array" ref="E116">_xlfn.SWITCH($C$11,1,R116,2,AE116)</f>
        <v>0</v>
      </c>
      <c r="F116" s="180" cm="1">
        <f t="array" ref="F116">_xlfn.SWITCH($C$11,1,S116,2,AF116)</f>
        <v>0</v>
      </c>
      <c r="G116" s="180" cm="1">
        <f t="array" ref="G116">_xlfn.SWITCH($C$11,1,T116,2,AG116)</f>
        <v>0</v>
      </c>
      <c r="H116" s="180" cm="1">
        <f t="array" ref="H116">_xlfn.SWITCH($C$11,1,U116,2,AH116)</f>
        <v>1141.6144609728453</v>
      </c>
      <c r="I116" s="180" cm="1">
        <f t="array" ref="I116">_xlfn.SWITCH($C$11,1,V116,2,AI116)</f>
        <v>2463.2425307002627</v>
      </c>
      <c r="J116" s="180" cm="1">
        <f t="array" ref="J116">_xlfn.SWITCH($C$11,1,W116,2,AJ116)</f>
        <v>4396.3924591082477</v>
      </c>
      <c r="K116" s="180" cm="1">
        <f t="array" ref="K116">_xlfn.SWITCH($C$11,1,X116,2,AK116)</f>
        <v>8102.0507776849672</v>
      </c>
      <c r="L116" s="180" cm="1">
        <f t="array" ref="L116">_xlfn.SWITCH($C$11,1,Y116,2,AL116)</f>
        <v>17264.813169878093</v>
      </c>
      <c r="P116" s="49"/>
      <c r="Q116" s="49"/>
      <c r="R116" s="180"/>
      <c r="S116" s="180"/>
      <c r="T116" s="180"/>
      <c r="U116" s="180">
        <f t="shared" ref="U116:Y116" si="133">U$43*U49</f>
        <v>1141.6144609728453</v>
      </c>
      <c r="V116" s="180">
        <f t="shared" si="133"/>
        <v>2463.2425307002627</v>
      </c>
      <c r="W116" s="180">
        <f t="shared" si="133"/>
        <v>4396.3924591082477</v>
      </c>
      <c r="X116" s="180">
        <f t="shared" si="133"/>
        <v>8102.0507776849672</v>
      </c>
      <c r="Y116" s="180">
        <f t="shared" si="133"/>
        <v>17264.813169878093</v>
      </c>
      <c r="AC116" s="49"/>
      <c r="AD116" s="49"/>
      <c r="AE116" s="180"/>
      <c r="AF116" s="180"/>
      <c r="AG116" s="180"/>
      <c r="AH116" s="180">
        <f t="shared" ref="AH116:AL116" si="134">AH$43*AH49</f>
        <v>507.38420487682026</v>
      </c>
      <c r="AI116" s="180">
        <f t="shared" si="134"/>
        <v>886.76731105209433</v>
      </c>
      <c r="AJ116" s="180">
        <f t="shared" si="134"/>
        <v>1538.7373606878871</v>
      </c>
      <c r="AK116" s="180">
        <f t="shared" si="134"/>
        <v>2700.683592561656</v>
      </c>
      <c r="AL116" s="180">
        <f t="shared" si="134"/>
        <v>5390.8498265129556</v>
      </c>
    </row>
    <row r="117" spans="2:40" x14ac:dyDescent="0.2">
      <c r="B117" s="49" t="s">
        <v>12</v>
      </c>
      <c r="C117" s="49"/>
      <c r="D117" s="49"/>
      <c r="E117" s="180" cm="1">
        <f t="array" ref="E117">_xlfn.SWITCH($C$11,1,R117,2,AE117)</f>
        <v>0</v>
      </c>
      <c r="F117" s="180" cm="1">
        <f t="array" ref="F117">_xlfn.SWITCH($C$11,1,S117,2,AF117)</f>
        <v>0</v>
      </c>
      <c r="G117" s="180" cm="1">
        <f t="array" ref="G117">_xlfn.SWITCH($C$11,1,T117,2,AG117)</f>
        <v>0</v>
      </c>
      <c r="H117" s="180" cm="1">
        <f t="array" ref="H117">_xlfn.SWITCH($C$11,1,U117,2,AH117)</f>
        <v>1607.7966254866747</v>
      </c>
      <c r="I117" s="180" cm="1">
        <f t="array" ref="I117">_xlfn.SWITCH($C$11,1,V117,2,AI117)</f>
        <v>3449.8249787573782</v>
      </c>
      <c r="J117" s="180" cm="1">
        <f t="array" ref="J117">_xlfn.SWITCH($C$11,1,W117,2,AJ117)</f>
        <v>6192.5415158795868</v>
      </c>
      <c r="K117" s="180" cm="1">
        <f t="array" ref="K117">_xlfn.SWITCH($C$11,1,X117,2,AK117)</f>
        <v>11389.913042486965</v>
      </c>
      <c r="L117" s="180" cm="1">
        <f t="array" ref="L117">_xlfn.SWITCH($C$11,1,Y117,2,AL117)</f>
        <v>24256.422070426041</v>
      </c>
      <c r="P117" s="49"/>
      <c r="Q117" s="49"/>
      <c r="R117" s="180"/>
      <c r="S117" s="180"/>
      <c r="T117" s="180"/>
      <c r="U117" s="180">
        <f t="shared" ref="U117:Y117" si="135">U$43*U50</f>
        <v>1607.7966254866747</v>
      </c>
      <c r="V117" s="180">
        <f t="shared" si="135"/>
        <v>3449.8249787573782</v>
      </c>
      <c r="W117" s="180">
        <f t="shared" si="135"/>
        <v>6192.5415158795868</v>
      </c>
      <c r="X117" s="180">
        <f t="shared" si="135"/>
        <v>11389.913042486965</v>
      </c>
      <c r="Y117" s="180">
        <f t="shared" si="135"/>
        <v>24256.422070426041</v>
      </c>
      <c r="AC117" s="49"/>
      <c r="AD117" s="49"/>
      <c r="AE117" s="180"/>
      <c r="AF117" s="180"/>
      <c r="AG117" s="180"/>
      <c r="AH117" s="180">
        <f t="shared" ref="AH117:AL117" si="136">AH$43*AH50</f>
        <v>714.57627799407771</v>
      </c>
      <c r="AI117" s="180">
        <f t="shared" si="136"/>
        <v>1241.9369923526558</v>
      </c>
      <c r="AJ117" s="180">
        <f t="shared" si="136"/>
        <v>2167.3895305578558</v>
      </c>
      <c r="AK117" s="180">
        <f t="shared" si="136"/>
        <v>3796.6376808289888</v>
      </c>
      <c r="AL117" s="180">
        <f t="shared" si="136"/>
        <v>7573.9440342350699</v>
      </c>
    </row>
    <row r="118" spans="2:40" x14ac:dyDescent="0.2">
      <c r="B118" s="49" t="s">
        <v>13</v>
      </c>
      <c r="C118" s="49"/>
      <c r="D118" s="49"/>
      <c r="E118" s="180" cm="1">
        <f t="array" ref="E118">_xlfn.SWITCH($C$11,1,R118,2,AE118)</f>
        <v>0</v>
      </c>
      <c r="F118" s="180" cm="1">
        <f t="array" ref="F118">_xlfn.SWITCH($C$11,1,S118,2,AF118)</f>
        <v>0</v>
      </c>
      <c r="G118" s="180" cm="1">
        <f t="array" ref="G118">_xlfn.SWITCH($C$11,1,T118,2,AG118)</f>
        <v>0</v>
      </c>
      <c r="H118" s="180" cm="1">
        <f t="array" ref="H118">_xlfn.SWITCH($C$11,1,U118,2,AH118)</f>
        <v>224.89611217619446</v>
      </c>
      <c r="I118" s="180" cm="1">
        <f t="array" ref="I118">_xlfn.SWITCH($C$11,1,V118,2,AI118)</f>
        <v>490.39783175501219</v>
      </c>
      <c r="J118" s="180" cm="1">
        <f t="array" ref="J118">_xlfn.SWITCH($C$11,1,W118,2,AJ118)</f>
        <v>841.96264039655739</v>
      </c>
      <c r="K118" s="180" cm="1">
        <f t="array" ref="K118">_xlfn.SWITCH($C$11,1,X118,2,AK118)</f>
        <v>1586.8582415569554</v>
      </c>
      <c r="L118" s="180" cm="1">
        <f t="array" ref="L118">_xlfn.SWITCH($C$11,1,Y118,2,AL118)</f>
        <v>3374.9535045968337</v>
      </c>
      <c r="P118" s="49"/>
      <c r="Q118" s="49"/>
      <c r="R118" s="180"/>
      <c r="S118" s="180"/>
      <c r="T118" s="180"/>
      <c r="U118" s="180">
        <f t="shared" ref="U118:Y118" si="137">U$43*U51</f>
        <v>224.89611217619446</v>
      </c>
      <c r="V118" s="180">
        <f t="shared" si="137"/>
        <v>490.39783175501219</v>
      </c>
      <c r="W118" s="180">
        <f t="shared" si="137"/>
        <v>841.96264039655739</v>
      </c>
      <c r="X118" s="180">
        <f t="shared" si="137"/>
        <v>1586.8582415569554</v>
      </c>
      <c r="Y118" s="180">
        <f t="shared" si="137"/>
        <v>3374.9535045968337</v>
      </c>
      <c r="AC118" s="49"/>
      <c r="AD118" s="49"/>
      <c r="AE118" s="180"/>
      <c r="AF118" s="180"/>
      <c r="AG118" s="180"/>
      <c r="AH118" s="180">
        <f t="shared" ref="AH118:AL118" si="138">AH$43*AH51</f>
        <v>99.953827633864222</v>
      </c>
      <c r="AI118" s="180">
        <f t="shared" si="138"/>
        <v>176.54321943180437</v>
      </c>
      <c r="AJ118" s="180">
        <f t="shared" si="138"/>
        <v>294.68692413879512</v>
      </c>
      <c r="AK118" s="180">
        <f t="shared" si="138"/>
        <v>528.9527471856519</v>
      </c>
      <c r="AL118" s="180">
        <f t="shared" si="138"/>
        <v>1053.8120126598276</v>
      </c>
    </row>
    <row r="119" spans="2:40" x14ac:dyDescent="0.2">
      <c r="B119" s="49" t="s">
        <v>14</v>
      </c>
      <c r="C119" s="49"/>
      <c r="D119" s="49"/>
      <c r="E119" s="180" cm="1">
        <f t="array" ref="E119">_xlfn.SWITCH($C$11,1,R119,2,AE119)</f>
        <v>0</v>
      </c>
      <c r="F119" s="180" cm="1">
        <f t="array" ref="F119">_xlfn.SWITCH($C$11,1,S119,2,AF119)</f>
        <v>0</v>
      </c>
      <c r="G119" s="180" cm="1">
        <f t="array" ref="G119">_xlfn.SWITCH($C$11,1,T119,2,AG119)</f>
        <v>0</v>
      </c>
      <c r="H119" s="180" cm="1">
        <f t="array" ref="H119">_xlfn.SWITCH($C$11,1,U119,2,AH119)</f>
        <v>237.32260065400433</v>
      </c>
      <c r="I119" s="180" cm="1">
        <f t="array" ref="I119">_xlfn.SWITCH($C$11,1,V119,2,AI119)</f>
        <v>510.68587750046851</v>
      </c>
      <c r="J119" s="180" cm="1">
        <f t="array" ref="J119">_xlfn.SWITCH($C$11,1,W119,2,AJ119)</f>
        <v>919.88626852563834</v>
      </c>
      <c r="K119" s="180" cm="1">
        <f t="array" ref="K119">_xlfn.SWITCH($C$11,1,X119,2,AK119)</f>
        <v>1686.4350944053454</v>
      </c>
      <c r="L119" s="180" cm="1">
        <f t="array" ref="L119">_xlfn.SWITCH($C$11,1,Y119,2,AL119)</f>
        <v>3595.1758961113965</v>
      </c>
      <c r="P119" s="49"/>
      <c r="Q119" s="49"/>
      <c r="R119" s="180"/>
      <c r="S119" s="180"/>
      <c r="T119" s="180"/>
      <c r="U119" s="180">
        <f t="shared" ref="U119:Y119" si="139">U$43*U52</f>
        <v>237.32260065400433</v>
      </c>
      <c r="V119" s="180">
        <f t="shared" si="139"/>
        <v>510.68587750046851</v>
      </c>
      <c r="W119" s="180">
        <f t="shared" si="139"/>
        <v>919.88626852563834</v>
      </c>
      <c r="X119" s="180">
        <f t="shared" si="139"/>
        <v>1686.4350944053454</v>
      </c>
      <c r="Y119" s="180">
        <f t="shared" si="139"/>
        <v>3595.1758961113965</v>
      </c>
      <c r="AC119" s="49"/>
      <c r="AD119" s="49"/>
      <c r="AE119" s="180"/>
      <c r="AF119" s="180"/>
      <c r="AG119" s="180"/>
      <c r="AH119" s="180">
        <f t="shared" ref="AH119:AL119" si="140">AH$43*AH52</f>
        <v>105.47671140177972</v>
      </c>
      <c r="AI119" s="180">
        <f t="shared" si="140"/>
        <v>183.84691590016863</v>
      </c>
      <c r="AJ119" s="180">
        <f t="shared" si="140"/>
        <v>321.96019398397345</v>
      </c>
      <c r="AK119" s="180">
        <f t="shared" si="140"/>
        <v>562.14503146844856</v>
      </c>
      <c r="AL119" s="180">
        <f t="shared" si="140"/>
        <v>1122.5753308266198</v>
      </c>
    </row>
    <row r="120" spans="2:40" x14ac:dyDescent="0.2">
      <c r="B120" s="49" t="s">
        <v>15</v>
      </c>
      <c r="C120" s="49"/>
      <c r="D120" s="49"/>
      <c r="E120" s="180" cm="1">
        <f t="array" ref="E120">_xlfn.SWITCH($C$11,1,R120,2,AE120)</f>
        <v>0</v>
      </c>
      <c r="F120" s="180" cm="1">
        <f t="array" ref="F120">_xlfn.SWITCH($C$11,1,S120,2,AF120)</f>
        <v>0</v>
      </c>
      <c r="G120" s="180" cm="1">
        <f t="array" ref="G120">_xlfn.SWITCH($C$11,1,T120,2,AG120)</f>
        <v>0</v>
      </c>
      <c r="H120" s="180" cm="1">
        <f t="array" ref="H120">_xlfn.SWITCH($C$11,1,U120,2,AH120)</f>
        <v>286.62464317991061</v>
      </c>
      <c r="I120" s="180" cm="1">
        <f t="array" ref="I120">_xlfn.SWITCH($C$11,1,V120,2,AI120)</f>
        <v>619.92706890587908</v>
      </c>
      <c r="J120" s="180" cm="1">
        <f t="array" ref="J120">_xlfn.SWITCH($C$11,1,W120,2,AJ120)</f>
        <v>1151.4131961658125</v>
      </c>
      <c r="K120" s="180" cm="1">
        <f t="array" ref="K120">_xlfn.SWITCH($C$11,1,X120,2,AK120)</f>
        <v>2065.1727279533898</v>
      </c>
      <c r="L120" s="180" cm="1">
        <f t="array" ref="L120">_xlfn.SWITCH($C$11,1,Y120,2,AL120)</f>
        <v>4422.5805792732936</v>
      </c>
      <c r="P120" s="49"/>
      <c r="Q120" s="49"/>
      <c r="R120" s="180"/>
      <c r="S120" s="180"/>
      <c r="T120" s="180"/>
      <c r="U120" s="180">
        <f t="shared" ref="U120:Y120" si="141">U$43*U53</f>
        <v>286.62464317991061</v>
      </c>
      <c r="V120" s="180">
        <f t="shared" si="141"/>
        <v>619.92706890587908</v>
      </c>
      <c r="W120" s="180">
        <f t="shared" si="141"/>
        <v>1151.4131961658125</v>
      </c>
      <c r="X120" s="180">
        <f t="shared" si="141"/>
        <v>2065.1727279533898</v>
      </c>
      <c r="Y120" s="180">
        <f t="shared" si="141"/>
        <v>4422.5805792732936</v>
      </c>
      <c r="AC120" s="49"/>
      <c r="AD120" s="49"/>
      <c r="AE120" s="180"/>
      <c r="AF120" s="180"/>
      <c r="AG120" s="180"/>
      <c r="AH120" s="180">
        <f t="shared" ref="AH120:AL120" si="142">AH$43*AH53</f>
        <v>127.38873030218251</v>
      </c>
      <c r="AI120" s="180">
        <f t="shared" si="142"/>
        <v>223.17374480611642</v>
      </c>
      <c r="AJ120" s="180">
        <f t="shared" si="142"/>
        <v>402.99461865803443</v>
      </c>
      <c r="AK120" s="180">
        <f t="shared" si="142"/>
        <v>688.39090931779674</v>
      </c>
      <c r="AL120" s="180">
        <f t="shared" si="142"/>
        <v>1380.9282216914571</v>
      </c>
    </row>
    <row r="121" spans="2:40" x14ac:dyDescent="0.2">
      <c r="B121" s="49" t="s">
        <v>16</v>
      </c>
      <c r="C121" s="49"/>
      <c r="D121" s="49"/>
      <c r="E121" s="180" cm="1">
        <f t="array" ref="E121">_xlfn.SWITCH($C$11,1,R121,2,AE121)</f>
        <v>0</v>
      </c>
      <c r="F121" s="180" cm="1">
        <f t="array" ref="F121">_xlfn.SWITCH($C$11,1,S121,2,AF121)</f>
        <v>0</v>
      </c>
      <c r="G121" s="180" cm="1">
        <f t="array" ref="G121">_xlfn.SWITCH($C$11,1,T121,2,AG121)</f>
        <v>0</v>
      </c>
      <c r="H121" s="180" cm="1">
        <f t="array" ref="H121">_xlfn.SWITCH($C$11,1,U121,2,AH121)</f>
        <v>910.94022991261795</v>
      </c>
      <c r="I121" s="180" cm="1">
        <f t="array" ref="I121">_xlfn.SWITCH($C$11,1,V121,2,AI121)</f>
        <v>1954.7435801052357</v>
      </c>
      <c r="J121" s="180" cm="1">
        <f t="array" ref="J121">_xlfn.SWITCH($C$11,1,W121,2,AJ121)</f>
        <v>3517.1633076217909</v>
      </c>
      <c r="K121" s="180" cm="1">
        <f t="array" ref="K121">_xlfn.SWITCH($C$11,1,X121,2,AK121)</f>
        <v>6458.7406200499499</v>
      </c>
      <c r="L121" s="180" cm="1">
        <f t="array" ref="L121">_xlfn.SWITCH($C$11,1,Y121,2,AL121)</f>
        <v>13758.669867196661</v>
      </c>
      <c r="P121" s="49"/>
      <c r="Q121" s="49"/>
      <c r="R121" s="180"/>
      <c r="S121" s="180"/>
      <c r="T121" s="180"/>
      <c r="U121" s="180">
        <f t="shared" ref="U121:Y121" si="143">U$43*U54</f>
        <v>910.94022991261795</v>
      </c>
      <c r="V121" s="180">
        <f t="shared" si="143"/>
        <v>1954.7435801052357</v>
      </c>
      <c r="W121" s="180">
        <f t="shared" si="143"/>
        <v>3517.1633076217909</v>
      </c>
      <c r="X121" s="180">
        <f t="shared" si="143"/>
        <v>6458.7406200499499</v>
      </c>
      <c r="Y121" s="180">
        <f t="shared" si="143"/>
        <v>13758.669867196661</v>
      </c>
      <c r="AC121" s="49"/>
      <c r="AD121" s="49"/>
      <c r="AE121" s="180"/>
      <c r="AF121" s="180"/>
      <c r="AG121" s="180"/>
      <c r="AH121" s="180">
        <f t="shared" ref="AH121:AL121" si="144">AH$43*AH54</f>
        <v>404.86232440560804</v>
      </c>
      <c r="AI121" s="180">
        <f t="shared" si="144"/>
        <v>703.70768883788469</v>
      </c>
      <c r="AJ121" s="180">
        <f t="shared" si="144"/>
        <v>1231.0071576676271</v>
      </c>
      <c r="AK121" s="180">
        <f t="shared" si="144"/>
        <v>2152.9135400166506</v>
      </c>
      <c r="AL121" s="180">
        <f t="shared" si="144"/>
        <v>4296.074468736917</v>
      </c>
    </row>
    <row r="122" spans="2:40" x14ac:dyDescent="0.2">
      <c r="B122" s="49" t="s">
        <v>17</v>
      </c>
      <c r="C122" s="49"/>
      <c r="D122" s="49"/>
      <c r="E122" s="180" cm="1">
        <f t="array" ref="E122">_xlfn.SWITCH($C$11,1,R122,2,AE122)</f>
        <v>0</v>
      </c>
      <c r="F122" s="180" cm="1">
        <f t="array" ref="F122">_xlfn.SWITCH($C$11,1,S122,2,AF122)</f>
        <v>0</v>
      </c>
      <c r="G122" s="180" cm="1">
        <f t="array" ref="G122">_xlfn.SWITCH($C$11,1,T122,2,AG122)</f>
        <v>0</v>
      </c>
      <c r="H122" s="180" cm="1">
        <f t="array" ref="H122">_xlfn.SWITCH($C$11,1,U122,2,AH122)</f>
        <v>593.15782781372161</v>
      </c>
      <c r="I122" s="180" cm="1">
        <f t="array" ref="I122">_xlfn.SWITCH($C$11,1,V122,2,AI122)</f>
        <v>1287.5484520994314</v>
      </c>
      <c r="J122" s="180" cm="1">
        <f t="array" ref="J122">_xlfn.SWITCH($C$11,1,W122,2,AJ122)</f>
        <v>2318.9532043109512</v>
      </c>
      <c r="K122" s="180" cm="1">
        <f t="array" ref="K122">_xlfn.SWITCH($C$11,1,X122,2,AK122)</f>
        <v>4239.4941921186537</v>
      </c>
      <c r="L122" s="180" cm="1">
        <f t="array" ref="L122">_xlfn.SWITCH($C$11,1,Y122,2,AL122)</f>
        <v>9055.0734195769601</v>
      </c>
      <c r="P122" s="49"/>
      <c r="Q122" s="49"/>
      <c r="R122" s="180"/>
      <c r="S122" s="180"/>
      <c r="T122" s="180"/>
      <c r="U122" s="180">
        <f t="shared" ref="U122:Y122" si="145">U$43*U55</f>
        <v>593.15782781372161</v>
      </c>
      <c r="V122" s="180">
        <f t="shared" si="145"/>
        <v>1287.5484520994314</v>
      </c>
      <c r="W122" s="180">
        <f t="shared" si="145"/>
        <v>2318.9532043109512</v>
      </c>
      <c r="X122" s="180">
        <f t="shared" si="145"/>
        <v>4239.4941921186537</v>
      </c>
      <c r="Y122" s="180">
        <f t="shared" si="145"/>
        <v>9055.0734195769601</v>
      </c>
      <c r="AC122" s="49"/>
      <c r="AD122" s="49"/>
      <c r="AE122" s="180"/>
      <c r="AF122" s="180"/>
      <c r="AG122" s="180"/>
      <c r="AH122" s="180">
        <f t="shared" ref="AH122:AL122" si="146">AH$43*AH55</f>
        <v>263.62570125054299</v>
      </c>
      <c r="AI122" s="180">
        <f t="shared" si="146"/>
        <v>463.51744275579523</v>
      </c>
      <c r="AJ122" s="180">
        <f t="shared" si="146"/>
        <v>811.63362150883302</v>
      </c>
      <c r="AK122" s="180">
        <f t="shared" si="146"/>
        <v>1413.1647307062181</v>
      </c>
      <c r="AL122" s="180">
        <f t="shared" si="146"/>
        <v>2827.4004759087247</v>
      </c>
    </row>
    <row r="123" spans="2:40" x14ac:dyDescent="0.2">
      <c r="B123" s="51" t="s">
        <v>18</v>
      </c>
      <c r="C123" s="51"/>
      <c r="D123" s="51"/>
      <c r="E123" s="25">
        <f>SUM(E113:E122)</f>
        <v>0</v>
      </c>
      <c r="F123" s="25">
        <f t="shared" ref="F123:L123" si="147">SUM(F113:F122)</f>
        <v>0</v>
      </c>
      <c r="G123" s="25">
        <f t="shared" si="147"/>
        <v>0</v>
      </c>
      <c r="H123" s="25">
        <f t="shared" si="147"/>
        <v>20113.339657485092</v>
      </c>
      <c r="I123" s="25">
        <f t="shared" si="147"/>
        <v>42728.305071688912</v>
      </c>
      <c r="J123" s="25">
        <f t="shared" si="147"/>
        <v>76483.569715933656</v>
      </c>
      <c r="K123" s="25">
        <f t="shared" si="147"/>
        <v>141408.86659314737</v>
      </c>
      <c r="L123" s="25">
        <f t="shared" si="147"/>
        <v>300388.53495713952</v>
      </c>
      <c r="P123" s="51"/>
      <c r="Q123" s="51"/>
      <c r="R123" s="25">
        <f>SUM(R113:R122)</f>
        <v>0</v>
      </c>
      <c r="S123" s="25">
        <f t="shared" ref="S123:Y123" si="148">SUM(S113:S122)</f>
        <v>0</v>
      </c>
      <c r="T123" s="25">
        <f t="shared" si="148"/>
        <v>0</v>
      </c>
      <c r="U123" s="25">
        <f t="shared" si="148"/>
        <v>20113.339657485092</v>
      </c>
      <c r="V123" s="25">
        <f t="shared" si="148"/>
        <v>42728.305071688912</v>
      </c>
      <c r="W123" s="25">
        <f t="shared" si="148"/>
        <v>76483.569715933656</v>
      </c>
      <c r="X123" s="25">
        <f t="shared" si="148"/>
        <v>141408.86659314737</v>
      </c>
      <c r="Y123" s="25">
        <f t="shared" si="148"/>
        <v>300388.53495713952</v>
      </c>
      <c r="AC123" s="51"/>
      <c r="AD123" s="51"/>
      <c r="AE123" s="25">
        <f>SUM(AE113:AE122)</f>
        <v>0</v>
      </c>
      <c r="AF123" s="25">
        <f t="shared" ref="AF123:AL123" si="149">SUM(AF113:AF122)</f>
        <v>0</v>
      </c>
      <c r="AG123" s="25">
        <f t="shared" si="149"/>
        <v>0</v>
      </c>
      <c r="AH123" s="25">
        <f t="shared" si="149"/>
        <v>8939.2620699933777</v>
      </c>
      <c r="AI123" s="25">
        <f t="shared" si="149"/>
        <v>15382.189825808007</v>
      </c>
      <c r="AJ123" s="25">
        <f t="shared" si="149"/>
        <v>26769.249400576791</v>
      </c>
      <c r="AK123" s="25">
        <f t="shared" si="149"/>
        <v>47136.288864382448</v>
      </c>
      <c r="AL123" s="25">
        <f t="shared" si="149"/>
        <v>93794.787445800699</v>
      </c>
    </row>
    <row r="124" spans="2:40" ht="10.8" thickBot="1" x14ac:dyDescent="0.25">
      <c r="B124" s="53" t="s">
        <v>20</v>
      </c>
      <c r="C124" s="53"/>
      <c r="D124" s="53"/>
      <c r="E124" s="183">
        <f>E110-E123</f>
        <v>0</v>
      </c>
      <c r="F124" s="183">
        <f t="shared" ref="F124:L124" si="150">F110-F123</f>
        <v>0</v>
      </c>
      <c r="G124" s="183">
        <f t="shared" si="150"/>
        <v>0</v>
      </c>
      <c r="H124" s="183">
        <f t="shared" si="150"/>
        <v>23555.264981826382</v>
      </c>
      <c r="I124" s="183">
        <f t="shared" si="150"/>
        <v>73528.915783860706</v>
      </c>
      <c r="J124" s="183">
        <f t="shared" si="150"/>
        <v>130270.15173458062</v>
      </c>
      <c r="K124" s="183">
        <f t="shared" si="150"/>
        <v>166354.2397982369</v>
      </c>
      <c r="L124" s="183">
        <f t="shared" si="150"/>
        <v>169409.16631066467</v>
      </c>
      <c r="P124" s="53"/>
      <c r="Q124" s="53"/>
      <c r="R124" s="183">
        <f>R110-R123</f>
        <v>0</v>
      </c>
      <c r="S124" s="183">
        <f t="shared" ref="S124:Y124" si="151">S110-S123</f>
        <v>0</v>
      </c>
      <c r="T124" s="183">
        <f t="shared" si="151"/>
        <v>0</v>
      </c>
      <c r="U124" s="183">
        <f t="shared" si="151"/>
        <v>23555.264981826382</v>
      </c>
      <c r="V124" s="183">
        <f t="shared" si="151"/>
        <v>73528.915783860706</v>
      </c>
      <c r="W124" s="183">
        <f t="shared" si="151"/>
        <v>130270.15173458062</v>
      </c>
      <c r="X124" s="183">
        <f t="shared" si="151"/>
        <v>166354.2397982369</v>
      </c>
      <c r="Y124" s="183">
        <f t="shared" si="151"/>
        <v>169409.16631066467</v>
      </c>
      <c r="AC124" s="53"/>
      <c r="AD124" s="53"/>
      <c r="AE124" s="183">
        <f>AE110-AE123</f>
        <v>0</v>
      </c>
      <c r="AF124" s="183">
        <f t="shared" ref="AF124:AL124" si="152">AF110-AF123</f>
        <v>0</v>
      </c>
      <c r="AG124" s="183">
        <f t="shared" si="152"/>
        <v>0</v>
      </c>
      <c r="AH124" s="183">
        <f t="shared" si="152"/>
        <v>10469.006658589502</v>
      </c>
      <c r="AI124" s="183">
        <f t="shared" si="152"/>
        <v>26470.409682189853</v>
      </c>
      <c r="AJ124" s="183">
        <f t="shared" si="152"/>
        <v>45594.553107103202</v>
      </c>
      <c r="AK124" s="183">
        <f t="shared" si="152"/>
        <v>55451.413266078984</v>
      </c>
      <c r="AL124" s="183">
        <f t="shared" si="152"/>
        <v>52897.147848023887</v>
      </c>
    </row>
    <row r="125" spans="2:40" x14ac:dyDescent="0.2">
      <c r="B125" s="54" t="s">
        <v>85</v>
      </c>
      <c r="C125" s="54"/>
      <c r="D125" s="54"/>
      <c r="E125" s="180"/>
      <c r="F125" s="180"/>
      <c r="G125" s="180"/>
      <c r="H125" s="132"/>
      <c r="I125" s="132"/>
      <c r="J125" s="132"/>
      <c r="K125" s="132"/>
      <c r="L125" s="132"/>
      <c r="P125" s="54"/>
      <c r="Q125" s="54"/>
      <c r="R125" s="180"/>
      <c r="S125" s="180"/>
      <c r="T125" s="180"/>
      <c r="U125" s="132"/>
      <c r="V125" s="132"/>
      <c r="W125" s="132"/>
      <c r="X125" s="132"/>
      <c r="Y125" s="132"/>
      <c r="AC125" s="54"/>
      <c r="AD125" s="54"/>
      <c r="AE125" s="180"/>
      <c r="AF125" s="180"/>
      <c r="AG125" s="180"/>
      <c r="AH125" s="132"/>
      <c r="AI125" s="132"/>
      <c r="AJ125" s="132"/>
      <c r="AK125" s="132"/>
      <c r="AL125" s="132"/>
    </row>
    <row r="126" spans="2:40" x14ac:dyDescent="0.2">
      <c r="B126" s="49"/>
      <c r="C126" s="49"/>
      <c r="D126" s="49"/>
      <c r="E126" s="180"/>
      <c r="F126" s="180"/>
      <c r="G126" s="180"/>
      <c r="H126" s="132"/>
      <c r="I126" s="132"/>
      <c r="J126" s="132"/>
      <c r="K126" s="132"/>
      <c r="L126" s="132"/>
      <c r="P126" s="49"/>
      <c r="Q126" s="49"/>
      <c r="R126" s="180"/>
      <c r="S126" s="180"/>
      <c r="T126" s="180"/>
      <c r="U126" s="132"/>
      <c r="V126" s="132"/>
      <c r="W126" s="132"/>
      <c r="X126" s="132"/>
      <c r="Y126" s="132"/>
      <c r="AC126" s="49"/>
      <c r="AD126" s="49"/>
      <c r="AE126" s="180"/>
      <c r="AF126" s="180"/>
      <c r="AG126" s="180"/>
      <c r="AH126" s="132"/>
      <c r="AI126" s="132"/>
      <c r="AJ126" s="132"/>
      <c r="AK126" s="132"/>
      <c r="AL126" s="132"/>
    </row>
    <row r="127" spans="2:40" x14ac:dyDescent="0.2">
      <c r="B127" s="49" t="s">
        <v>21</v>
      </c>
      <c r="C127" s="49"/>
      <c r="D127" s="49"/>
      <c r="E127" s="180" cm="1">
        <f t="array" ref="E127">_xlfn.SWITCH($C$11,1,R127,2,AE127)</f>
        <v>0</v>
      </c>
      <c r="F127" s="180" cm="1">
        <f t="array" ref="F127">_xlfn.SWITCH($C$11,1,S127,2,AF127)</f>
        <v>0</v>
      </c>
      <c r="G127" s="180" cm="1">
        <f t="array" ref="G127">_xlfn.SWITCH($C$11,1,T127,2,AG127)</f>
        <v>0</v>
      </c>
      <c r="H127" s="180" cm="1">
        <f t="array" ref="H127">_xlfn.SWITCH($C$11,1,U127,2,AH127)</f>
        <v>0</v>
      </c>
      <c r="I127" s="180" cm="1">
        <f t="array" ref="I127">_xlfn.SWITCH($C$11,1,V127,2,AI127)</f>
        <v>500</v>
      </c>
      <c r="J127" s="180" cm="1">
        <f t="array" ref="J127">_xlfn.SWITCH($C$11,1,W127,2,AJ127)</f>
        <v>875</v>
      </c>
      <c r="K127" s="180" cm="1">
        <f t="array" ref="K127">_xlfn.SWITCH($C$11,1,X127,2,AK127)</f>
        <v>1156.25</v>
      </c>
      <c r="L127" s="180" cm="1">
        <f t="array" ref="L127">_xlfn.SWITCH($C$11,1,Y127,2,AL127)</f>
        <v>1367.1875</v>
      </c>
      <c r="P127" s="49"/>
      <c r="Q127" s="49"/>
      <c r="R127" s="180"/>
      <c r="S127" s="180"/>
      <c r="T127" s="180"/>
      <c r="U127" s="180">
        <f>-U93</f>
        <v>0</v>
      </c>
      <c r="V127" s="180">
        <f>-V93</f>
        <v>500</v>
      </c>
      <c r="W127" s="180">
        <f>-W93</f>
        <v>875</v>
      </c>
      <c r="X127" s="180">
        <f>-X93</f>
        <v>1156.25</v>
      </c>
      <c r="Y127" s="180">
        <f>-Y93</f>
        <v>1367.1875</v>
      </c>
      <c r="AC127" s="49"/>
      <c r="AD127" s="49"/>
      <c r="AE127" s="180"/>
      <c r="AF127" s="180"/>
      <c r="AG127" s="180"/>
      <c r="AH127" s="180">
        <f>-AH93</f>
        <v>0</v>
      </c>
      <c r="AI127" s="180">
        <f>-AI93</f>
        <v>500</v>
      </c>
      <c r="AJ127" s="180">
        <f>-AJ93</f>
        <v>875</v>
      </c>
      <c r="AK127" s="180">
        <f>-AK93</f>
        <v>1156.25</v>
      </c>
      <c r="AL127" s="180">
        <f>-AL93</f>
        <v>1367.1875</v>
      </c>
    </row>
    <row r="128" spans="2:40" x14ac:dyDescent="0.2">
      <c r="B128" s="50" t="s">
        <v>22</v>
      </c>
      <c r="C128" s="50"/>
      <c r="D128" s="50"/>
      <c r="E128" s="180" cm="1">
        <f t="array" ref="E128">_xlfn.SWITCH($C$11,1,R128,2,AE128)</f>
        <v>0</v>
      </c>
      <c r="F128" s="180" cm="1">
        <f t="array" ref="F128">_xlfn.SWITCH($C$11,1,S128,2,AF128)</f>
        <v>0</v>
      </c>
      <c r="G128" s="180" cm="1">
        <f t="array" ref="G128">_xlfn.SWITCH($C$11,1,T128,2,AG128)</f>
        <v>0</v>
      </c>
      <c r="H128" s="180" cm="1">
        <f t="array" ref="H128">_xlfn.SWITCH($C$11,1,U128,2,AH128)</f>
        <v>0</v>
      </c>
      <c r="I128" s="180" cm="1">
        <f t="array" ref="I128">_xlfn.SWITCH($C$11,1,V128,2,AI128)</f>
        <v>0</v>
      </c>
      <c r="J128" s="180" cm="1">
        <f t="array" ref="J128">_xlfn.SWITCH($C$11,1,W128,2,AJ128)</f>
        <v>0</v>
      </c>
      <c r="K128" s="180" cm="1">
        <f t="array" ref="K128">_xlfn.SWITCH($C$11,1,X128,2,AK128)</f>
        <v>0</v>
      </c>
      <c r="L128" s="180" cm="1">
        <f t="array" ref="L128">_xlfn.SWITCH($C$11,1,Y128,2,AL128)</f>
        <v>0</v>
      </c>
      <c r="N128" s="70" t="s">
        <v>106</v>
      </c>
      <c r="P128" s="50"/>
      <c r="Q128" s="50"/>
      <c r="R128" s="180"/>
      <c r="S128" s="180"/>
      <c r="T128" s="180"/>
      <c r="U128" s="180"/>
      <c r="V128" s="180"/>
      <c r="W128" s="180"/>
      <c r="X128" s="180"/>
      <c r="Y128" s="180"/>
      <c r="AA128" s="70" t="s">
        <v>106</v>
      </c>
      <c r="AC128" s="50"/>
      <c r="AD128" s="50"/>
      <c r="AE128" s="180"/>
      <c r="AF128" s="180"/>
      <c r="AG128" s="180"/>
      <c r="AH128" s="180"/>
      <c r="AI128" s="180"/>
      <c r="AJ128" s="180"/>
      <c r="AK128" s="180"/>
      <c r="AL128" s="180"/>
      <c r="AN128" s="70" t="s">
        <v>106</v>
      </c>
    </row>
    <row r="129" spans="2:40" x14ac:dyDescent="0.2">
      <c r="B129" s="50" t="s">
        <v>75</v>
      </c>
      <c r="C129" s="50"/>
      <c r="D129" s="50"/>
      <c r="E129" s="180" cm="1">
        <f t="array" ref="E129">_xlfn.SWITCH($C$11,1,R129,2,AE129)</f>
        <v>0</v>
      </c>
      <c r="F129" s="180" cm="1">
        <f t="array" ref="F129">_xlfn.SWITCH($C$11,1,S129,2,AF129)</f>
        <v>0</v>
      </c>
      <c r="G129" s="180" cm="1">
        <f t="array" ref="G129">_xlfn.SWITCH($C$11,1,T129,2,AG129)</f>
        <v>0</v>
      </c>
      <c r="H129" s="180" cm="1">
        <f t="array" ref="H129">_xlfn.SWITCH($C$11,1,U129,2,AH129)</f>
        <v>0</v>
      </c>
      <c r="I129" s="180" cm="1">
        <f t="array" ref="I129">_xlfn.SWITCH($C$11,1,V129,2,AI129)</f>
        <v>0</v>
      </c>
      <c r="J129" s="180" cm="1">
        <f t="array" ref="J129">_xlfn.SWITCH($C$11,1,W129,2,AJ129)</f>
        <v>0</v>
      </c>
      <c r="K129" s="180" cm="1">
        <f t="array" ref="K129">_xlfn.SWITCH($C$11,1,X129,2,AK129)</f>
        <v>0</v>
      </c>
      <c r="L129" s="180" cm="1">
        <f t="array" ref="L129">_xlfn.SWITCH($C$11,1,Y129,2,AL129)</f>
        <v>0</v>
      </c>
      <c r="P129" s="50"/>
      <c r="Q129" s="50"/>
      <c r="R129" s="180"/>
      <c r="S129" s="180"/>
      <c r="T129" s="180"/>
      <c r="U129" s="180"/>
      <c r="V129" s="180"/>
      <c r="W129" s="180"/>
      <c r="X129" s="180"/>
      <c r="Y129" s="180"/>
      <c r="AC129" s="50"/>
      <c r="AD129" s="50"/>
      <c r="AE129" s="180"/>
      <c r="AF129" s="180"/>
      <c r="AG129" s="180"/>
      <c r="AH129" s="180"/>
      <c r="AI129" s="180"/>
      <c r="AJ129" s="180"/>
      <c r="AK129" s="180"/>
      <c r="AL129" s="180"/>
    </row>
    <row r="130" spans="2:40" x14ac:dyDescent="0.2">
      <c r="B130" s="51" t="s">
        <v>23</v>
      </c>
      <c r="C130" s="51"/>
      <c r="D130" s="51"/>
      <c r="E130" s="25">
        <f>SUM(E127:E129)</f>
        <v>0</v>
      </c>
      <c r="F130" s="25">
        <f t="shared" ref="F130:L130" si="153">SUM(F127:F129)</f>
        <v>0</v>
      </c>
      <c r="G130" s="25">
        <f t="shared" si="153"/>
        <v>0</v>
      </c>
      <c r="H130" s="25">
        <f t="shared" si="153"/>
        <v>0</v>
      </c>
      <c r="I130" s="25">
        <f t="shared" si="153"/>
        <v>500</v>
      </c>
      <c r="J130" s="25">
        <f t="shared" si="153"/>
        <v>875</v>
      </c>
      <c r="K130" s="25">
        <f t="shared" si="153"/>
        <v>1156.25</v>
      </c>
      <c r="L130" s="25">
        <f t="shared" si="153"/>
        <v>1367.1875</v>
      </c>
      <c r="P130" s="51"/>
      <c r="Q130" s="51"/>
      <c r="R130" s="25">
        <f>SUM(R127:R129)</f>
        <v>0</v>
      </c>
      <c r="S130" s="25">
        <f t="shared" ref="S130:Y130" si="154">SUM(S127:S129)</f>
        <v>0</v>
      </c>
      <c r="T130" s="25">
        <f t="shared" si="154"/>
        <v>0</v>
      </c>
      <c r="U130" s="25">
        <f t="shared" si="154"/>
        <v>0</v>
      </c>
      <c r="V130" s="25">
        <f t="shared" si="154"/>
        <v>500</v>
      </c>
      <c r="W130" s="25">
        <f t="shared" si="154"/>
        <v>875</v>
      </c>
      <c r="X130" s="25">
        <f t="shared" si="154"/>
        <v>1156.25</v>
      </c>
      <c r="Y130" s="25">
        <f t="shared" si="154"/>
        <v>1367.1875</v>
      </c>
      <c r="AC130" s="51"/>
      <c r="AD130" s="51"/>
      <c r="AE130" s="25">
        <f>SUM(AE127:AE129)</f>
        <v>0</v>
      </c>
      <c r="AF130" s="25">
        <f t="shared" ref="AF130:AL130" si="155">SUM(AF127:AF129)</f>
        <v>0</v>
      </c>
      <c r="AG130" s="25">
        <f t="shared" si="155"/>
        <v>0</v>
      </c>
      <c r="AH130" s="25">
        <f t="shared" si="155"/>
        <v>0</v>
      </c>
      <c r="AI130" s="25">
        <f t="shared" si="155"/>
        <v>500</v>
      </c>
      <c r="AJ130" s="25">
        <f t="shared" si="155"/>
        <v>875</v>
      </c>
      <c r="AK130" s="25">
        <f t="shared" si="155"/>
        <v>1156.25</v>
      </c>
      <c r="AL130" s="25">
        <f t="shared" si="155"/>
        <v>1367.1875</v>
      </c>
    </row>
    <row r="131" spans="2:40" x14ac:dyDescent="0.2">
      <c r="B131" s="55" t="s">
        <v>24</v>
      </c>
      <c r="C131" s="55"/>
      <c r="D131" s="55"/>
      <c r="E131" s="184">
        <f>E124-E130</f>
        <v>0</v>
      </c>
      <c r="F131" s="184">
        <f t="shared" ref="F131:L131" si="156">F124-F130</f>
        <v>0</v>
      </c>
      <c r="G131" s="184">
        <f t="shared" si="156"/>
        <v>0</v>
      </c>
      <c r="H131" s="184">
        <f t="shared" si="156"/>
        <v>23555.264981826382</v>
      </c>
      <c r="I131" s="184">
        <f t="shared" si="156"/>
        <v>73028.915783860706</v>
      </c>
      <c r="J131" s="184">
        <f t="shared" si="156"/>
        <v>129395.15173458062</v>
      </c>
      <c r="K131" s="184">
        <f t="shared" si="156"/>
        <v>165197.9897982369</v>
      </c>
      <c r="L131" s="184">
        <f t="shared" si="156"/>
        <v>168041.97881066467</v>
      </c>
      <c r="P131" s="55"/>
      <c r="Q131" s="55"/>
      <c r="R131" s="184">
        <f>R124-R130</f>
        <v>0</v>
      </c>
      <c r="S131" s="184">
        <f t="shared" ref="S131:Y131" si="157">S124-S130</f>
        <v>0</v>
      </c>
      <c r="T131" s="184">
        <f t="shared" si="157"/>
        <v>0</v>
      </c>
      <c r="U131" s="184">
        <f t="shared" si="157"/>
        <v>23555.264981826382</v>
      </c>
      <c r="V131" s="184">
        <f t="shared" si="157"/>
        <v>73028.915783860706</v>
      </c>
      <c r="W131" s="184">
        <f t="shared" si="157"/>
        <v>129395.15173458062</v>
      </c>
      <c r="X131" s="184">
        <f t="shared" si="157"/>
        <v>165197.9897982369</v>
      </c>
      <c r="Y131" s="184">
        <f t="shared" si="157"/>
        <v>168041.97881066467</v>
      </c>
      <c r="AC131" s="55"/>
      <c r="AD131" s="55"/>
      <c r="AE131" s="184">
        <f>AE124-AE130</f>
        <v>0</v>
      </c>
      <c r="AF131" s="184">
        <f t="shared" ref="AF131:AL131" si="158">AF124-AF130</f>
        <v>0</v>
      </c>
      <c r="AG131" s="184">
        <f t="shared" si="158"/>
        <v>0</v>
      </c>
      <c r="AH131" s="184">
        <f t="shared" si="158"/>
        <v>10469.006658589502</v>
      </c>
      <c r="AI131" s="184">
        <f t="shared" si="158"/>
        <v>25970.409682189853</v>
      </c>
      <c r="AJ131" s="184">
        <f t="shared" si="158"/>
        <v>44719.553107103202</v>
      </c>
      <c r="AK131" s="184">
        <f t="shared" si="158"/>
        <v>54295.163266078984</v>
      </c>
      <c r="AL131" s="184">
        <f t="shared" si="158"/>
        <v>51529.960348023887</v>
      </c>
    </row>
    <row r="132" spans="2:40" x14ac:dyDescent="0.2">
      <c r="B132" s="52"/>
      <c r="C132" s="52"/>
      <c r="D132" s="52"/>
      <c r="E132" s="182"/>
      <c r="F132" s="182"/>
      <c r="G132" s="182"/>
      <c r="H132" s="132"/>
      <c r="I132" s="132"/>
      <c r="J132" s="132"/>
      <c r="K132" s="132"/>
      <c r="L132" s="132"/>
      <c r="P132" s="52"/>
      <c r="Q132" s="52"/>
      <c r="R132" s="182"/>
      <c r="S132" s="182"/>
      <c r="T132" s="182"/>
      <c r="U132" s="132"/>
      <c r="V132" s="132"/>
      <c r="W132" s="132"/>
      <c r="X132" s="132"/>
      <c r="Y132" s="132"/>
      <c r="AC132" s="52"/>
      <c r="AD132" s="52"/>
      <c r="AE132" s="182"/>
      <c r="AF132" s="182"/>
      <c r="AG132" s="182"/>
      <c r="AH132" s="132"/>
      <c r="AI132" s="132"/>
      <c r="AJ132" s="132"/>
      <c r="AK132" s="132"/>
      <c r="AL132" s="132"/>
    </row>
    <row r="133" spans="2:40" x14ac:dyDescent="0.2">
      <c r="B133" s="50" t="s">
        <v>25</v>
      </c>
      <c r="C133" s="50"/>
      <c r="D133" s="50"/>
      <c r="E133" s="180" cm="1">
        <f t="array" ref="E133">_xlfn.SWITCH($C$11,1,R133,2,AE133)</f>
        <v>0</v>
      </c>
      <c r="F133" s="180" cm="1">
        <f t="array" ref="F133">_xlfn.SWITCH($C$11,1,S133,2,AF133)</f>
        <v>0</v>
      </c>
      <c r="G133" s="180" cm="1">
        <f t="array" ref="G133">_xlfn.SWITCH($C$11,1,T133,2,AG133)</f>
        <v>0</v>
      </c>
      <c r="H133" s="180" cm="1">
        <f t="array" ref="H133">_xlfn.SWITCH($C$11,1,U133,2,AH133)</f>
        <v>8244.342743639234</v>
      </c>
      <c r="I133" s="180" cm="1">
        <f t="array" ref="I133">_xlfn.SWITCH($C$11,1,V133,2,AI133)</f>
        <v>25560.120524351245</v>
      </c>
      <c r="J133" s="180" cm="1">
        <f t="array" ref="J133">_xlfn.SWITCH($C$11,1,W133,2,AJ133)</f>
        <v>45288.303107103216</v>
      </c>
      <c r="K133" s="180" cm="1">
        <f t="array" ref="K133">_xlfn.SWITCH($C$11,1,X133,2,AK133)</f>
        <v>57819.296429382914</v>
      </c>
      <c r="L133" s="180" cm="1">
        <f t="array" ref="L133">_xlfn.SWITCH($C$11,1,Y133,2,AL133)</f>
        <v>58814.692583732634</v>
      </c>
      <c r="P133" s="50"/>
      <c r="Q133" s="50"/>
      <c r="R133" s="180"/>
      <c r="S133" s="180"/>
      <c r="T133" s="180"/>
      <c r="U133" s="180">
        <f>IF(U131&gt;0,U131*U57,0)</f>
        <v>8244.342743639234</v>
      </c>
      <c r="V133" s="180">
        <f>IF(V131&gt;0,V131*V57,0)</f>
        <v>25560.120524351245</v>
      </c>
      <c r="W133" s="180">
        <f>IF(W131&gt;0,W131*W57,0)</f>
        <v>45288.303107103216</v>
      </c>
      <c r="X133" s="180">
        <f>IF(X131&gt;0,X131*X57,0)</f>
        <v>57819.296429382914</v>
      </c>
      <c r="Y133" s="180">
        <f>IF(Y131&gt;0,Y131*Y57,0)</f>
        <v>58814.692583732634</v>
      </c>
      <c r="AC133" s="50"/>
      <c r="AD133" s="50"/>
      <c r="AE133" s="180"/>
      <c r="AF133" s="180"/>
      <c r="AG133" s="180"/>
      <c r="AH133" s="180">
        <f>IF(AH131&gt;0,AH131*AH57,0)</f>
        <v>3664.1523305063256</v>
      </c>
      <c r="AI133" s="180">
        <f>IF(AI131&gt;0,AI131*AI57,0)</f>
        <v>9089.643388766448</v>
      </c>
      <c r="AJ133" s="180">
        <f>IF(AJ131&gt;0,AJ131*AJ57,0)</f>
        <v>15651.843587486119</v>
      </c>
      <c r="AK133" s="180">
        <f>IF(AK131&gt;0,AK131*AK57,0)</f>
        <v>19003.307143127644</v>
      </c>
      <c r="AL133" s="180">
        <f>IF(AL131&gt;0,AL131*AL57,0)</f>
        <v>18035.486121808361</v>
      </c>
    </row>
    <row r="134" spans="2:40" ht="10.8" thickBot="1" x14ac:dyDescent="0.25">
      <c r="B134" s="56" t="s">
        <v>26</v>
      </c>
      <c r="C134" s="56"/>
      <c r="D134" s="56"/>
      <c r="E134" s="185">
        <f>E131-E133</f>
        <v>0</v>
      </c>
      <c r="F134" s="185">
        <f t="shared" ref="F134:L134" si="159">F131-F133</f>
        <v>0</v>
      </c>
      <c r="G134" s="185">
        <f t="shared" si="159"/>
        <v>0</v>
      </c>
      <c r="H134" s="185">
        <f t="shared" si="159"/>
        <v>15310.922238187148</v>
      </c>
      <c r="I134" s="185">
        <f t="shared" si="159"/>
        <v>47468.795259509461</v>
      </c>
      <c r="J134" s="185">
        <f t="shared" si="159"/>
        <v>84106.848627477404</v>
      </c>
      <c r="K134" s="185">
        <f t="shared" si="159"/>
        <v>107378.69336885399</v>
      </c>
      <c r="L134" s="185">
        <f t="shared" si="159"/>
        <v>109227.28622693205</v>
      </c>
      <c r="P134" s="56"/>
      <c r="Q134" s="56"/>
      <c r="R134" s="185">
        <f>R131-R133</f>
        <v>0</v>
      </c>
      <c r="S134" s="185">
        <f t="shared" ref="S134:Y134" si="160">S131-S133</f>
        <v>0</v>
      </c>
      <c r="T134" s="185">
        <f t="shared" si="160"/>
        <v>0</v>
      </c>
      <c r="U134" s="185">
        <f t="shared" si="160"/>
        <v>15310.922238187148</v>
      </c>
      <c r="V134" s="185">
        <f t="shared" si="160"/>
        <v>47468.795259509461</v>
      </c>
      <c r="W134" s="185">
        <f t="shared" si="160"/>
        <v>84106.848627477404</v>
      </c>
      <c r="X134" s="185">
        <f t="shared" si="160"/>
        <v>107378.69336885399</v>
      </c>
      <c r="Y134" s="185">
        <f t="shared" si="160"/>
        <v>109227.28622693205</v>
      </c>
      <c r="AC134" s="56"/>
      <c r="AD134" s="56"/>
      <c r="AE134" s="185">
        <f>AE131-AE133</f>
        <v>0</v>
      </c>
      <c r="AF134" s="185">
        <f t="shared" ref="AF134:AL134" si="161">AF131-AF133</f>
        <v>0</v>
      </c>
      <c r="AG134" s="185">
        <f t="shared" si="161"/>
        <v>0</v>
      </c>
      <c r="AH134" s="185">
        <f t="shared" si="161"/>
        <v>6804.8543280831764</v>
      </c>
      <c r="AI134" s="185">
        <f t="shared" si="161"/>
        <v>16880.766293423403</v>
      </c>
      <c r="AJ134" s="185">
        <f t="shared" si="161"/>
        <v>29067.709519617085</v>
      </c>
      <c r="AK134" s="185">
        <f t="shared" si="161"/>
        <v>35291.856122951343</v>
      </c>
      <c r="AL134" s="185">
        <f t="shared" si="161"/>
        <v>33494.474226215527</v>
      </c>
    </row>
    <row r="135" spans="2:40" ht="10.8" thickTop="1" x14ac:dyDescent="0.2">
      <c r="B135" s="54" t="s">
        <v>86</v>
      </c>
      <c r="C135" s="54"/>
      <c r="D135" s="54"/>
      <c r="E135" s="134"/>
      <c r="F135" s="134"/>
      <c r="G135" s="134"/>
      <c r="H135" s="132"/>
      <c r="I135" s="132"/>
      <c r="J135" s="132"/>
      <c r="K135" s="132"/>
      <c r="L135" s="132"/>
      <c r="P135" s="54"/>
      <c r="Q135" s="54"/>
      <c r="R135" s="134"/>
      <c r="S135" s="134"/>
      <c r="T135" s="134"/>
      <c r="U135" s="132"/>
      <c r="V135" s="132"/>
      <c r="W135" s="132"/>
      <c r="X135" s="132"/>
      <c r="Y135" s="132"/>
      <c r="AC135" s="54"/>
      <c r="AD135" s="54"/>
      <c r="AE135" s="134"/>
      <c r="AF135" s="134"/>
      <c r="AG135" s="134"/>
      <c r="AH135" s="132"/>
      <c r="AI135" s="132"/>
      <c r="AJ135" s="132"/>
      <c r="AK135" s="132"/>
      <c r="AL135" s="132"/>
    </row>
    <row r="136" spans="2:40" x14ac:dyDescent="0.2">
      <c r="B136" s="57"/>
      <c r="C136" s="57"/>
      <c r="D136" s="57"/>
      <c r="E136" s="134"/>
      <c r="F136" s="134"/>
      <c r="G136" s="134"/>
      <c r="H136" s="132"/>
      <c r="I136" s="132"/>
      <c r="J136" s="132"/>
      <c r="K136" s="132"/>
      <c r="L136" s="132"/>
      <c r="P136" s="57"/>
      <c r="Q136" s="57"/>
      <c r="R136" s="134"/>
      <c r="S136" s="134"/>
      <c r="T136" s="134"/>
      <c r="U136" s="132"/>
      <c r="V136" s="132"/>
      <c r="W136" s="132"/>
      <c r="X136" s="132"/>
      <c r="Y136" s="132"/>
      <c r="AC136" s="57"/>
      <c r="AD136" s="57"/>
      <c r="AE136" s="134"/>
      <c r="AF136" s="134"/>
      <c r="AG136" s="134"/>
      <c r="AH136" s="132"/>
      <c r="AI136" s="132"/>
      <c r="AJ136" s="132"/>
      <c r="AK136" s="132"/>
      <c r="AL136" s="132"/>
    </row>
    <row r="137" spans="2:40" x14ac:dyDescent="0.2">
      <c r="B137" s="48" t="s">
        <v>27</v>
      </c>
      <c r="C137" s="48"/>
      <c r="D137" s="48"/>
      <c r="E137" s="36">
        <f>E$7</f>
        <v>2020</v>
      </c>
      <c r="F137" s="36">
        <f t="shared" ref="F137:L137" si="162">F$7</f>
        <v>2021</v>
      </c>
      <c r="G137" s="36">
        <f t="shared" si="162"/>
        <v>2022</v>
      </c>
      <c r="H137" s="36">
        <f t="shared" si="162"/>
        <v>2023</v>
      </c>
      <c r="I137" s="36">
        <f t="shared" si="162"/>
        <v>2024</v>
      </c>
      <c r="J137" s="36">
        <f t="shared" si="162"/>
        <v>2025</v>
      </c>
      <c r="K137" s="36">
        <f t="shared" si="162"/>
        <v>2026</v>
      </c>
      <c r="L137" s="36">
        <f t="shared" si="162"/>
        <v>2027</v>
      </c>
      <c r="P137" s="48"/>
      <c r="Q137" s="48"/>
      <c r="R137" s="36">
        <f>R$7</f>
        <v>2020</v>
      </c>
      <c r="S137" s="36">
        <f t="shared" ref="S137:Y137" si="163">S$7</f>
        <v>2021</v>
      </c>
      <c r="T137" s="36">
        <f t="shared" si="163"/>
        <v>2022</v>
      </c>
      <c r="U137" s="36">
        <f t="shared" si="163"/>
        <v>2023</v>
      </c>
      <c r="V137" s="36">
        <f t="shared" si="163"/>
        <v>2024</v>
      </c>
      <c r="W137" s="36">
        <f t="shared" si="163"/>
        <v>2025</v>
      </c>
      <c r="X137" s="36">
        <f t="shared" si="163"/>
        <v>2026</v>
      </c>
      <c r="Y137" s="36">
        <f t="shared" si="163"/>
        <v>2027</v>
      </c>
      <c r="AC137" s="48"/>
      <c r="AD137" s="48"/>
      <c r="AE137" s="36">
        <f>AE$7</f>
        <v>2020</v>
      </c>
      <c r="AF137" s="36">
        <f t="shared" ref="AF137:AL137" si="164">AF$7</f>
        <v>2021</v>
      </c>
      <c r="AG137" s="36">
        <f t="shared" si="164"/>
        <v>2022</v>
      </c>
      <c r="AH137" s="36">
        <f t="shared" si="164"/>
        <v>2023</v>
      </c>
      <c r="AI137" s="36">
        <f t="shared" si="164"/>
        <v>2024</v>
      </c>
      <c r="AJ137" s="36">
        <f t="shared" si="164"/>
        <v>2025</v>
      </c>
      <c r="AK137" s="36">
        <f t="shared" si="164"/>
        <v>2026</v>
      </c>
      <c r="AL137" s="36">
        <f t="shared" si="164"/>
        <v>2027</v>
      </c>
    </row>
    <row r="138" spans="2:40" x14ac:dyDescent="0.2">
      <c r="B138" s="58" t="s">
        <v>28</v>
      </c>
      <c r="C138" s="58"/>
      <c r="D138" s="58"/>
      <c r="E138" s="180"/>
      <c r="F138" s="180"/>
      <c r="G138" s="180"/>
      <c r="H138" s="132"/>
      <c r="I138" s="132"/>
      <c r="J138" s="132"/>
      <c r="K138" s="132"/>
      <c r="L138" s="132"/>
      <c r="P138" s="58"/>
      <c r="Q138" s="58"/>
      <c r="R138" s="180"/>
      <c r="S138" s="180"/>
      <c r="T138" s="180"/>
      <c r="U138" s="132"/>
      <c r="V138" s="132"/>
      <c r="W138" s="132"/>
      <c r="X138" s="132"/>
      <c r="Y138" s="132"/>
      <c r="AC138" s="58"/>
      <c r="AD138" s="58"/>
      <c r="AE138" s="180"/>
      <c r="AF138" s="180"/>
      <c r="AG138" s="180"/>
      <c r="AH138" s="132"/>
      <c r="AI138" s="132"/>
      <c r="AJ138" s="132"/>
      <c r="AK138" s="132"/>
      <c r="AL138" s="132"/>
    </row>
    <row r="139" spans="2:40" x14ac:dyDescent="0.2">
      <c r="B139" s="49" t="s">
        <v>29</v>
      </c>
      <c r="C139" s="49"/>
      <c r="D139" s="49"/>
      <c r="E139" s="180" cm="1">
        <f t="array" ref="E139">_xlfn.SWITCH($C$11,1,R139,2,AE139)</f>
        <v>0</v>
      </c>
      <c r="F139" s="180" cm="1">
        <f t="array" ref="F139">_xlfn.SWITCH($C$11,1,S139,2,AF139)</f>
        <v>0</v>
      </c>
      <c r="G139" s="180" cm="1">
        <f t="array" ref="G139">_xlfn.SWITCH($C$11,1,T139,2,AG139)</f>
        <v>0</v>
      </c>
      <c r="H139" s="180" cm="1">
        <f t="array" ref="H139">_xlfn.SWITCH($C$11,1,U139,2,AH139)</f>
        <v>10199.853380684272</v>
      </c>
      <c r="I139" s="180" cm="1">
        <f t="array" ref="I139">_xlfn.SWITCH($C$11,1,V139,2,AI139)</f>
        <v>42675.968642605963</v>
      </c>
      <c r="J139" s="180" cm="1">
        <f t="array" ref="J139">_xlfn.SWITCH($C$11,1,W139,2,AJ139)</f>
        <v>123726.37007586767</v>
      </c>
      <c r="K139" s="180" cm="1">
        <f t="array" ref="K139">_xlfn.SWITCH($C$11,1,X139,2,AK139)</f>
        <v>224039.65509222541</v>
      </c>
      <c r="L139" s="180" cm="1">
        <f t="array" ref="L139">_xlfn.SWITCH($C$11,1,Y139,2,AL139)</f>
        <v>340046.3896072862</v>
      </c>
      <c r="N139" s="39" t="s">
        <v>45</v>
      </c>
      <c r="P139" s="49"/>
      <c r="Q139" s="49"/>
      <c r="R139" s="180"/>
      <c r="S139" s="180"/>
      <c r="T139" s="180"/>
      <c r="U139" s="180">
        <f>U185</f>
        <v>10199.853380684272</v>
      </c>
      <c r="V139" s="180">
        <f t="shared" ref="V139:Y139" si="165">V185</f>
        <v>42675.968642605963</v>
      </c>
      <c r="W139" s="180">
        <f t="shared" si="165"/>
        <v>123726.37007586767</v>
      </c>
      <c r="X139" s="180">
        <f t="shared" si="165"/>
        <v>224039.65509222541</v>
      </c>
      <c r="Y139" s="180">
        <f t="shared" si="165"/>
        <v>340046.3896072862</v>
      </c>
      <c r="AA139" s="39" t="s">
        <v>45</v>
      </c>
      <c r="AC139" s="49"/>
      <c r="AD139" s="49"/>
      <c r="AE139" s="180"/>
      <c r="AF139" s="180"/>
      <c r="AG139" s="180"/>
      <c r="AH139" s="180">
        <f>AH185</f>
        <v>3422.157058081898</v>
      </c>
      <c r="AI139" s="180">
        <f t="shared" ref="AI139:AL139" si="166">AI185</f>
        <v>14470.983514974192</v>
      </c>
      <c r="AJ139" s="180">
        <f t="shared" si="166"/>
        <v>41544.336531117107</v>
      </c>
      <c r="AK139" s="180">
        <f t="shared" si="166"/>
        <v>74729.746390378554</v>
      </c>
      <c r="AL139" s="180">
        <f t="shared" si="166"/>
        <v>110138.82552446063</v>
      </c>
      <c r="AN139" s="39" t="s">
        <v>45</v>
      </c>
    </row>
    <row r="140" spans="2:40" x14ac:dyDescent="0.2">
      <c r="B140" s="49" t="s">
        <v>30</v>
      </c>
      <c r="C140" s="49"/>
      <c r="D140" s="49"/>
      <c r="E140" s="180" cm="1">
        <f t="array" ref="E140">_xlfn.SWITCH($C$11,1,R140,2,AE140)</f>
        <v>0</v>
      </c>
      <c r="F140" s="180" cm="1">
        <f t="array" ref="F140">_xlfn.SWITCH($C$11,1,S140,2,AF140)</f>
        <v>0</v>
      </c>
      <c r="G140" s="180" cm="1">
        <f t="array" ref="G140">_xlfn.SWITCH($C$11,1,T140,2,AG140)</f>
        <v>0</v>
      </c>
      <c r="H140" s="180" cm="1">
        <f t="array" ref="H140">_xlfn.SWITCH($C$11,1,U140,2,AH140)</f>
        <v>6070.6942687821256</v>
      </c>
      <c r="I140" s="180" cm="1">
        <f t="array" ref="I140">_xlfn.SWITCH($C$11,1,V140,2,AI140)</f>
        <v>26924.822031269254</v>
      </c>
      <c r="J140" s="180" cm="1">
        <f t="array" ref="J140">_xlfn.SWITCH($C$11,1,W140,2,AJ140)</f>
        <v>31059.820055052307</v>
      </c>
      <c r="K140" s="180" cm="1">
        <f t="array" ref="K140">_xlfn.SWITCH($C$11,1,X140,2,AK140)</f>
        <v>56094.840155830025</v>
      </c>
      <c r="L140" s="180" cm="1">
        <f t="array" ref="L140">_xlfn.SWITCH($C$11,1,Y140,2,AL140)</f>
        <v>75529.300273250672</v>
      </c>
      <c r="N140" s="39" t="s">
        <v>126</v>
      </c>
      <c r="P140" s="49"/>
      <c r="Q140" s="49"/>
      <c r="R140" s="180"/>
      <c r="S140" s="180"/>
      <c r="T140" s="180"/>
      <c r="U140" s="180">
        <f>U67</f>
        <v>6070.6942687821256</v>
      </c>
      <c r="V140" s="180">
        <f>V67</f>
        <v>26924.822031269254</v>
      </c>
      <c r="W140" s="180">
        <f>W67</f>
        <v>31059.820055052307</v>
      </c>
      <c r="X140" s="180">
        <f>X67</f>
        <v>56094.840155830025</v>
      </c>
      <c r="Y140" s="180">
        <f>Y67</f>
        <v>75529.300273250672</v>
      </c>
      <c r="AA140" s="39" t="s">
        <v>126</v>
      </c>
      <c r="AC140" s="49"/>
      <c r="AD140" s="49"/>
      <c r="AE140" s="180"/>
      <c r="AF140" s="180"/>
      <c r="AG140" s="180"/>
      <c r="AH140" s="180">
        <f>AH67</f>
        <v>2698.0863416809448</v>
      </c>
      <c r="AI140" s="180">
        <f>AI67</f>
        <v>9180.2995263375506</v>
      </c>
      <c r="AJ140" s="180">
        <f>AJ67</f>
        <v>11114.325203874994</v>
      </c>
      <c r="AK140" s="180">
        <f>AK67</f>
        <v>17937.228199752455</v>
      </c>
      <c r="AL140" s="180">
        <f>AL67</f>
        <v>23161.738097491107</v>
      </c>
      <c r="AN140" s="39" t="s">
        <v>126</v>
      </c>
    </row>
    <row r="141" spans="2:40" x14ac:dyDescent="0.2">
      <c r="B141" s="49" t="s">
        <v>31</v>
      </c>
      <c r="C141" s="49"/>
      <c r="D141" s="49"/>
      <c r="E141" s="180" cm="1">
        <f t="array" ref="E141">_xlfn.SWITCH($C$11,1,R141,2,AE141)</f>
        <v>0</v>
      </c>
      <c r="F141" s="180" cm="1">
        <f t="array" ref="F141">_xlfn.SWITCH($C$11,1,S141,2,AF141)</f>
        <v>0</v>
      </c>
      <c r="G141" s="180" cm="1">
        <f t="array" ref="G141">_xlfn.SWITCH($C$11,1,T141,2,AG141)</f>
        <v>0</v>
      </c>
      <c r="H141" s="180" cm="1">
        <f t="array" ref="H141">_xlfn.SWITCH($C$11,1,U141,2,AH141)</f>
        <v>0</v>
      </c>
      <c r="I141" s="180" cm="1">
        <f t="array" ref="I141">_xlfn.SWITCH($C$11,1,V141,2,AI141)</f>
        <v>0</v>
      </c>
      <c r="J141" s="180" cm="1">
        <f t="array" ref="J141">_xlfn.SWITCH($C$11,1,W141,2,AJ141)</f>
        <v>0</v>
      </c>
      <c r="K141" s="180" cm="1">
        <f t="array" ref="K141">_xlfn.SWITCH($C$11,1,X141,2,AK141)</f>
        <v>0</v>
      </c>
      <c r="L141" s="180" cm="1">
        <f t="array" ref="L141">_xlfn.SWITCH($C$11,1,Y141,2,AL141)</f>
        <v>0</v>
      </c>
      <c r="N141" s="39" t="s">
        <v>152</v>
      </c>
      <c r="P141" s="49"/>
      <c r="Q141" s="49"/>
      <c r="R141" s="180"/>
      <c r="S141" s="180"/>
      <c r="T141" s="180"/>
      <c r="U141" s="180"/>
      <c r="V141" s="180"/>
      <c r="W141" s="180"/>
      <c r="X141" s="180"/>
      <c r="Y141" s="180"/>
      <c r="AA141" s="39" t="s">
        <v>152</v>
      </c>
      <c r="AC141" s="49"/>
      <c r="AD141" s="49"/>
      <c r="AE141" s="180"/>
      <c r="AF141" s="180"/>
      <c r="AG141" s="180"/>
      <c r="AH141" s="180"/>
      <c r="AI141" s="180"/>
      <c r="AJ141" s="180"/>
      <c r="AK141" s="180"/>
      <c r="AL141" s="180"/>
      <c r="AN141" s="39" t="s">
        <v>152</v>
      </c>
    </row>
    <row r="142" spans="2:40" x14ac:dyDescent="0.2">
      <c r="B142" s="49" t="s">
        <v>32</v>
      </c>
      <c r="C142" s="49"/>
      <c r="D142" s="49"/>
      <c r="E142" s="180" cm="1">
        <f t="array" ref="E142">_xlfn.SWITCH($C$11,1,R142,2,AE142)</f>
        <v>0</v>
      </c>
      <c r="F142" s="180" cm="1">
        <f t="array" ref="F142">_xlfn.SWITCH($C$11,1,S142,2,AF142)</f>
        <v>0</v>
      </c>
      <c r="G142" s="180" cm="1">
        <f t="array" ref="G142">_xlfn.SWITCH($C$11,1,T142,2,AG142)</f>
        <v>0</v>
      </c>
      <c r="H142" s="180" cm="1">
        <f t="array" ref="H142">_xlfn.SWITCH($C$11,1,U142,2,AH142)</f>
        <v>3152.5295885618616</v>
      </c>
      <c r="I142" s="180" cm="1">
        <f t="array" ref="I142">_xlfn.SWITCH($C$11,1,V142,2,AI142)</f>
        <v>10671.984986732003</v>
      </c>
      <c r="J142" s="180" cm="1">
        <f t="array" ref="J142">_xlfn.SWITCH($C$11,1,W142,2,AJ142)</f>
        <v>13574.193957571273</v>
      </c>
      <c r="K142" s="180" cm="1">
        <f t="array" ref="K142">_xlfn.SWITCH($C$11,1,X142,2,AK142)</f>
        <v>31866.082667626746</v>
      </c>
      <c r="L142" s="180" cm="1">
        <f t="array" ref="L142">_xlfn.SWITCH($C$11,1,Y142,2,AL142)</f>
        <v>63490.617063891608</v>
      </c>
      <c r="N142" s="39" t="s">
        <v>126</v>
      </c>
      <c r="P142" s="49"/>
      <c r="Q142" s="49"/>
      <c r="R142" s="180"/>
      <c r="S142" s="180"/>
      <c r="T142" s="180"/>
      <c r="U142" s="180">
        <f>U75</f>
        <v>3152.5295885618616</v>
      </c>
      <c r="V142" s="180">
        <f>V75</f>
        <v>10671.984986732003</v>
      </c>
      <c r="W142" s="180">
        <f>W75</f>
        <v>13574.193957571273</v>
      </c>
      <c r="X142" s="180">
        <f>X75</f>
        <v>31866.082667626746</v>
      </c>
      <c r="Y142" s="180">
        <f>Y75</f>
        <v>63490.617063891608</v>
      </c>
      <c r="AA142" s="39" t="s">
        <v>126</v>
      </c>
      <c r="AC142" s="49"/>
      <c r="AD142" s="49"/>
      <c r="AE142" s="180"/>
      <c r="AF142" s="180"/>
      <c r="AG142" s="180"/>
      <c r="AH142" s="180">
        <f>AH75</f>
        <v>1401.1242615830499</v>
      </c>
      <c r="AI142" s="180">
        <f>AI75</f>
        <v>3575.7009855227398</v>
      </c>
      <c r="AJ142" s="180">
        <f>AJ75</f>
        <v>4910.4616449834093</v>
      </c>
      <c r="AK142" s="180">
        <f>AK75</f>
        <v>10236.2972300826</v>
      </c>
      <c r="AL142" s="180">
        <f>AL75</f>
        <v>19538.345747309868</v>
      </c>
      <c r="AN142" s="39" t="s">
        <v>126</v>
      </c>
    </row>
    <row r="143" spans="2:40" x14ac:dyDescent="0.2">
      <c r="B143" s="49" t="s">
        <v>33</v>
      </c>
      <c r="C143" s="49"/>
      <c r="D143" s="49"/>
      <c r="E143" s="180" cm="1">
        <f t="array" ref="E143">_xlfn.SWITCH($C$11,1,R143,2,AE143)</f>
        <v>0</v>
      </c>
      <c r="F143" s="180" cm="1">
        <f t="array" ref="F143">_xlfn.SWITCH($C$11,1,S143,2,AF143)</f>
        <v>0</v>
      </c>
      <c r="G143" s="180" cm="1">
        <f t="array" ref="G143">_xlfn.SWITCH($C$11,1,T143,2,AG143)</f>
        <v>0</v>
      </c>
      <c r="H143" s="180" cm="1">
        <f t="array" ref="H143">_xlfn.SWITCH($C$11,1,U143,2,AH143)</f>
        <v>2000</v>
      </c>
      <c r="I143" s="180" cm="1">
        <f t="array" ref="I143">_xlfn.SWITCH($C$11,1,V143,2,AI143)</f>
        <v>3500</v>
      </c>
      <c r="J143" s="180" cm="1">
        <f t="array" ref="J143">_xlfn.SWITCH($C$11,1,W143,2,AJ143)</f>
        <v>4625</v>
      </c>
      <c r="K143" s="180" cm="1">
        <f t="array" ref="K143">_xlfn.SWITCH($C$11,1,X143,2,AK143)</f>
        <v>5468.75</v>
      </c>
      <c r="L143" s="180" cm="1">
        <f t="array" ref="L143">_xlfn.SWITCH($C$11,1,Y143,2,AL143)</f>
        <v>6101.5625</v>
      </c>
      <c r="N143" s="39" t="s">
        <v>153</v>
      </c>
      <c r="P143" s="49"/>
      <c r="Q143" s="49"/>
      <c r="R143" s="180"/>
      <c r="S143" s="180"/>
      <c r="T143" s="180"/>
      <c r="U143" s="180">
        <f>U96</f>
        <v>2000</v>
      </c>
      <c r="V143" s="180">
        <f>V96</f>
        <v>3500</v>
      </c>
      <c r="W143" s="180">
        <f>W96</f>
        <v>4625</v>
      </c>
      <c r="X143" s="180">
        <f>X96</f>
        <v>5468.75</v>
      </c>
      <c r="Y143" s="180">
        <f>Y96</f>
        <v>6101.5625</v>
      </c>
      <c r="AA143" s="39" t="s">
        <v>153</v>
      </c>
      <c r="AC143" s="49"/>
      <c r="AD143" s="49"/>
      <c r="AE143" s="180"/>
      <c r="AF143" s="180"/>
      <c r="AG143" s="180"/>
      <c r="AH143" s="180">
        <f>AH96</f>
        <v>2000</v>
      </c>
      <c r="AI143" s="180">
        <f>AI96</f>
        <v>3500</v>
      </c>
      <c r="AJ143" s="180">
        <f>AJ96</f>
        <v>4625</v>
      </c>
      <c r="AK143" s="180">
        <f>AK96</f>
        <v>5468.75</v>
      </c>
      <c r="AL143" s="180">
        <f>AL96</f>
        <v>6101.5625</v>
      </c>
      <c r="AN143" s="39" t="s">
        <v>153</v>
      </c>
    </row>
    <row r="144" spans="2:40" x14ac:dyDescent="0.2">
      <c r="B144" s="49" t="s">
        <v>76</v>
      </c>
      <c r="C144" s="49"/>
      <c r="D144" s="49"/>
      <c r="E144" s="180" cm="1">
        <f t="array" ref="E144">_xlfn.SWITCH($C$11,1,R144,2,AE144)</f>
        <v>0</v>
      </c>
      <c r="F144" s="180" cm="1">
        <f t="array" ref="F144">_xlfn.SWITCH($C$11,1,S144,2,AF144)</f>
        <v>0</v>
      </c>
      <c r="G144" s="180" cm="1">
        <f t="array" ref="G144">_xlfn.SWITCH($C$11,1,T144,2,AG144)</f>
        <v>0</v>
      </c>
      <c r="H144" s="180" cm="1">
        <f t="array" ref="H144">_xlfn.SWITCH($C$11,1,U144,2,AH144)</f>
        <v>0</v>
      </c>
      <c r="I144" s="180" cm="1">
        <f t="array" ref="I144">_xlfn.SWITCH($C$11,1,V144,2,AI144)</f>
        <v>0</v>
      </c>
      <c r="J144" s="180" cm="1">
        <f t="array" ref="J144">_xlfn.SWITCH($C$11,1,W144,2,AJ144)</f>
        <v>0</v>
      </c>
      <c r="K144" s="180" cm="1">
        <f t="array" ref="K144">_xlfn.SWITCH($C$11,1,X144,2,AK144)</f>
        <v>0</v>
      </c>
      <c r="L144" s="180" cm="1">
        <f t="array" ref="L144">_xlfn.SWITCH($C$11,1,Y144,2,AL144)</f>
        <v>0</v>
      </c>
      <c r="N144" s="39" t="s">
        <v>154</v>
      </c>
      <c r="P144" s="49"/>
      <c r="Q144" s="49"/>
      <c r="R144" s="180"/>
      <c r="S144" s="180"/>
      <c r="T144" s="180"/>
      <c r="U144" s="180"/>
      <c r="V144" s="180"/>
      <c r="W144" s="180"/>
      <c r="X144" s="180"/>
      <c r="Y144" s="180"/>
      <c r="AA144" s="39" t="s">
        <v>154</v>
      </c>
      <c r="AC144" s="49"/>
      <c r="AD144" s="49"/>
      <c r="AE144" s="180"/>
      <c r="AF144" s="180"/>
      <c r="AG144" s="180"/>
      <c r="AH144" s="180"/>
      <c r="AI144" s="180"/>
      <c r="AJ144" s="180"/>
      <c r="AK144" s="180"/>
      <c r="AL144" s="180"/>
      <c r="AN144" s="39" t="s">
        <v>154</v>
      </c>
    </row>
    <row r="145" spans="2:40" x14ac:dyDescent="0.2">
      <c r="B145" s="49" t="s">
        <v>77</v>
      </c>
      <c r="C145" s="49"/>
      <c r="D145" s="49"/>
      <c r="E145" s="180" cm="1">
        <f t="array" ref="E145">_xlfn.SWITCH($C$11,1,R145,2,AE145)</f>
        <v>0</v>
      </c>
      <c r="F145" s="180" cm="1">
        <f t="array" ref="F145">_xlfn.SWITCH($C$11,1,S145,2,AF145)</f>
        <v>0</v>
      </c>
      <c r="G145" s="180" cm="1">
        <f t="array" ref="G145">_xlfn.SWITCH($C$11,1,T145,2,AG145)</f>
        <v>0</v>
      </c>
      <c r="H145" s="180" cm="1">
        <f t="array" ref="H145">_xlfn.SWITCH($C$11,1,U145,2,AH145)</f>
        <v>0</v>
      </c>
      <c r="I145" s="180" cm="1">
        <f t="array" ref="I145">_xlfn.SWITCH($C$11,1,V145,2,AI145)</f>
        <v>0</v>
      </c>
      <c r="J145" s="180" cm="1">
        <f t="array" ref="J145">_xlfn.SWITCH($C$11,1,W145,2,AJ145)</f>
        <v>0</v>
      </c>
      <c r="K145" s="180" cm="1">
        <f t="array" ref="K145">_xlfn.SWITCH($C$11,1,X145,2,AK145)</f>
        <v>0</v>
      </c>
      <c r="L145" s="180" cm="1">
        <f t="array" ref="L145">_xlfn.SWITCH($C$11,1,Y145,2,AL145)</f>
        <v>0</v>
      </c>
      <c r="N145" s="39" t="s">
        <v>152</v>
      </c>
      <c r="P145" s="49"/>
      <c r="Q145" s="49"/>
      <c r="R145" s="180"/>
      <c r="S145" s="180"/>
      <c r="T145" s="180"/>
      <c r="U145" s="180"/>
      <c r="V145" s="180"/>
      <c r="W145" s="180"/>
      <c r="X145" s="180"/>
      <c r="Y145" s="180"/>
      <c r="AA145" s="39" t="s">
        <v>152</v>
      </c>
      <c r="AC145" s="49"/>
      <c r="AD145" s="49"/>
      <c r="AE145" s="180"/>
      <c r="AF145" s="180"/>
      <c r="AG145" s="180"/>
      <c r="AH145" s="180"/>
      <c r="AI145" s="180"/>
      <c r="AJ145" s="180"/>
      <c r="AK145" s="180"/>
      <c r="AL145" s="180"/>
      <c r="AN145" s="39" t="s">
        <v>152</v>
      </c>
    </row>
    <row r="146" spans="2:40" ht="10.8" thickBot="1" x14ac:dyDescent="0.25">
      <c r="B146" s="56" t="s">
        <v>34</v>
      </c>
      <c r="C146" s="56"/>
      <c r="D146" s="56"/>
      <c r="E146" s="185">
        <f>SUM(E139:E145)</f>
        <v>0</v>
      </c>
      <c r="F146" s="185">
        <f t="shared" ref="F146:L146" si="167">SUM(F139:F145)</f>
        <v>0</v>
      </c>
      <c r="G146" s="185">
        <f t="shared" si="167"/>
        <v>0</v>
      </c>
      <c r="H146" s="185">
        <f t="shared" si="167"/>
        <v>21423.077238028258</v>
      </c>
      <c r="I146" s="185">
        <f t="shared" si="167"/>
        <v>83772.775660607222</v>
      </c>
      <c r="J146" s="185">
        <f t="shared" si="167"/>
        <v>172985.38408849124</v>
      </c>
      <c r="K146" s="185">
        <f t="shared" si="167"/>
        <v>317469.32791568217</v>
      </c>
      <c r="L146" s="185">
        <f t="shared" si="167"/>
        <v>485167.86944442848</v>
      </c>
      <c r="P146" s="56"/>
      <c r="Q146" s="56"/>
      <c r="R146" s="185">
        <f>SUM(R139:R145)</f>
        <v>0</v>
      </c>
      <c r="S146" s="185">
        <f t="shared" ref="S146:Y146" si="168">SUM(S139:S145)</f>
        <v>0</v>
      </c>
      <c r="T146" s="185">
        <f t="shared" si="168"/>
        <v>0</v>
      </c>
      <c r="U146" s="185">
        <f t="shared" si="168"/>
        <v>21423.077238028258</v>
      </c>
      <c r="V146" s="185">
        <f t="shared" si="168"/>
        <v>83772.775660607222</v>
      </c>
      <c r="W146" s="185">
        <f t="shared" si="168"/>
        <v>172985.38408849124</v>
      </c>
      <c r="X146" s="185">
        <f t="shared" si="168"/>
        <v>317469.32791568217</v>
      </c>
      <c r="Y146" s="185">
        <f t="shared" si="168"/>
        <v>485167.86944442848</v>
      </c>
      <c r="AC146" s="56"/>
      <c r="AD146" s="56"/>
      <c r="AE146" s="185">
        <f>SUM(AE139:AE145)</f>
        <v>0</v>
      </c>
      <c r="AF146" s="185">
        <f t="shared" ref="AF146:AL146" si="169">SUM(AF139:AF145)</f>
        <v>0</v>
      </c>
      <c r="AG146" s="185">
        <f t="shared" si="169"/>
        <v>0</v>
      </c>
      <c r="AH146" s="185">
        <f t="shared" si="169"/>
        <v>9521.367661345892</v>
      </c>
      <c r="AI146" s="185">
        <f t="shared" si="169"/>
        <v>30726.984026834481</v>
      </c>
      <c r="AJ146" s="185">
        <f t="shared" si="169"/>
        <v>62194.123379975506</v>
      </c>
      <c r="AK146" s="185">
        <f t="shared" si="169"/>
        <v>108372.02182021362</v>
      </c>
      <c r="AL146" s="185">
        <f t="shared" si="169"/>
        <v>158940.47186926159</v>
      </c>
    </row>
    <row r="147" spans="2:40" ht="10.8" thickTop="1" x14ac:dyDescent="0.2">
      <c r="B147" s="52"/>
      <c r="C147" s="52"/>
      <c r="D147" s="52"/>
      <c r="E147" s="182"/>
      <c r="F147" s="182"/>
      <c r="G147" s="182"/>
      <c r="H147" s="132"/>
      <c r="I147" s="132"/>
      <c r="J147" s="132"/>
      <c r="K147" s="132"/>
      <c r="L147" s="132"/>
      <c r="P147" s="52"/>
      <c r="Q147" s="52"/>
      <c r="R147" s="182"/>
      <c r="S147" s="182"/>
      <c r="T147" s="182"/>
      <c r="U147" s="132"/>
      <c r="V147" s="132"/>
      <c r="W147" s="132"/>
      <c r="X147" s="132"/>
      <c r="Y147" s="132"/>
      <c r="AC147" s="52"/>
      <c r="AD147" s="52"/>
      <c r="AE147" s="182"/>
      <c r="AF147" s="182"/>
      <c r="AG147" s="182"/>
      <c r="AH147" s="132"/>
      <c r="AI147" s="132"/>
      <c r="AJ147" s="132"/>
      <c r="AK147" s="132"/>
      <c r="AL147" s="132"/>
    </row>
    <row r="148" spans="2:40" x14ac:dyDescent="0.2">
      <c r="B148" s="58" t="s">
        <v>35</v>
      </c>
      <c r="C148" s="58"/>
      <c r="D148" s="58"/>
      <c r="E148" s="180"/>
      <c r="F148" s="180"/>
      <c r="G148" s="180"/>
      <c r="H148" s="132"/>
      <c r="I148" s="132"/>
      <c r="J148" s="132"/>
      <c r="K148" s="132"/>
      <c r="L148" s="132"/>
      <c r="P148" s="58"/>
      <c r="Q148" s="58"/>
      <c r="R148" s="180"/>
      <c r="S148" s="180"/>
      <c r="T148" s="180"/>
      <c r="U148" s="132"/>
      <c r="V148" s="132"/>
      <c r="W148" s="132"/>
      <c r="X148" s="132"/>
      <c r="Y148" s="132"/>
      <c r="AC148" s="58"/>
      <c r="AD148" s="58"/>
      <c r="AE148" s="180"/>
      <c r="AF148" s="180"/>
      <c r="AG148" s="180"/>
      <c r="AH148" s="132"/>
      <c r="AI148" s="132"/>
      <c r="AJ148" s="132"/>
      <c r="AK148" s="132"/>
      <c r="AL148" s="132"/>
    </row>
    <row r="149" spans="2:40" x14ac:dyDescent="0.2">
      <c r="B149" s="49" t="s">
        <v>36</v>
      </c>
      <c r="C149" s="49"/>
      <c r="D149" s="49"/>
      <c r="E149" s="180" cm="1">
        <f t="array" ref="E149">_xlfn.SWITCH($C$11,1,R149,2,AE149)</f>
        <v>0</v>
      </c>
      <c r="F149" s="180" cm="1">
        <f t="array" ref="F149">_xlfn.SWITCH($C$11,1,S149,2,AF149)</f>
        <v>0</v>
      </c>
      <c r="G149" s="180" cm="1">
        <f t="array" ref="G149">_xlfn.SWITCH($C$11,1,T149,2,AG149)</f>
        <v>0</v>
      </c>
      <c r="H149" s="180" cm="1">
        <f t="array" ref="H149">_xlfn.SWITCH($C$11,1,U149,2,AH149)</f>
        <v>6112.1549998411092</v>
      </c>
      <c r="I149" s="180" cm="1">
        <f t="array" ref="I149">_xlfn.SWITCH($C$11,1,V149,2,AI149)</f>
        <v>20993.058162910609</v>
      </c>
      <c r="J149" s="180" cm="1">
        <f t="array" ref="J149">_xlfn.SWITCH($C$11,1,W149,2,AJ149)</f>
        <v>26098.817963317233</v>
      </c>
      <c r="K149" s="180" cm="1">
        <f t="array" ref="K149">_xlfn.SWITCH($C$11,1,X149,2,AK149)</f>
        <v>63204.068421654163</v>
      </c>
      <c r="L149" s="180" cm="1">
        <f t="array" ref="L149">_xlfn.SWITCH($C$11,1,Y149,2,AL149)</f>
        <v>121675.32372346838</v>
      </c>
      <c r="N149" s="39" t="s">
        <v>126</v>
      </c>
      <c r="P149" s="49"/>
      <c r="Q149" s="49"/>
      <c r="R149" s="180"/>
      <c r="S149" s="180"/>
      <c r="T149" s="180"/>
      <c r="U149" s="180">
        <f>U83</f>
        <v>6112.1549998411092</v>
      </c>
      <c r="V149" s="180">
        <f>V83</f>
        <v>20993.058162910609</v>
      </c>
      <c r="W149" s="180">
        <f>W83</f>
        <v>26098.817963317233</v>
      </c>
      <c r="X149" s="180">
        <f>X83</f>
        <v>63204.068421654163</v>
      </c>
      <c r="Y149" s="180">
        <f>Y83</f>
        <v>121675.32372346838</v>
      </c>
      <c r="AA149" s="39" t="s">
        <v>126</v>
      </c>
      <c r="AC149" s="49"/>
      <c r="AD149" s="49"/>
      <c r="AE149" s="180"/>
      <c r="AF149" s="180"/>
      <c r="AG149" s="180"/>
      <c r="AH149" s="180">
        <f>AH83</f>
        <v>2716.5133332627165</v>
      </c>
      <c r="AI149" s="180">
        <f>AI83</f>
        <v>7041.3634053279011</v>
      </c>
      <c r="AJ149" s="180">
        <f>AJ83</f>
        <v>9440.7932388518493</v>
      </c>
      <c r="AK149" s="180">
        <f>AK83</f>
        <v>20326.835556138609</v>
      </c>
      <c r="AL149" s="180">
        <f>AL83</f>
        <v>37400.811378971077</v>
      </c>
      <c r="AN149" s="39" t="s">
        <v>126</v>
      </c>
    </row>
    <row r="150" spans="2:40" x14ac:dyDescent="0.2">
      <c r="B150" s="49" t="s">
        <v>37</v>
      </c>
      <c r="C150" s="49"/>
      <c r="D150" s="49"/>
      <c r="E150" s="180" cm="1">
        <f t="array" ref="E150">_xlfn.SWITCH($C$11,1,R150,2,AE150)</f>
        <v>0</v>
      </c>
      <c r="F150" s="180" cm="1">
        <f t="array" ref="F150">_xlfn.SWITCH($C$11,1,S150,2,AF150)</f>
        <v>0</v>
      </c>
      <c r="G150" s="180" cm="1">
        <f t="array" ref="G150">_xlfn.SWITCH($C$11,1,T150,2,AG150)</f>
        <v>0</v>
      </c>
      <c r="H150" s="180" cm="1">
        <f t="array" ref="H150">_xlfn.SWITCH($C$11,1,U150,2,AH150)</f>
        <v>0</v>
      </c>
      <c r="I150" s="180" cm="1">
        <f t="array" ref="I150">_xlfn.SWITCH($C$11,1,V150,2,AI150)</f>
        <v>0</v>
      </c>
      <c r="J150" s="180" cm="1">
        <f t="array" ref="J150">_xlfn.SWITCH($C$11,1,W150,2,AJ150)</f>
        <v>0</v>
      </c>
      <c r="K150" s="180" cm="1">
        <f t="array" ref="K150">_xlfn.SWITCH($C$11,1,X150,2,AK150)</f>
        <v>0</v>
      </c>
      <c r="L150" s="180" cm="1">
        <f t="array" ref="L150">_xlfn.SWITCH($C$11,1,Y150,2,AL150)</f>
        <v>0</v>
      </c>
      <c r="N150" s="39" t="s">
        <v>152</v>
      </c>
      <c r="P150" s="49"/>
      <c r="Q150" s="49"/>
      <c r="R150" s="180"/>
      <c r="S150" s="180"/>
      <c r="T150" s="180"/>
      <c r="U150" s="180"/>
      <c r="V150" s="180"/>
      <c r="W150" s="180"/>
      <c r="X150" s="180"/>
      <c r="Y150" s="180"/>
      <c r="AA150" s="39" t="s">
        <v>152</v>
      </c>
      <c r="AC150" s="49"/>
      <c r="AD150" s="49"/>
      <c r="AE150" s="180"/>
      <c r="AF150" s="180"/>
      <c r="AG150" s="180"/>
      <c r="AH150" s="180"/>
      <c r="AI150" s="180"/>
      <c r="AJ150" s="180"/>
      <c r="AK150" s="180"/>
      <c r="AL150" s="180"/>
      <c r="AN150" s="39" t="s">
        <v>152</v>
      </c>
    </row>
    <row r="151" spans="2:40" x14ac:dyDescent="0.2">
      <c r="B151" s="49" t="s">
        <v>38</v>
      </c>
      <c r="C151" s="49"/>
      <c r="D151" s="49"/>
      <c r="E151" s="180" cm="1">
        <f t="array" ref="E151">_xlfn.SWITCH($C$11,1,R151,2,AE151)</f>
        <v>0</v>
      </c>
      <c r="F151" s="180" cm="1">
        <f t="array" ref="F151">_xlfn.SWITCH($C$11,1,S151,2,AF151)</f>
        <v>0</v>
      </c>
      <c r="G151" s="180" cm="1">
        <f t="array" ref="G151">_xlfn.SWITCH($C$11,1,T151,2,AG151)</f>
        <v>0</v>
      </c>
      <c r="H151" s="180" cm="1">
        <f t="array" ref="H151">_xlfn.SWITCH($C$11,1,U151,2,AH151)</f>
        <v>0</v>
      </c>
      <c r="I151" s="180" cm="1">
        <f t="array" ref="I151">_xlfn.SWITCH($C$11,1,V151,2,AI151)</f>
        <v>0</v>
      </c>
      <c r="J151" s="180" cm="1">
        <f t="array" ref="J151">_xlfn.SWITCH($C$11,1,W151,2,AJ151)</f>
        <v>0</v>
      </c>
      <c r="K151" s="180" cm="1">
        <f t="array" ref="K151">_xlfn.SWITCH($C$11,1,X151,2,AK151)</f>
        <v>0</v>
      </c>
      <c r="L151" s="180" cm="1">
        <f t="array" ref="L151">_xlfn.SWITCH($C$11,1,Y151,2,AL151)</f>
        <v>0</v>
      </c>
      <c r="N151" s="39" t="s">
        <v>106</v>
      </c>
      <c r="P151" s="49"/>
      <c r="Q151" s="49"/>
      <c r="R151" s="180"/>
      <c r="S151" s="180"/>
      <c r="T151" s="180"/>
      <c r="U151" s="180"/>
      <c r="V151" s="180"/>
      <c r="W151" s="180"/>
      <c r="X151" s="180"/>
      <c r="Y151" s="180"/>
      <c r="AA151" s="39" t="s">
        <v>106</v>
      </c>
      <c r="AC151" s="49"/>
      <c r="AD151" s="49"/>
      <c r="AE151" s="180"/>
      <c r="AF151" s="180"/>
      <c r="AG151" s="180"/>
      <c r="AH151" s="180"/>
      <c r="AI151" s="180"/>
      <c r="AJ151" s="180"/>
      <c r="AK151" s="180"/>
      <c r="AL151" s="180"/>
      <c r="AN151" s="39" t="s">
        <v>106</v>
      </c>
    </row>
    <row r="152" spans="2:40" x14ac:dyDescent="0.2">
      <c r="B152" s="44" t="s">
        <v>87</v>
      </c>
      <c r="C152" s="44"/>
      <c r="D152" s="44"/>
      <c r="E152" s="180" cm="1">
        <f t="array" ref="E152">_xlfn.SWITCH($C$11,1,R152,2,AE152)</f>
        <v>0</v>
      </c>
      <c r="F152" s="180" cm="1">
        <f t="array" ref="F152">_xlfn.SWITCH($C$11,1,S152,2,AF152)</f>
        <v>0</v>
      </c>
      <c r="G152" s="180" cm="1">
        <f t="array" ref="G152">_xlfn.SWITCH($C$11,1,T152,2,AG152)</f>
        <v>0</v>
      </c>
      <c r="H152" s="180" cm="1">
        <f t="array" ref="H152">_xlfn.SWITCH($C$11,1,U152,2,AH152)</f>
        <v>0</v>
      </c>
      <c r="I152" s="180" cm="1">
        <f t="array" ref="I152">_xlfn.SWITCH($C$11,1,V152,2,AI152)</f>
        <v>0</v>
      </c>
      <c r="J152" s="180" cm="1">
        <f t="array" ref="J152">_xlfn.SWITCH($C$11,1,W152,2,AJ152)</f>
        <v>0</v>
      </c>
      <c r="K152" s="180" cm="1">
        <f t="array" ref="K152">_xlfn.SWITCH($C$11,1,X152,2,AK152)</f>
        <v>0</v>
      </c>
      <c r="L152" s="180" cm="1">
        <f t="array" ref="L152">_xlfn.SWITCH($C$11,1,Y152,2,AL152)</f>
        <v>0</v>
      </c>
      <c r="N152" s="39" t="s">
        <v>152</v>
      </c>
      <c r="P152" s="44"/>
      <c r="Q152" s="44"/>
      <c r="R152" s="180"/>
      <c r="S152" s="180"/>
      <c r="T152" s="180"/>
      <c r="U152" s="180"/>
      <c r="V152" s="180"/>
      <c r="W152" s="180"/>
      <c r="X152" s="180"/>
      <c r="Y152" s="180"/>
      <c r="AA152" s="39" t="s">
        <v>152</v>
      </c>
      <c r="AC152" s="44"/>
      <c r="AD152" s="44"/>
      <c r="AE152" s="180"/>
      <c r="AF152" s="180"/>
      <c r="AG152" s="180"/>
      <c r="AH152" s="180"/>
      <c r="AI152" s="180"/>
      <c r="AJ152" s="180"/>
      <c r="AK152" s="180"/>
      <c r="AL152" s="180"/>
      <c r="AN152" s="39" t="s">
        <v>152</v>
      </c>
    </row>
    <row r="153" spans="2:40" x14ac:dyDescent="0.2">
      <c r="B153" s="55" t="s">
        <v>39</v>
      </c>
      <c r="C153" s="55"/>
      <c r="D153" s="55"/>
      <c r="E153" s="184">
        <f>SUM(E149:E152)</f>
        <v>0</v>
      </c>
      <c r="F153" s="184">
        <f t="shared" ref="F153:L153" si="170">SUM(F149:F152)</f>
        <v>0</v>
      </c>
      <c r="G153" s="184">
        <f t="shared" si="170"/>
        <v>0</v>
      </c>
      <c r="H153" s="184">
        <f t="shared" si="170"/>
        <v>6112.1549998411092</v>
      </c>
      <c r="I153" s="184">
        <f t="shared" si="170"/>
        <v>20993.058162910609</v>
      </c>
      <c r="J153" s="184">
        <f t="shared" si="170"/>
        <v>26098.817963317233</v>
      </c>
      <c r="K153" s="184">
        <f t="shared" si="170"/>
        <v>63204.068421654163</v>
      </c>
      <c r="L153" s="184">
        <f t="shared" si="170"/>
        <v>121675.32372346838</v>
      </c>
      <c r="P153" s="55"/>
      <c r="Q153" s="55"/>
      <c r="R153" s="184">
        <f>SUM(R149:R152)</f>
        <v>0</v>
      </c>
      <c r="S153" s="184">
        <f t="shared" ref="S153:Y153" si="171">SUM(S149:S152)</f>
        <v>0</v>
      </c>
      <c r="T153" s="184">
        <f t="shared" si="171"/>
        <v>0</v>
      </c>
      <c r="U153" s="184">
        <f t="shared" si="171"/>
        <v>6112.1549998411092</v>
      </c>
      <c r="V153" s="184">
        <f t="shared" si="171"/>
        <v>20993.058162910609</v>
      </c>
      <c r="W153" s="184">
        <f t="shared" si="171"/>
        <v>26098.817963317233</v>
      </c>
      <c r="X153" s="184">
        <f t="shared" si="171"/>
        <v>63204.068421654163</v>
      </c>
      <c r="Y153" s="184">
        <f t="shared" si="171"/>
        <v>121675.32372346838</v>
      </c>
      <c r="AC153" s="55"/>
      <c r="AD153" s="55"/>
      <c r="AE153" s="184">
        <f>SUM(AE149:AE152)</f>
        <v>0</v>
      </c>
      <c r="AF153" s="184">
        <f t="shared" ref="AF153:AL153" si="172">SUM(AF149:AF152)</f>
        <v>0</v>
      </c>
      <c r="AG153" s="184">
        <f t="shared" si="172"/>
        <v>0</v>
      </c>
      <c r="AH153" s="184">
        <f t="shared" si="172"/>
        <v>2716.5133332627165</v>
      </c>
      <c r="AI153" s="184">
        <f t="shared" si="172"/>
        <v>7041.3634053279011</v>
      </c>
      <c r="AJ153" s="184">
        <f t="shared" si="172"/>
        <v>9440.7932388518493</v>
      </c>
      <c r="AK153" s="184">
        <f t="shared" si="172"/>
        <v>20326.835556138609</v>
      </c>
      <c r="AL153" s="184">
        <f t="shared" si="172"/>
        <v>37400.811378971077</v>
      </c>
    </row>
    <row r="154" spans="2:40" x14ac:dyDescent="0.2">
      <c r="B154" s="58" t="s">
        <v>40</v>
      </c>
      <c r="C154" s="58"/>
      <c r="D154" s="58"/>
      <c r="E154" s="180"/>
      <c r="F154" s="180"/>
      <c r="G154" s="180"/>
      <c r="H154" s="132"/>
      <c r="I154" s="132"/>
      <c r="J154" s="132"/>
      <c r="K154" s="132"/>
      <c r="L154" s="132"/>
      <c r="P154" s="58"/>
      <c r="Q154" s="58"/>
      <c r="R154" s="180"/>
      <c r="S154" s="180"/>
      <c r="T154" s="180"/>
      <c r="U154" s="132"/>
      <c r="V154" s="132"/>
      <c r="W154" s="132"/>
      <c r="X154" s="132"/>
      <c r="Y154" s="132"/>
      <c r="AC154" s="58"/>
      <c r="AD154" s="58"/>
      <c r="AE154" s="180"/>
      <c r="AF154" s="180"/>
      <c r="AG154" s="180"/>
      <c r="AH154" s="132"/>
      <c r="AI154" s="132"/>
      <c r="AJ154" s="132"/>
      <c r="AK154" s="132"/>
      <c r="AL154" s="132"/>
    </row>
    <row r="155" spans="2:40" x14ac:dyDescent="0.2">
      <c r="B155" s="49" t="s">
        <v>41</v>
      </c>
      <c r="C155" s="49"/>
      <c r="D155" s="49"/>
      <c r="E155" s="180" cm="1">
        <f t="array" ref="E155">_xlfn.SWITCH($C$11,1,R155,2,AE155)</f>
        <v>0</v>
      </c>
      <c r="F155" s="180" cm="1">
        <f t="array" ref="F155">_xlfn.SWITCH($C$11,1,S155,2,AF155)</f>
        <v>0</v>
      </c>
      <c r="G155" s="180" cm="1">
        <f t="array" ref="G155">_xlfn.SWITCH($C$11,1,T155,2,AG155)</f>
        <v>0</v>
      </c>
      <c r="H155" s="180" cm="1">
        <f t="array" ref="H155">_xlfn.SWITCH($C$11,1,U155,2,AH155)</f>
        <v>0</v>
      </c>
      <c r="I155" s="180" cm="1">
        <f t="array" ref="I155">_xlfn.SWITCH($C$11,1,V155,2,AI155)</f>
        <v>0</v>
      </c>
      <c r="J155" s="180" cm="1">
        <f t="array" ref="J155">_xlfn.SWITCH($C$11,1,W155,2,AJ155)</f>
        <v>0</v>
      </c>
      <c r="K155" s="180" cm="1">
        <f t="array" ref="K155">_xlfn.SWITCH($C$11,1,X155,2,AK155)</f>
        <v>0</v>
      </c>
      <c r="L155" s="180" cm="1">
        <f t="array" ref="L155">_xlfn.SWITCH($C$11,1,Y155,2,AL155)</f>
        <v>0</v>
      </c>
      <c r="N155" s="39" t="s">
        <v>144</v>
      </c>
      <c r="P155" s="49"/>
      <c r="Q155" s="49"/>
      <c r="R155" s="180"/>
      <c r="S155" s="180"/>
      <c r="T155" s="180"/>
      <c r="U155" s="180"/>
      <c r="V155" s="180"/>
      <c r="W155" s="180"/>
      <c r="X155" s="180"/>
      <c r="Y155" s="180"/>
      <c r="AA155" s="39" t="s">
        <v>144</v>
      </c>
      <c r="AC155" s="49"/>
      <c r="AD155" s="49"/>
      <c r="AE155" s="180"/>
      <c r="AF155" s="180"/>
      <c r="AG155" s="180"/>
      <c r="AH155" s="180"/>
      <c r="AI155" s="180"/>
      <c r="AJ155" s="180"/>
      <c r="AK155" s="180"/>
      <c r="AL155" s="180"/>
      <c r="AN155" s="39" t="s">
        <v>144</v>
      </c>
    </row>
    <row r="156" spans="2:40" x14ac:dyDescent="0.2">
      <c r="B156" s="49" t="s">
        <v>42</v>
      </c>
      <c r="C156" s="49"/>
      <c r="D156" s="49"/>
      <c r="E156" s="180" cm="1">
        <f t="array" ref="E156">_xlfn.SWITCH($C$11,1,R156,2,AE156)</f>
        <v>0</v>
      </c>
      <c r="F156" s="180" cm="1">
        <f t="array" ref="F156">_xlfn.SWITCH($C$11,1,S156,2,AF156)</f>
        <v>0</v>
      </c>
      <c r="G156" s="180" cm="1">
        <f t="array" ref="G156">_xlfn.SWITCH($C$11,1,T156,2,AG156)</f>
        <v>0</v>
      </c>
      <c r="H156" s="180" cm="1">
        <f t="array" ref="H156">_xlfn.SWITCH($C$11,1,U156,2,AH156)</f>
        <v>15310.922238187148</v>
      </c>
      <c r="I156" s="180" cm="1">
        <f t="array" ref="I156">_xlfn.SWITCH($C$11,1,V156,2,AI156)</f>
        <v>62779.717497696605</v>
      </c>
      <c r="J156" s="180" cm="1">
        <f t="array" ref="J156">_xlfn.SWITCH($C$11,1,W156,2,AJ156)</f>
        <v>146886.56612517399</v>
      </c>
      <c r="K156" s="180" cm="1">
        <f t="array" ref="K156">_xlfn.SWITCH($C$11,1,X156,2,AK156)</f>
        <v>254265.259494028</v>
      </c>
      <c r="L156" s="180" cm="1">
        <f t="array" ref="L156">_xlfn.SWITCH($C$11,1,Y156,2,AL156)</f>
        <v>363492.54572096001</v>
      </c>
      <c r="N156" s="39" t="s">
        <v>144</v>
      </c>
      <c r="P156" s="49"/>
      <c r="Q156" s="49"/>
      <c r="R156" s="180"/>
      <c r="S156" s="180"/>
      <c r="T156" s="180"/>
      <c r="U156" s="180">
        <f>U103</f>
        <v>15310.922238187148</v>
      </c>
      <c r="V156" s="180">
        <f>V103</f>
        <v>62779.717497696605</v>
      </c>
      <c r="W156" s="180">
        <f>W103</f>
        <v>146886.56612517399</v>
      </c>
      <c r="X156" s="180">
        <f>X103</f>
        <v>254265.259494028</v>
      </c>
      <c r="Y156" s="180">
        <f>Y103</f>
        <v>363492.54572096001</v>
      </c>
      <c r="AA156" s="39" t="s">
        <v>144</v>
      </c>
      <c r="AC156" s="49"/>
      <c r="AD156" s="49"/>
      <c r="AE156" s="180"/>
      <c r="AF156" s="180"/>
      <c r="AG156" s="180"/>
      <c r="AH156" s="180">
        <f>AH103</f>
        <v>6804.8543280831764</v>
      </c>
      <c r="AI156" s="180">
        <f>AI103</f>
        <v>23685.620621506579</v>
      </c>
      <c r="AJ156" s="180">
        <f>AJ103</f>
        <v>52753.330141123661</v>
      </c>
      <c r="AK156" s="180">
        <f>AK103</f>
        <v>88045.186264075004</v>
      </c>
      <c r="AL156" s="180">
        <f>AL103</f>
        <v>121539.66049029052</v>
      </c>
      <c r="AN156" s="39" t="s">
        <v>144</v>
      </c>
    </row>
    <row r="157" spans="2:40" x14ac:dyDescent="0.2">
      <c r="B157" s="51" t="s">
        <v>40</v>
      </c>
      <c r="C157" s="51"/>
      <c r="D157" s="51"/>
      <c r="E157" s="25">
        <f>SUM(E155:E156)</f>
        <v>0</v>
      </c>
      <c r="F157" s="25">
        <f t="shared" ref="F157:L157" si="173">SUM(F155:F156)</f>
        <v>0</v>
      </c>
      <c r="G157" s="25">
        <f t="shared" si="173"/>
        <v>0</v>
      </c>
      <c r="H157" s="25">
        <f t="shared" si="173"/>
        <v>15310.922238187148</v>
      </c>
      <c r="I157" s="25">
        <f t="shared" si="173"/>
        <v>62779.717497696605</v>
      </c>
      <c r="J157" s="25">
        <f t="shared" si="173"/>
        <v>146886.56612517399</v>
      </c>
      <c r="K157" s="25">
        <f t="shared" si="173"/>
        <v>254265.259494028</v>
      </c>
      <c r="L157" s="25">
        <f t="shared" si="173"/>
        <v>363492.54572096001</v>
      </c>
      <c r="P157" s="51"/>
      <c r="Q157" s="51"/>
      <c r="R157" s="25">
        <f>SUM(R155:R156)</f>
        <v>0</v>
      </c>
      <c r="S157" s="25">
        <f t="shared" ref="S157:Y157" si="174">SUM(S155:S156)</f>
        <v>0</v>
      </c>
      <c r="T157" s="25">
        <f t="shared" si="174"/>
        <v>0</v>
      </c>
      <c r="U157" s="25">
        <f t="shared" si="174"/>
        <v>15310.922238187148</v>
      </c>
      <c r="V157" s="25">
        <f t="shared" si="174"/>
        <v>62779.717497696605</v>
      </c>
      <c r="W157" s="25">
        <f t="shared" si="174"/>
        <v>146886.56612517399</v>
      </c>
      <c r="X157" s="25">
        <f t="shared" si="174"/>
        <v>254265.259494028</v>
      </c>
      <c r="Y157" s="25">
        <f t="shared" si="174"/>
        <v>363492.54572096001</v>
      </c>
      <c r="AC157" s="51"/>
      <c r="AD157" s="51"/>
      <c r="AE157" s="25">
        <f>SUM(AE155:AE156)</f>
        <v>0</v>
      </c>
      <c r="AF157" s="25">
        <f t="shared" ref="AF157:AL157" si="175">SUM(AF155:AF156)</f>
        <v>0</v>
      </c>
      <c r="AG157" s="25">
        <f t="shared" si="175"/>
        <v>0</v>
      </c>
      <c r="AH157" s="25">
        <f t="shared" si="175"/>
        <v>6804.8543280831764</v>
      </c>
      <c r="AI157" s="25">
        <f t="shared" si="175"/>
        <v>23685.620621506579</v>
      </c>
      <c r="AJ157" s="25">
        <f t="shared" si="175"/>
        <v>52753.330141123661</v>
      </c>
      <c r="AK157" s="25">
        <f t="shared" si="175"/>
        <v>88045.186264075004</v>
      </c>
      <c r="AL157" s="25">
        <f t="shared" si="175"/>
        <v>121539.66049029052</v>
      </c>
    </row>
    <row r="158" spans="2:40" ht="10.8" thickBot="1" x14ac:dyDescent="0.25">
      <c r="B158" s="56" t="s">
        <v>43</v>
      </c>
      <c r="C158" s="56"/>
      <c r="D158" s="56"/>
      <c r="E158" s="185">
        <f>E153+E157</f>
        <v>0</v>
      </c>
      <c r="F158" s="185">
        <f t="shared" ref="F158:L158" si="176">F153+F157</f>
        <v>0</v>
      </c>
      <c r="G158" s="185">
        <f t="shared" si="176"/>
        <v>0</v>
      </c>
      <c r="H158" s="185">
        <f t="shared" si="176"/>
        <v>21423.077238028258</v>
      </c>
      <c r="I158" s="185">
        <f t="shared" si="176"/>
        <v>83772.775660607207</v>
      </c>
      <c r="J158" s="185">
        <f t="shared" si="176"/>
        <v>172985.38408849124</v>
      </c>
      <c r="K158" s="185">
        <f t="shared" si="176"/>
        <v>317469.32791568217</v>
      </c>
      <c r="L158" s="185">
        <f t="shared" si="176"/>
        <v>485167.86944442836</v>
      </c>
      <c r="P158" s="56"/>
      <c r="Q158" s="56"/>
      <c r="R158" s="185">
        <f>R153+R157</f>
        <v>0</v>
      </c>
      <c r="S158" s="185">
        <f t="shared" ref="S158:Y158" si="177">S153+S157</f>
        <v>0</v>
      </c>
      <c r="T158" s="185">
        <f t="shared" si="177"/>
        <v>0</v>
      </c>
      <c r="U158" s="185">
        <f t="shared" si="177"/>
        <v>21423.077238028258</v>
      </c>
      <c r="V158" s="185">
        <f t="shared" si="177"/>
        <v>83772.775660607207</v>
      </c>
      <c r="W158" s="185">
        <f t="shared" si="177"/>
        <v>172985.38408849124</v>
      </c>
      <c r="X158" s="185">
        <f t="shared" si="177"/>
        <v>317469.32791568217</v>
      </c>
      <c r="Y158" s="185">
        <f t="shared" si="177"/>
        <v>485167.86944442836</v>
      </c>
      <c r="AC158" s="56"/>
      <c r="AD158" s="56"/>
      <c r="AE158" s="185">
        <f>AE153+AE157</f>
        <v>0</v>
      </c>
      <c r="AF158" s="185">
        <f t="shared" ref="AF158:AL158" si="178">AF153+AF157</f>
        <v>0</v>
      </c>
      <c r="AG158" s="185">
        <f t="shared" si="178"/>
        <v>0</v>
      </c>
      <c r="AH158" s="185">
        <f t="shared" si="178"/>
        <v>9521.367661345892</v>
      </c>
      <c r="AI158" s="185">
        <f t="shared" si="178"/>
        <v>30726.984026834481</v>
      </c>
      <c r="AJ158" s="185">
        <f t="shared" si="178"/>
        <v>62194.123379975514</v>
      </c>
      <c r="AK158" s="185">
        <f t="shared" si="178"/>
        <v>108372.02182021362</v>
      </c>
      <c r="AL158" s="185">
        <f t="shared" si="178"/>
        <v>158940.47186926159</v>
      </c>
    </row>
    <row r="159" spans="2:40" ht="10.8" thickTop="1" x14ac:dyDescent="0.2">
      <c r="B159" s="49"/>
      <c r="C159" s="49"/>
      <c r="D159" s="49"/>
      <c r="E159" s="26"/>
      <c r="F159" s="26"/>
      <c r="G159" s="26"/>
      <c r="H159" s="26"/>
      <c r="I159" s="26"/>
      <c r="J159" s="26"/>
      <c r="K159" s="26"/>
      <c r="L159" s="26"/>
      <c r="P159" s="49"/>
      <c r="Q159" s="49"/>
      <c r="R159" s="26"/>
      <c r="S159" s="26"/>
      <c r="T159" s="26"/>
      <c r="U159" s="26"/>
      <c r="V159" s="26"/>
      <c r="W159" s="26"/>
      <c r="X159" s="26"/>
      <c r="Y159" s="26"/>
      <c r="AC159" s="49"/>
      <c r="AD159" s="49"/>
      <c r="AE159" s="26"/>
      <c r="AF159" s="26"/>
      <c r="AG159" s="26"/>
      <c r="AH159" s="26"/>
      <c r="AI159" s="26"/>
      <c r="AJ159" s="26"/>
      <c r="AK159" s="26"/>
      <c r="AL159" s="26"/>
    </row>
    <row r="160" spans="2:40" x14ac:dyDescent="0.2">
      <c r="B160" s="59" t="s">
        <v>44</v>
      </c>
      <c r="C160" s="59"/>
      <c r="D160" s="59"/>
      <c r="E160" s="5">
        <f>E158-E146</f>
        <v>0</v>
      </c>
      <c r="F160" s="5">
        <f>F158-F146</f>
        <v>0</v>
      </c>
      <c r="G160" s="5">
        <f>G158-G146</f>
        <v>0</v>
      </c>
      <c r="H160" s="5">
        <f t="shared" ref="H160:L160" si="179">H158-H146</f>
        <v>0</v>
      </c>
      <c r="I160" s="5">
        <f t="shared" si="179"/>
        <v>0</v>
      </c>
      <c r="J160" s="5">
        <f t="shared" si="179"/>
        <v>0</v>
      </c>
      <c r="K160" s="5">
        <f t="shared" si="179"/>
        <v>0</v>
      </c>
      <c r="L160" s="5">
        <f t="shared" si="179"/>
        <v>0</v>
      </c>
      <c r="P160" s="59"/>
      <c r="Q160" s="59"/>
      <c r="R160" s="5">
        <f>R158-R146</f>
        <v>0</v>
      </c>
      <c r="S160" s="5">
        <f>S158-S146</f>
        <v>0</v>
      </c>
      <c r="T160" s="5">
        <f>T158-T146</f>
        <v>0</v>
      </c>
      <c r="U160" s="5">
        <f t="shared" ref="U160:Y160" si="180">U158-U146</f>
        <v>0</v>
      </c>
      <c r="V160" s="5">
        <f t="shared" si="180"/>
        <v>0</v>
      </c>
      <c r="W160" s="5">
        <f t="shared" si="180"/>
        <v>0</v>
      </c>
      <c r="X160" s="5">
        <f t="shared" si="180"/>
        <v>0</v>
      </c>
      <c r="Y160" s="5">
        <f t="shared" si="180"/>
        <v>0</v>
      </c>
      <c r="AC160" s="59"/>
      <c r="AD160" s="59"/>
      <c r="AE160" s="5">
        <f>AE158-AE146</f>
        <v>0</v>
      </c>
      <c r="AF160" s="5">
        <f>AF158-AF146</f>
        <v>0</v>
      </c>
      <c r="AG160" s="5">
        <f>AG158-AG146</f>
        <v>0</v>
      </c>
      <c r="AH160" s="5">
        <f t="shared" ref="AH160:AL160" si="181">AH158-AH146</f>
        <v>0</v>
      </c>
      <c r="AI160" s="5">
        <f t="shared" si="181"/>
        <v>0</v>
      </c>
      <c r="AJ160" s="5">
        <f t="shared" si="181"/>
        <v>0</v>
      </c>
      <c r="AK160" s="5">
        <f t="shared" si="181"/>
        <v>0</v>
      </c>
      <c r="AL160" s="5">
        <f t="shared" si="181"/>
        <v>0</v>
      </c>
    </row>
    <row r="161" spans="2:38" x14ac:dyDescent="0.2">
      <c r="B161" s="59"/>
      <c r="C161" s="59"/>
      <c r="D161" s="59"/>
      <c r="E161" s="5"/>
      <c r="F161" s="5"/>
      <c r="G161" s="5"/>
      <c r="P161" s="59"/>
      <c r="Q161" s="59"/>
      <c r="R161" s="5"/>
      <c r="S161" s="5"/>
      <c r="T161" s="5"/>
      <c r="AC161" s="59"/>
      <c r="AD161" s="59"/>
      <c r="AE161" s="5"/>
      <c r="AF161" s="5"/>
      <c r="AG161" s="5"/>
    </row>
    <row r="162" spans="2:38" x14ac:dyDescent="0.2">
      <c r="B162" s="59"/>
      <c r="C162" s="59"/>
      <c r="D162" s="59"/>
      <c r="E162" s="5"/>
      <c r="F162" s="5"/>
      <c r="G162" s="5"/>
      <c r="P162" s="59"/>
      <c r="Q162" s="59"/>
      <c r="R162" s="5"/>
      <c r="S162" s="5"/>
      <c r="T162" s="5"/>
      <c r="AC162" s="59"/>
      <c r="AD162" s="59"/>
      <c r="AE162" s="5"/>
      <c r="AF162" s="5"/>
      <c r="AG162" s="5"/>
    </row>
    <row r="163" spans="2:38" x14ac:dyDescent="0.2">
      <c r="B163" s="60" t="s">
        <v>45</v>
      </c>
      <c r="C163" s="60"/>
      <c r="D163" s="60"/>
      <c r="E163" s="36">
        <f>E$7</f>
        <v>2020</v>
      </c>
      <c r="F163" s="36">
        <f t="shared" ref="F163:L163" si="182">F$7</f>
        <v>2021</v>
      </c>
      <c r="G163" s="36">
        <f t="shared" si="182"/>
        <v>2022</v>
      </c>
      <c r="H163" s="36">
        <f t="shared" si="182"/>
        <v>2023</v>
      </c>
      <c r="I163" s="36">
        <f t="shared" si="182"/>
        <v>2024</v>
      </c>
      <c r="J163" s="36">
        <f t="shared" si="182"/>
        <v>2025</v>
      </c>
      <c r="K163" s="36">
        <f t="shared" si="182"/>
        <v>2026</v>
      </c>
      <c r="L163" s="36">
        <f t="shared" si="182"/>
        <v>2027</v>
      </c>
      <c r="P163" s="60"/>
      <c r="Q163" s="60"/>
      <c r="R163" s="36">
        <f>R$7</f>
        <v>2020</v>
      </c>
      <c r="S163" s="36">
        <f t="shared" ref="S163:Y163" si="183">S$7</f>
        <v>2021</v>
      </c>
      <c r="T163" s="36">
        <f t="shared" si="183"/>
        <v>2022</v>
      </c>
      <c r="U163" s="36">
        <f t="shared" si="183"/>
        <v>2023</v>
      </c>
      <c r="V163" s="36">
        <f t="shared" si="183"/>
        <v>2024</v>
      </c>
      <c r="W163" s="36">
        <f t="shared" si="183"/>
        <v>2025</v>
      </c>
      <c r="X163" s="36">
        <f t="shared" si="183"/>
        <v>2026</v>
      </c>
      <c r="Y163" s="36">
        <f t="shared" si="183"/>
        <v>2027</v>
      </c>
      <c r="AC163" s="60"/>
      <c r="AD163" s="60"/>
      <c r="AE163" s="36">
        <f>AE$7</f>
        <v>2020</v>
      </c>
      <c r="AF163" s="36">
        <f t="shared" ref="AF163:AL163" si="184">AF$7</f>
        <v>2021</v>
      </c>
      <c r="AG163" s="36">
        <f t="shared" si="184"/>
        <v>2022</v>
      </c>
      <c r="AH163" s="36">
        <f t="shared" si="184"/>
        <v>2023</v>
      </c>
      <c r="AI163" s="36">
        <f t="shared" si="184"/>
        <v>2024</v>
      </c>
      <c r="AJ163" s="36">
        <f t="shared" si="184"/>
        <v>2025</v>
      </c>
      <c r="AK163" s="36">
        <f t="shared" si="184"/>
        <v>2026</v>
      </c>
      <c r="AL163" s="36">
        <f t="shared" si="184"/>
        <v>2027</v>
      </c>
    </row>
    <row r="164" spans="2:38" x14ac:dyDescent="0.2">
      <c r="B164" s="58" t="s">
        <v>46</v>
      </c>
      <c r="C164" s="58"/>
      <c r="D164" s="58"/>
      <c r="E164" s="26"/>
      <c r="F164" s="26"/>
      <c r="G164" s="26"/>
      <c r="P164" s="58"/>
      <c r="Q164" s="58"/>
      <c r="R164" s="26"/>
      <c r="S164" s="26"/>
      <c r="T164" s="26"/>
      <c r="AC164" s="58"/>
      <c r="AD164" s="58"/>
      <c r="AE164" s="26"/>
      <c r="AF164" s="26"/>
      <c r="AG164" s="26"/>
    </row>
    <row r="165" spans="2:38" x14ac:dyDescent="0.2">
      <c r="B165" s="49" t="s">
        <v>26</v>
      </c>
      <c r="C165" s="49"/>
      <c r="D165" s="49"/>
      <c r="E165" s="180" cm="1">
        <f t="array" ref="E165">_xlfn.SWITCH($C$11,1,R165,2,AE165)</f>
        <v>0</v>
      </c>
      <c r="F165" s="180" cm="1">
        <f t="array" ref="F165">_xlfn.SWITCH($C$11,1,S165,2,AF165)</f>
        <v>0</v>
      </c>
      <c r="G165" s="180" cm="1">
        <f t="array" ref="G165">_xlfn.SWITCH($C$11,1,T165,2,AG165)</f>
        <v>0</v>
      </c>
      <c r="H165" s="180" cm="1">
        <f t="array" ref="H165">_xlfn.SWITCH($C$11,1,U165,2,AH165)</f>
        <v>15310.922238187148</v>
      </c>
      <c r="I165" s="180" cm="1">
        <f t="array" ref="I165">_xlfn.SWITCH($C$11,1,V165,2,AI165)</f>
        <v>47468.795259509461</v>
      </c>
      <c r="J165" s="180" cm="1">
        <f t="array" ref="J165">_xlfn.SWITCH($C$11,1,W165,2,AJ165)</f>
        <v>84106.848627477404</v>
      </c>
      <c r="K165" s="180" cm="1">
        <f t="array" ref="K165">_xlfn.SWITCH($C$11,1,X165,2,AK165)</f>
        <v>107378.69336885399</v>
      </c>
      <c r="L165" s="180" cm="1">
        <f t="array" ref="L165">_xlfn.SWITCH($C$11,1,Y165,2,AL165)</f>
        <v>109227.28622693205</v>
      </c>
      <c r="P165" s="49"/>
      <c r="Q165" s="49"/>
      <c r="R165" s="180"/>
      <c r="S165" s="180"/>
      <c r="T165" s="180"/>
      <c r="U165" s="180">
        <f>U134</f>
        <v>15310.922238187148</v>
      </c>
      <c r="V165" s="180">
        <f t="shared" ref="V165:Y165" si="185">V134</f>
        <v>47468.795259509461</v>
      </c>
      <c r="W165" s="180">
        <f t="shared" si="185"/>
        <v>84106.848627477404</v>
      </c>
      <c r="X165" s="180">
        <f t="shared" si="185"/>
        <v>107378.69336885399</v>
      </c>
      <c r="Y165" s="180">
        <f t="shared" si="185"/>
        <v>109227.28622693205</v>
      </c>
      <c r="AC165" s="49"/>
      <c r="AD165" s="49"/>
      <c r="AE165" s="180"/>
      <c r="AF165" s="180"/>
      <c r="AG165" s="180"/>
      <c r="AH165" s="180">
        <f>AH134</f>
        <v>6804.8543280831764</v>
      </c>
      <c r="AI165" s="180">
        <f t="shared" ref="AI165:AL165" si="186">AI134</f>
        <v>16880.766293423403</v>
      </c>
      <c r="AJ165" s="180">
        <f t="shared" si="186"/>
        <v>29067.709519617085</v>
      </c>
      <c r="AK165" s="180">
        <f t="shared" si="186"/>
        <v>35291.856122951343</v>
      </c>
      <c r="AL165" s="180">
        <f t="shared" si="186"/>
        <v>33494.474226215527</v>
      </c>
    </row>
    <row r="166" spans="2:38" x14ac:dyDescent="0.2">
      <c r="B166" s="49" t="s">
        <v>47</v>
      </c>
      <c r="C166" s="49"/>
      <c r="D166" s="49"/>
      <c r="E166" s="180" cm="1">
        <f t="array" ref="E166">_xlfn.SWITCH($C$11,1,R166,2,AE166)</f>
        <v>0</v>
      </c>
      <c r="F166" s="180" cm="1">
        <f t="array" ref="F166">_xlfn.SWITCH($C$11,1,S166,2,AF166)</f>
        <v>0</v>
      </c>
      <c r="G166" s="180" cm="1">
        <f t="array" ref="G166">_xlfn.SWITCH($C$11,1,T166,2,AG166)</f>
        <v>0</v>
      </c>
      <c r="H166" s="180" cm="1">
        <f t="array" ref="H166">_xlfn.SWITCH($C$11,1,U166,2,AH166)</f>
        <v>0</v>
      </c>
      <c r="I166" s="180" cm="1">
        <f t="array" ref="I166">_xlfn.SWITCH($C$11,1,V166,2,AI166)</f>
        <v>500</v>
      </c>
      <c r="J166" s="180" cm="1">
        <f t="array" ref="J166">_xlfn.SWITCH($C$11,1,W166,2,AJ166)</f>
        <v>875</v>
      </c>
      <c r="K166" s="180" cm="1">
        <f t="array" ref="K166">_xlfn.SWITCH($C$11,1,X166,2,AK166)</f>
        <v>1156.25</v>
      </c>
      <c r="L166" s="180" cm="1">
        <f t="array" ref="L166">_xlfn.SWITCH($C$11,1,Y166,2,AL166)</f>
        <v>1367.1875</v>
      </c>
      <c r="P166" s="49"/>
      <c r="Q166" s="49"/>
      <c r="R166" s="180"/>
      <c r="S166" s="180"/>
      <c r="T166" s="180"/>
      <c r="U166" s="180">
        <f>U127</f>
        <v>0</v>
      </c>
      <c r="V166" s="180">
        <f t="shared" ref="V166:Y166" si="187">V127</f>
        <v>500</v>
      </c>
      <c r="W166" s="180">
        <f t="shared" si="187"/>
        <v>875</v>
      </c>
      <c r="X166" s="180">
        <f t="shared" si="187"/>
        <v>1156.25</v>
      </c>
      <c r="Y166" s="180">
        <f t="shared" si="187"/>
        <v>1367.1875</v>
      </c>
      <c r="AC166" s="49"/>
      <c r="AD166" s="49"/>
      <c r="AE166" s="180"/>
      <c r="AF166" s="180"/>
      <c r="AG166" s="180"/>
      <c r="AH166" s="180">
        <f>AH127</f>
        <v>0</v>
      </c>
      <c r="AI166" s="180">
        <f t="shared" ref="AI166:AL166" si="188">AI127</f>
        <v>500</v>
      </c>
      <c r="AJ166" s="180">
        <f t="shared" si="188"/>
        <v>875</v>
      </c>
      <c r="AK166" s="180">
        <f t="shared" si="188"/>
        <v>1156.25</v>
      </c>
      <c r="AL166" s="180">
        <f t="shared" si="188"/>
        <v>1367.1875</v>
      </c>
    </row>
    <row r="167" spans="2:38" x14ac:dyDescent="0.2">
      <c r="B167" s="49" t="s">
        <v>48</v>
      </c>
      <c r="C167" s="49"/>
      <c r="D167" s="49"/>
      <c r="E167" s="180" cm="1">
        <f t="array" ref="E167">_xlfn.SWITCH($C$11,1,R167,2,AE167)</f>
        <v>0</v>
      </c>
      <c r="F167" s="180" cm="1">
        <f t="array" ref="F167">_xlfn.SWITCH($C$11,1,S167,2,AF167)</f>
        <v>0</v>
      </c>
      <c r="G167" s="180" cm="1">
        <f t="array" ref="G167">_xlfn.SWITCH($C$11,1,T167,2,AG167)</f>
        <v>0</v>
      </c>
      <c r="H167" s="180" cm="1">
        <f t="array" ref="H167">_xlfn.SWITCH($C$11,1,U167,2,AH167)</f>
        <v>0</v>
      </c>
      <c r="I167" s="180" cm="1">
        <f t="array" ref="I167">_xlfn.SWITCH($C$11,1,V167,2,AI167)</f>
        <v>0</v>
      </c>
      <c r="J167" s="180" cm="1">
        <f t="array" ref="J167">_xlfn.SWITCH($C$11,1,W167,2,AJ167)</f>
        <v>0</v>
      </c>
      <c r="K167" s="180" cm="1">
        <f t="array" ref="K167">_xlfn.SWITCH($C$11,1,X167,2,AK167)</f>
        <v>0</v>
      </c>
      <c r="L167" s="180" cm="1">
        <f t="array" ref="L167">_xlfn.SWITCH($C$11,1,Y167,2,AL167)</f>
        <v>0</v>
      </c>
      <c r="P167" s="49"/>
      <c r="Q167" s="49"/>
      <c r="R167" s="180"/>
      <c r="S167" s="180"/>
      <c r="T167" s="180"/>
      <c r="U167" s="180"/>
      <c r="V167" s="180"/>
      <c r="W167" s="180"/>
      <c r="X167" s="180"/>
      <c r="Y167" s="180"/>
      <c r="AC167" s="49"/>
      <c r="AD167" s="49"/>
      <c r="AE167" s="180"/>
      <c r="AF167" s="180"/>
      <c r="AG167" s="180"/>
      <c r="AH167" s="180"/>
      <c r="AI167" s="180"/>
      <c r="AJ167" s="180"/>
      <c r="AK167" s="180"/>
      <c r="AL167" s="180"/>
    </row>
    <row r="168" spans="2:38" x14ac:dyDescent="0.2">
      <c r="B168" s="49" t="s">
        <v>49</v>
      </c>
      <c r="C168" s="49"/>
      <c r="D168" s="49"/>
      <c r="E168" s="180" cm="1">
        <f t="array" ref="E168">_xlfn.SWITCH($C$11,1,R168,2,AE168)</f>
        <v>0</v>
      </c>
      <c r="F168" s="180" cm="1">
        <f t="array" ref="F168">_xlfn.SWITCH($C$11,1,S168,2,AF168)</f>
        <v>0</v>
      </c>
      <c r="G168" s="180" cm="1">
        <f t="array" ref="G168">_xlfn.SWITCH($C$11,1,T168,2,AG168)</f>
        <v>0</v>
      </c>
      <c r="H168" s="180" cm="1">
        <f t="array" ref="H168">_xlfn.SWITCH($C$11,1,U168,2,AH168)</f>
        <v>3111.0688575028771</v>
      </c>
      <c r="I168" s="180" cm="1">
        <f t="array" ref="I168">_xlfn.SWITCH($C$11,1,V168,2,AI168)</f>
        <v>13492.679997587773</v>
      </c>
      <c r="J168" s="180" cm="1">
        <f t="array" ref="J168">_xlfn.SWITCH($C$11,1,W168,2,AJ168)</f>
        <v>1931.4471942156961</v>
      </c>
      <c r="K168" s="180" cm="1">
        <f t="array" ref="K168">_xlfn.SWITCH($C$11,1,X168,2,AK168)</f>
        <v>6221.6583524962625</v>
      </c>
      <c r="L168" s="180" cm="1">
        <f t="array" ref="L168">_xlfn.SWITCH($C$11,1,Y168,2,AL168)</f>
        <v>-7412.260788128704</v>
      </c>
      <c r="P168" s="49"/>
      <c r="Q168" s="49"/>
      <c r="R168" s="180"/>
      <c r="S168" s="180"/>
      <c r="T168" s="180"/>
      <c r="U168" s="180">
        <f>U86</f>
        <v>3111.0688575028771</v>
      </c>
      <c r="V168" s="180">
        <f>V86</f>
        <v>13492.679997587773</v>
      </c>
      <c r="W168" s="180">
        <f>W86</f>
        <v>1931.4471942156961</v>
      </c>
      <c r="X168" s="180">
        <f>X86</f>
        <v>6221.6583524962625</v>
      </c>
      <c r="Y168" s="180">
        <f>Y86</f>
        <v>-7412.260788128704</v>
      </c>
      <c r="AC168" s="49"/>
      <c r="AD168" s="49"/>
      <c r="AE168" s="180"/>
      <c r="AF168" s="180"/>
      <c r="AG168" s="180"/>
      <c r="AH168" s="180">
        <f>AH86</f>
        <v>1382.6972700012784</v>
      </c>
      <c r="AI168" s="180">
        <f>AI86</f>
        <v>4331.9398365311099</v>
      </c>
      <c r="AJ168" s="180">
        <f>AJ86</f>
        <v>869.35650347416504</v>
      </c>
      <c r="AK168" s="180">
        <f>AK86</f>
        <v>1262.6962636898934</v>
      </c>
      <c r="AL168" s="180">
        <f>AL86</f>
        <v>-2547.4174078665492</v>
      </c>
    </row>
    <row r="169" spans="2:38" x14ac:dyDescent="0.2">
      <c r="B169" s="51" t="s">
        <v>50</v>
      </c>
      <c r="C169" s="51"/>
      <c r="D169" s="51"/>
      <c r="E169" s="25">
        <f>E165+E166+E167-E168</f>
        <v>0</v>
      </c>
      <c r="F169" s="25">
        <f t="shared" ref="F169:L169" si="189">F165+F166+F167-F168</f>
        <v>0</v>
      </c>
      <c r="G169" s="25">
        <f t="shared" si="189"/>
        <v>0</v>
      </c>
      <c r="H169" s="25">
        <f t="shared" si="189"/>
        <v>12199.853380684272</v>
      </c>
      <c r="I169" s="25">
        <f t="shared" si="189"/>
        <v>34476.115261921688</v>
      </c>
      <c r="J169" s="25">
        <f t="shared" si="189"/>
        <v>83050.401433261708</v>
      </c>
      <c r="K169" s="25">
        <f t="shared" si="189"/>
        <v>102313.28501635772</v>
      </c>
      <c r="L169" s="25">
        <f t="shared" si="189"/>
        <v>118006.73451506076</v>
      </c>
      <c r="P169" s="51"/>
      <c r="Q169" s="51"/>
      <c r="R169" s="25">
        <f>R165+R166+R167-R168</f>
        <v>0</v>
      </c>
      <c r="S169" s="25">
        <f t="shared" ref="S169:Y169" si="190">S165+S166+S167-S168</f>
        <v>0</v>
      </c>
      <c r="T169" s="25">
        <f t="shared" si="190"/>
        <v>0</v>
      </c>
      <c r="U169" s="25">
        <f t="shared" si="190"/>
        <v>12199.853380684272</v>
      </c>
      <c r="V169" s="25">
        <f t="shared" si="190"/>
        <v>34476.115261921688</v>
      </c>
      <c r="W169" s="25">
        <f t="shared" si="190"/>
        <v>83050.401433261708</v>
      </c>
      <c r="X169" s="25">
        <f t="shared" si="190"/>
        <v>102313.28501635772</v>
      </c>
      <c r="Y169" s="25">
        <f t="shared" si="190"/>
        <v>118006.73451506076</v>
      </c>
      <c r="AC169" s="51"/>
      <c r="AD169" s="51"/>
      <c r="AE169" s="25">
        <f>AE165+AE166+AE167-AE168</f>
        <v>0</v>
      </c>
      <c r="AF169" s="25">
        <f t="shared" ref="AF169:AL169" si="191">AF165+AF166+AF167-AF168</f>
        <v>0</v>
      </c>
      <c r="AG169" s="25">
        <f t="shared" si="191"/>
        <v>0</v>
      </c>
      <c r="AH169" s="25">
        <f t="shared" si="191"/>
        <v>5422.157058081898</v>
      </c>
      <c r="AI169" s="25">
        <f t="shared" si="191"/>
        <v>13048.826456892293</v>
      </c>
      <c r="AJ169" s="25">
        <f t="shared" si="191"/>
        <v>29073.353016142919</v>
      </c>
      <c r="AK169" s="25">
        <f t="shared" si="191"/>
        <v>35185.409859261446</v>
      </c>
      <c r="AL169" s="25">
        <f t="shared" si="191"/>
        <v>37409.079134082072</v>
      </c>
    </row>
    <row r="170" spans="2:38" x14ac:dyDescent="0.2">
      <c r="B170" s="52"/>
      <c r="C170" s="52"/>
      <c r="D170" s="52"/>
      <c r="E170" s="182"/>
      <c r="F170" s="182"/>
      <c r="G170" s="182"/>
      <c r="H170" s="132"/>
      <c r="I170" s="132"/>
      <c r="J170" s="132"/>
      <c r="K170" s="132"/>
      <c r="L170" s="132"/>
      <c r="P170" s="52"/>
      <c r="Q170" s="52"/>
      <c r="R170" s="182"/>
      <c r="S170" s="182"/>
      <c r="T170" s="182"/>
      <c r="U170" s="132"/>
      <c r="V170" s="132"/>
      <c r="W170" s="132"/>
      <c r="X170" s="132"/>
      <c r="Y170" s="132"/>
      <c r="AC170" s="52"/>
      <c r="AD170" s="52"/>
      <c r="AE170" s="182"/>
      <c r="AF170" s="182"/>
      <c r="AG170" s="182"/>
      <c r="AH170" s="132"/>
      <c r="AI170" s="132"/>
      <c r="AJ170" s="132"/>
      <c r="AK170" s="132"/>
      <c r="AL170" s="132"/>
    </row>
    <row r="171" spans="2:38" x14ac:dyDescent="0.2">
      <c r="B171" s="58" t="s">
        <v>51</v>
      </c>
      <c r="C171" s="58"/>
      <c r="D171" s="58"/>
      <c r="E171" s="181"/>
      <c r="F171" s="181"/>
      <c r="G171" s="181"/>
      <c r="H171" s="132"/>
      <c r="I171" s="132"/>
      <c r="J171" s="132"/>
      <c r="K171" s="132"/>
      <c r="L171" s="132"/>
      <c r="P171" s="58"/>
      <c r="Q171" s="58"/>
      <c r="R171" s="181"/>
      <c r="S171" s="181"/>
      <c r="T171" s="181"/>
      <c r="U171" s="132"/>
      <c r="V171" s="132"/>
      <c r="W171" s="132"/>
      <c r="X171" s="132"/>
      <c r="Y171" s="132"/>
      <c r="AC171" s="58"/>
      <c r="AD171" s="58"/>
      <c r="AE171" s="181"/>
      <c r="AF171" s="181"/>
      <c r="AG171" s="181"/>
      <c r="AH171" s="132"/>
      <c r="AI171" s="132"/>
      <c r="AJ171" s="132"/>
      <c r="AK171" s="132"/>
      <c r="AL171" s="132"/>
    </row>
    <row r="172" spans="2:38" x14ac:dyDescent="0.2">
      <c r="B172" s="49" t="s">
        <v>52</v>
      </c>
      <c r="C172" s="49"/>
      <c r="D172" s="49"/>
      <c r="E172" s="180" cm="1">
        <f t="array" ref="E172">_xlfn.SWITCH($C$11,1,R172,2,AE172)</f>
        <v>0</v>
      </c>
      <c r="F172" s="180" cm="1">
        <f t="array" ref="F172">_xlfn.SWITCH($C$11,1,S172,2,AF172)</f>
        <v>0</v>
      </c>
      <c r="G172" s="180" cm="1">
        <f t="array" ref="G172">_xlfn.SWITCH($C$11,1,T172,2,AG172)</f>
        <v>0</v>
      </c>
      <c r="H172" s="180" cm="1">
        <f t="array" ref="H172">_xlfn.SWITCH($C$11,1,U172,2,AH172)</f>
        <v>-2000</v>
      </c>
      <c r="I172" s="180" cm="1">
        <f t="array" ref="I172">_xlfn.SWITCH($C$11,1,V172,2,AI172)</f>
        <v>-2000</v>
      </c>
      <c r="J172" s="180" cm="1">
        <f t="array" ref="J172">_xlfn.SWITCH($C$11,1,W172,2,AJ172)</f>
        <v>-2000</v>
      </c>
      <c r="K172" s="180" cm="1">
        <f t="array" ref="K172">_xlfn.SWITCH($C$11,1,X172,2,AK172)</f>
        <v>-2000</v>
      </c>
      <c r="L172" s="180" cm="1">
        <f t="array" ref="L172">_xlfn.SWITCH($C$11,1,Y172,2,AL172)</f>
        <v>-2000</v>
      </c>
      <c r="P172" s="49"/>
      <c r="Q172" s="49"/>
      <c r="R172" s="180"/>
      <c r="S172" s="180"/>
      <c r="T172" s="180"/>
      <c r="U172" s="180">
        <f>-U94</f>
        <v>-2000</v>
      </c>
      <c r="V172" s="180">
        <f>-V94</f>
        <v>-2000</v>
      </c>
      <c r="W172" s="180">
        <f>-W94</f>
        <v>-2000</v>
      </c>
      <c r="X172" s="180">
        <f>-X94</f>
        <v>-2000</v>
      </c>
      <c r="Y172" s="180">
        <f>-Y94</f>
        <v>-2000</v>
      </c>
      <c r="AC172" s="49"/>
      <c r="AD172" s="49"/>
      <c r="AE172" s="180"/>
      <c r="AF172" s="180"/>
      <c r="AG172" s="180"/>
      <c r="AH172" s="180">
        <f>-AH94</f>
        <v>-2000</v>
      </c>
      <c r="AI172" s="180">
        <f>-AI94</f>
        <v>-2000</v>
      </c>
      <c r="AJ172" s="180">
        <f>-AJ94</f>
        <v>-2000</v>
      </c>
      <c r="AK172" s="180">
        <f>-AK94</f>
        <v>-2000</v>
      </c>
      <c r="AL172" s="180">
        <f>-AL94</f>
        <v>-2000</v>
      </c>
    </row>
    <row r="173" spans="2:38" x14ac:dyDescent="0.2">
      <c r="B173" s="49" t="s">
        <v>78</v>
      </c>
      <c r="C173" s="49"/>
      <c r="D173" s="49"/>
      <c r="E173" s="180" cm="1">
        <f t="array" ref="E173">_xlfn.SWITCH($C$11,1,R173,2,AE173)</f>
        <v>0</v>
      </c>
      <c r="F173" s="180" cm="1">
        <f t="array" ref="F173">_xlfn.SWITCH($C$11,1,S173,2,AF173)</f>
        <v>0</v>
      </c>
      <c r="G173" s="180" cm="1">
        <f t="array" ref="G173">_xlfn.SWITCH($C$11,1,T173,2,AG173)</f>
        <v>0</v>
      </c>
      <c r="H173" s="180" cm="1">
        <f t="array" ref="H173">_xlfn.SWITCH($C$11,1,U173,2,AH173)</f>
        <v>0</v>
      </c>
      <c r="I173" s="180" cm="1">
        <f t="array" ref="I173">_xlfn.SWITCH($C$11,1,V173,2,AI173)</f>
        <v>0</v>
      </c>
      <c r="J173" s="180" cm="1">
        <f t="array" ref="J173">_xlfn.SWITCH($C$11,1,W173,2,AJ173)</f>
        <v>0</v>
      </c>
      <c r="K173" s="180" cm="1">
        <f t="array" ref="K173">_xlfn.SWITCH($C$11,1,X173,2,AK173)</f>
        <v>0</v>
      </c>
      <c r="L173" s="180" cm="1">
        <f t="array" ref="L173">_xlfn.SWITCH($C$11,1,Y173,2,AL173)</f>
        <v>0</v>
      </c>
      <c r="P173" s="49"/>
      <c r="Q173" s="49"/>
      <c r="R173" s="180"/>
      <c r="S173" s="180"/>
      <c r="T173" s="180"/>
      <c r="U173" s="180"/>
      <c r="V173" s="180"/>
      <c r="W173" s="180"/>
      <c r="X173" s="180"/>
      <c r="Y173" s="180"/>
      <c r="AC173" s="49"/>
      <c r="AD173" s="49"/>
      <c r="AE173" s="180"/>
      <c r="AF173" s="180"/>
      <c r="AG173" s="180"/>
      <c r="AH173" s="180"/>
      <c r="AI173" s="180"/>
      <c r="AJ173" s="180"/>
      <c r="AK173" s="180"/>
      <c r="AL173" s="180"/>
    </row>
    <row r="174" spans="2:38" x14ac:dyDescent="0.2">
      <c r="B174" s="49" t="s">
        <v>79</v>
      </c>
      <c r="C174" s="49"/>
      <c r="D174" s="49"/>
      <c r="E174" s="180" cm="1">
        <f t="array" ref="E174">_xlfn.SWITCH($C$11,1,R174,2,AE174)</f>
        <v>0</v>
      </c>
      <c r="F174" s="180" cm="1">
        <f t="array" ref="F174">_xlfn.SWITCH($C$11,1,S174,2,AF174)</f>
        <v>0</v>
      </c>
      <c r="G174" s="180" cm="1">
        <f t="array" ref="G174">_xlfn.SWITCH($C$11,1,T174,2,AG174)</f>
        <v>0</v>
      </c>
      <c r="H174" s="180" cm="1">
        <f t="array" ref="H174">_xlfn.SWITCH($C$11,1,U174,2,AH174)</f>
        <v>0</v>
      </c>
      <c r="I174" s="180" cm="1">
        <f t="array" ref="I174">_xlfn.SWITCH($C$11,1,V174,2,AI174)</f>
        <v>0</v>
      </c>
      <c r="J174" s="180" cm="1">
        <f t="array" ref="J174">_xlfn.SWITCH($C$11,1,W174,2,AJ174)</f>
        <v>0</v>
      </c>
      <c r="K174" s="180" cm="1">
        <f t="array" ref="K174">_xlfn.SWITCH($C$11,1,X174,2,AK174)</f>
        <v>0</v>
      </c>
      <c r="L174" s="180" cm="1">
        <f t="array" ref="L174">_xlfn.SWITCH($C$11,1,Y174,2,AL174)</f>
        <v>0</v>
      </c>
      <c r="P174" s="49"/>
      <c r="Q174" s="49"/>
      <c r="R174" s="180"/>
      <c r="S174" s="180"/>
      <c r="T174" s="180"/>
      <c r="U174" s="180"/>
      <c r="V174" s="180"/>
      <c r="W174" s="180"/>
      <c r="X174" s="180"/>
      <c r="Y174" s="180"/>
      <c r="AC174" s="49"/>
      <c r="AD174" s="49"/>
      <c r="AE174" s="180"/>
      <c r="AF174" s="180"/>
      <c r="AG174" s="180"/>
      <c r="AH174" s="180"/>
      <c r="AI174" s="180"/>
      <c r="AJ174" s="180"/>
      <c r="AK174" s="180"/>
      <c r="AL174" s="180"/>
    </row>
    <row r="175" spans="2:38" x14ac:dyDescent="0.2">
      <c r="B175" s="49" t="s">
        <v>88</v>
      </c>
      <c r="C175" s="49"/>
      <c r="D175" s="49"/>
      <c r="E175" s="180" cm="1">
        <f t="array" ref="E175">_xlfn.SWITCH($C$11,1,R175,2,AE175)</f>
        <v>0</v>
      </c>
      <c r="F175" s="180" cm="1">
        <f t="array" ref="F175">_xlfn.SWITCH($C$11,1,S175,2,AF175)</f>
        <v>0</v>
      </c>
      <c r="G175" s="180" cm="1">
        <f t="array" ref="G175">_xlfn.SWITCH($C$11,1,T175,2,AG175)</f>
        <v>0</v>
      </c>
      <c r="H175" s="180" cm="1">
        <f t="array" ref="H175">_xlfn.SWITCH($C$11,1,U175,2,AH175)</f>
        <v>0</v>
      </c>
      <c r="I175" s="180" cm="1">
        <f t="array" ref="I175">_xlfn.SWITCH($C$11,1,V175,2,AI175)</f>
        <v>0</v>
      </c>
      <c r="J175" s="180" cm="1">
        <f t="array" ref="J175">_xlfn.SWITCH($C$11,1,W175,2,AJ175)</f>
        <v>0</v>
      </c>
      <c r="K175" s="180" cm="1">
        <f t="array" ref="K175">_xlfn.SWITCH($C$11,1,X175,2,AK175)</f>
        <v>0</v>
      </c>
      <c r="L175" s="180" cm="1">
        <f t="array" ref="L175">_xlfn.SWITCH($C$11,1,Y175,2,AL175)</f>
        <v>0</v>
      </c>
      <c r="P175" s="49"/>
      <c r="Q175" s="49"/>
      <c r="R175" s="180"/>
      <c r="S175" s="180"/>
      <c r="T175" s="180"/>
      <c r="U175" s="180">
        <f>U102</f>
        <v>0</v>
      </c>
      <c r="V175" s="180">
        <f>V102</f>
        <v>0</v>
      </c>
      <c r="W175" s="180">
        <f>W102</f>
        <v>0</v>
      </c>
      <c r="X175" s="180">
        <f>X102</f>
        <v>0</v>
      </c>
      <c r="Y175" s="180">
        <f>Y102</f>
        <v>0</v>
      </c>
      <c r="AC175" s="49"/>
      <c r="AD175" s="49"/>
      <c r="AE175" s="180"/>
      <c r="AF175" s="180"/>
      <c r="AG175" s="180"/>
      <c r="AH175" s="180">
        <f>AH102</f>
        <v>0</v>
      </c>
      <c r="AI175" s="180">
        <f>AI102</f>
        <v>0</v>
      </c>
      <c r="AJ175" s="180">
        <f>AJ102</f>
        <v>0</v>
      </c>
      <c r="AK175" s="180">
        <f>AK102</f>
        <v>0</v>
      </c>
      <c r="AL175" s="180">
        <f>AL102</f>
        <v>0</v>
      </c>
    </row>
    <row r="176" spans="2:38" x14ac:dyDescent="0.2">
      <c r="B176" s="61" t="s">
        <v>54</v>
      </c>
      <c r="C176" s="61"/>
      <c r="D176" s="61"/>
      <c r="E176" s="25">
        <f>SUM(E172:E175)</f>
        <v>0</v>
      </c>
      <c r="F176" s="25">
        <f t="shared" ref="F176:L176" si="192">SUM(F172:F175)</f>
        <v>0</v>
      </c>
      <c r="G176" s="25">
        <f t="shared" si="192"/>
        <v>0</v>
      </c>
      <c r="H176" s="25">
        <f t="shared" si="192"/>
        <v>-2000</v>
      </c>
      <c r="I176" s="25">
        <f t="shared" si="192"/>
        <v>-2000</v>
      </c>
      <c r="J176" s="25">
        <f t="shared" si="192"/>
        <v>-2000</v>
      </c>
      <c r="K176" s="25">
        <f t="shared" si="192"/>
        <v>-2000</v>
      </c>
      <c r="L176" s="25">
        <f t="shared" si="192"/>
        <v>-2000</v>
      </c>
      <c r="P176" s="61"/>
      <c r="Q176" s="61"/>
      <c r="R176" s="25">
        <f>SUM(R172:R175)</f>
        <v>0</v>
      </c>
      <c r="S176" s="25">
        <f t="shared" ref="S176:Y176" si="193">SUM(S172:S175)</f>
        <v>0</v>
      </c>
      <c r="T176" s="25">
        <f t="shared" si="193"/>
        <v>0</v>
      </c>
      <c r="U176" s="25">
        <f t="shared" si="193"/>
        <v>-2000</v>
      </c>
      <c r="V176" s="25">
        <f t="shared" si="193"/>
        <v>-2000</v>
      </c>
      <c r="W176" s="25">
        <f t="shared" si="193"/>
        <v>-2000</v>
      </c>
      <c r="X176" s="25">
        <f t="shared" si="193"/>
        <v>-2000</v>
      </c>
      <c r="Y176" s="25">
        <f t="shared" si="193"/>
        <v>-2000</v>
      </c>
      <c r="AC176" s="61"/>
      <c r="AD176" s="61"/>
      <c r="AE176" s="25">
        <f>SUM(AE172:AE175)</f>
        <v>0</v>
      </c>
      <c r="AF176" s="25">
        <f t="shared" ref="AF176:AL176" si="194">SUM(AF172:AF175)</f>
        <v>0</v>
      </c>
      <c r="AG176" s="25">
        <f t="shared" si="194"/>
        <v>0</v>
      </c>
      <c r="AH176" s="25">
        <f t="shared" si="194"/>
        <v>-2000</v>
      </c>
      <c r="AI176" s="25">
        <f t="shared" si="194"/>
        <v>-2000</v>
      </c>
      <c r="AJ176" s="25">
        <f t="shared" si="194"/>
        <v>-2000</v>
      </c>
      <c r="AK176" s="25">
        <f t="shared" si="194"/>
        <v>-2000</v>
      </c>
      <c r="AL176" s="25">
        <f t="shared" si="194"/>
        <v>-2000</v>
      </c>
    </row>
    <row r="177" spans="2:38" x14ac:dyDescent="0.2">
      <c r="B177" s="52"/>
      <c r="C177" s="52"/>
      <c r="D177" s="52"/>
      <c r="E177" s="182"/>
      <c r="F177" s="182"/>
      <c r="G177" s="182"/>
      <c r="H177" s="132"/>
      <c r="I177" s="132"/>
      <c r="J177" s="132"/>
      <c r="K177" s="132"/>
      <c r="L177" s="132"/>
      <c r="P177" s="52"/>
      <c r="Q177" s="52"/>
      <c r="R177" s="182"/>
      <c r="S177" s="182"/>
      <c r="T177" s="182"/>
      <c r="U177" s="132"/>
      <c r="V177" s="132"/>
      <c r="W177" s="132"/>
      <c r="X177" s="132"/>
      <c r="Y177" s="132"/>
      <c r="AC177" s="52"/>
      <c r="AD177" s="52"/>
      <c r="AE177" s="182"/>
      <c r="AF177" s="182"/>
      <c r="AG177" s="182"/>
      <c r="AH177" s="132"/>
      <c r="AI177" s="132"/>
      <c r="AJ177" s="132"/>
      <c r="AK177" s="132"/>
      <c r="AL177" s="132"/>
    </row>
    <row r="178" spans="2:38" x14ac:dyDescent="0.2">
      <c r="B178" s="58" t="s">
        <v>55</v>
      </c>
      <c r="C178" s="58"/>
      <c r="D178" s="58"/>
      <c r="E178" s="181"/>
      <c r="F178" s="181"/>
      <c r="G178" s="181"/>
      <c r="H178" s="132"/>
      <c r="I178" s="132"/>
      <c r="J178" s="132"/>
      <c r="K178" s="132"/>
      <c r="L178" s="132"/>
      <c r="P178" s="58"/>
      <c r="Q178" s="58"/>
      <c r="R178" s="181"/>
      <c r="S178" s="181"/>
      <c r="T178" s="181"/>
      <c r="U178" s="132"/>
      <c r="V178" s="132"/>
      <c r="W178" s="132"/>
      <c r="X178" s="132"/>
      <c r="Y178" s="132"/>
      <c r="AC178" s="58"/>
      <c r="AD178" s="58"/>
      <c r="AE178" s="181"/>
      <c r="AF178" s="181"/>
      <c r="AG178" s="181"/>
      <c r="AH178" s="132"/>
      <c r="AI178" s="132"/>
      <c r="AJ178" s="132"/>
      <c r="AK178" s="132"/>
      <c r="AL178" s="132"/>
    </row>
    <row r="179" spans="2:38" x14ac:dyDescent="0.2">
      <c r="B179" s="49" t="s">
        <v>56</v>
      </c>
      <c r="C179" s="49"/>
      <c r="D179" s="49"/>
      <c r="E179" s="180" cm="1">
        <f t="array" ref="E179">_xlfn.SWITCH($C$11,1,R179,2,AE179)</f>
        <v>0</v>
      </c>
      <c r="F179" s="180" cm="1">
        <f t="array" ref="F179">_xlfn.SWITCH($C$11,1,S179,2,AF179)</f>
        <v>0</v>
      </c>
      <c r="G179" s="180" cm="1">
        <f t="array" ref="G179">_xlfn.SWITCH($C$11,1,T179,2,AG179)</f>
        <v>0</v>
      </c>
      <c r="H179" s="180" cm="1">
        <f t="array" ref="H179">_xlfn.SWITCH($C$11,1,U179,2,AH179)</f>
        <v>0</v>
      </c>
      <c r="I179" s="180" cm="1">
        <f t="array" ref="I179">_xlfn.SWITCH($C$11,1,V179,2,AI179)</f>
        <v>0</v>
      </c>
      <c r="J179" s="180" cm="1">
        <f t="array" ref="J179">_xlfn.SWITCH($C$11,1,W179,2,AJ179)</f>
        <v>0</v>
      </c>
      <c r="K179" s="180" cm="1">
        <f t="array" ref="K179">_xlfn.SWITCH($C$11,1,X179,2,AK179)</f>
        <v>0</v>
      </c>
      <c r="L179" s="180" cm="1">
        <f t="array" ref="L179">_xlfn.SWITCH($C$11,1,Y179,2,AL179)</f>
        <v>0</v>
      </c>
      <c r="P179" s="49"/>
      <c r="Q179" s="49"/>
      <c r="R179" s="180"/>
      <c r="S179" s="180"/>
      <c r="T179" s="180"/>
      <c r="U179" s="180"/>
      <c r="V179" s="180"/>
      <c r="W179" s="180"/>
      <c r="X179" s="180"/>
      <c r="Y179" s="180"/>
      <c r="AC179" s="49"/>
      <c r="AD179" s="49"/>
      <c r="AE179" s="180"/>
      <c r="AF179" s="180"/>
      <c r="AG179" s="180"/>
      <c r="AH179" s="180"/>
      <c r="AI179" s="180"/>
      <c r="AJ179" s="180"/>
      <c r="AK179" s="180"/>
      <c r="AL179" s="180"/>
    </row>
    <row r="180" spans="2:38" x14ac:dyDescent="0.2">
      <c r="B180" s="49" t="s">
        <v>57</v>
      </c>
      <c r="C180" s="49"/>
      <c r="D180" s="49"/>
      <c r="E180" s="180" cm="1">
        <f t="array" ref="E180">_xlfn.SWITCH($C$11,1,R180,2,AE180)</f>
        <v>0</v>
      </c>
      <c r="F180" s="180" cm="1">
        <f t="array" ref="F180">_xlfn.SWITCH($C$11,1,S180,2,AF180)</f>
        <v>0</v>
      </c>
      <c r="G180" s="180" cm="1">
        <f t="array" ref="G180">_xlfn.SWITCH($C$11,1,T180,2,AG180)</f>
        <v>0</v>
      </c>
      <c r="H180" s="180" cm="1">
        <f t="array" ref="H180">_xlfn.SWITCH($C$11,1,U180,2,AH180)</f>
        <v>0</v>
      </c>
      <c r="I180" s="180" cm="1">
        <f t="array" ref="I180">_xlfn.SWITCH($C$11,1,V180,2,AI180)</f>
        <v>0</v>
      </c>
      <c r="J180" s="180" cm="1">
        <f t="array" ref="J180">_xlfn.SWITCH($C$11,1,W180,2,AJ180)</f>
        <v>0</v>
      </c>
      <c r="K180" s="180" cm="1">
        <f t="array" ref="K180">_xlfn.SWITCH($C$11,1,X180,2,AK180)</f>
        <v>0</v>
      </c>
      <c r="L180" s="180" cm="1">
        <f t="array" ref="L180">_xlfn.SWITCH($C$11,1,Y180,2,AL180)</f>
        <v>0</v>
      </c>
      <c r="P180" s="49"/>
      <c r="Q180" s="49"/>
      <c r="R180" s="180"/>
      <c r="S180" s="180"/>
      <c r="T180" s="180"/>
      <c r="U180" s="180"/>
      <c r="V180" s="180"/>
      <c r="W180" s="180"/>
      <c r="X180" s="180"/>
      <c r="Y180" s="180"/>
      <c r="AC180" s="49"/>
      <c r="AD180" s="49"/>
      <c r="AE180" s="180"/>
      <c r="AF180" s="180"/>
      <c r="AG180" s="180"/>
      <c r="AH180" s="180"/>
      <c r="AI180" s="180"/>
      <c r="AJ180" s="180"/>
      <c r="AK180" s="180"/>
      <c r="AL180" s="180"/>
    </row>
    <row r="181" spans="2:38" x14ac:dyDescent="0.2">
      <c r="B181" s="61" t="s">
        <v>58</v>
      </c>
      <c r="C181" s="61"/>
      <c r="D181" s="61"/>
      <c r="E181" s="25">
        <f>SUM(E179:E180)</f>
        <v>0</v>
      </c>
      <c r="F181" s="25">
        <f t="shared" ref="F181:L181" si="195">SUM(F179:F180)</f>
        <v>0</v>
      </c>
      <c r="G181" s="25">
        <f t="shared" si="195"/>
        <v>0</v>
      </c>
      <c r="H181" s="25">
        <f t="shared" si="195"/>
        <v>0</v>
      </c>
      <c r="I181" s="25">
        <f t="shared" si="195"/>
        <v>0</v>
      </c>
      <c r="J181" s="25">
        <f t="shared" si="195"/>
        <v>0</v>
      </c>
      <c r="K181" s="25">
        <f t="shared" si="195"/>
        <v>0</v>
      </c>
      <c r="L181" s="25">
        <f t="shared" si="195"/>
        <v>0</v>
      </c>
      <c r="P181" s="61"/>
      <c r="Q181" s="61"/>
      <c r="R181" s="25">
        <f>SUM(R179:R180)</f>
        <v>0</v>
      </c>
      <c r="S181" s="25">
        <f t="shared" ref="S181:Y181" si="196">SUM(S179:S180)</f>
        <v>0</v>
      </c>
      <c r="T181" s="25">
        <f t="shared" si="196"/>
        <v>0</v>
      </c>
      <c r="U181" s="25">
        <f t="shared" si="196"/>
        <v>0</v>
      </c>
      <c r="V181" s="25">
        <f t="shared" si="196"/>
        <v>0</v>
      </c>
      <c r="W181" s="25">
        <f t="shared" si="196"/>
        <v>0</v>
      </c>
      <c r="X181" s="25">
        <f t="shared" si="196"/>
        <v>0</v>
      </c>
      <c r="Y181" s="25">
        <f t="shared" si="196"/>
        <v>0</v>
      </c>
      <c r="AC181" s="61"/>
      <c r="AD181" s="61"/>
      <c r="AE181" s="25">
        <f>SUM(AE179:AE180)</f>
        <v>0</v>
      </c>
      <c r="AF181" s="25">
        <f t="shared" ref="AF181:AL181" si="197">SUM(AF179:AF180)</f>
        <v>0</v>
      </c>
      <c r="AG181" s="25">
        <f t="shared" si="197"/>
        <v>0</v>
      </c>
      <c r="AH181" s="25">
        <f t="shared" si="197"/>
        <v>0</v>
      </c>
      <c r="AI181" s="25">
        <f t="shared" si="197"/>
        <v>0</v>
      </c>
      <c r="AJ181" s="25">
        <f t="shared" si="197"/>
        <v>0</v>
      </c>
      <c r="AK181" s="25">
        <f t="shared" si="197"/>
        <v>0</v>
      </c>
      <c r="AL181" s="25">
        <f t="shared" si="197"/>
        <v>0</v>
      </c>
    </row>
    <row r="182" spans="2:38" x14ac:dyDescent="0.2">
      <c r="B182" s="52"/>
      <c r="C182" s="52"/>
      <c r="D182" s="52"/>
      <c r="E182" s="182"/>
      <c r="F182" s="182"/>
      <c r="G182" s="182"/>
      <c r="H182" s="182"/>
      <c r="I182" s="182"/>
      <c r="J182" s="182"/>
      <c r="K182" s="182"/>
      <c r="L182" s="182"/>
      <c r="P182" s="52"/>
      <c r="Q182" s="52"/>
      <c r="R182" s="182"/>
      <c r="S182" s="182"/>
      <c r="T182" s="182"/>
      <c r="U182" s="182"/>
      <c r="V182" s="182"/>
      <c r="W182" s="182"/>
      <c r="X182" s="182"/>
      <c r="Y182" s="182"/>
      <c r="AC182" s="52"/>
      <c r="AD182" s="52"/>
      <c r="AE182" s="182"/>
      <c r="AF182" s="182"/>
      <c r="AG182" s="182"/>
      <c r="AH182" s="182"/>
      <c r="AI182" s="182"/>
      <c r="AJ182" s="182"/>
      <c r="AK182" s="182"/>
      <c r="AL182" s="182"/>
    </row>
    <row r="183" spans="2:38" x14ac:dyDescent="0.2">
      <c r="B183" s="51" t="s">
        <v>59</v>
      </c>
      <c r="C183" s="51"/>
      <c r="D183" s="51"/>
      <c r="E183" s="25">
        <f>E169+E176+E181</f>
        <v>0</v>
      </c>
      <c r="F183" s="25">
        <f t="shared" ref="F183:L183" si="198">F169+F176+F181</f>
        <v>0</v>
      </c>
      <c r="G183" s="25">
        <f t="shared" si="198"/>
        <v>0</v>
      </c>
      <c r="H183" s="25">
        <f t="shared" si="198"/>
        <v>10199.853380684272</v>
      </c>
      <c r="I183" s="25">
        <f t="shared" si="198"/>
        <v>32476.115261921688</v>
      </c>
      <c r="J183" s="25">
        <f t="shared" si="198"/>
        <v>81050.401433261708</v>
      </c>
      <c r="K183" s="25">
        <f t="shared" si="198"/>
        <v>100313.28501635772</v>
      </c>
      <c r="L183" s="25">
        <f t="shared" si="198"/>
        <v>116006.73451506076</v>
      </c>
      <c r="P183" s="51"/>
      <c r="Q183" s="51"/>
      <c r="R183" s="25">
        <f>R169+R176+R181</f>
        <v>0</v>
      </c>
      <c r="S183" s="25">
        <f t="shared" ref="S183:Y183" si="199">S169+S176+S181</f>
        <v>0</v>
      </c>
      <c r="T183" s="25">
        <f t="shared" si="199"/>
        <v>0</v>
      </c>
      <c r="U183" s="25">
        <f t="shared" si="199"/>
        <v>10199.853380684272</v>
      </c>
      <c r="V183" s="25">
        <f t="shared" si="199"/>
        <v>32476.115261921688</v>
      </c>
      <c r="W183" s="25">
        <f t="shared" si="199"/>
        <v>81050.401433261708</v>
      </c>
      <c r="X183" s="25">
        <f t="shared" si="199"/>
        <v>100313.28501635772</v>
      </c>
      <c r="Y183" s="25">
        <f t="shared" si="199"/>
        <v>116006.73451506076</v>
      </c>
      <c r="AC183" s="51"/>
      <c r="AD183" s="51"/>
      <c r="AE183" s="25">
        <f>AE169+AE176+AE181</f>
        <v>0</v>
      </c>
      <c r="AF183" s="25">
        <f t="shared" ref="AF183:AL183" si="200">AF169+AF176+AF181</f>
        <v>0</v>
      </c>
      <c r="AG183" s="25">
        <f t="shared" si="200"/>
        <v>0</v>
      </c>
      <c r="AH183" s="25">
        <f t="shared" si="200"/>
        <v>3422.157058081898</v>
      </c>
      <c r="AI183" s="25">
        <f t="shared" si="200"/>
        <v>11048.826456892293</v>
      </c>
      <c r="AJ183" s="25">
        <f t="shared" si="200"/>
        <v>27073.353016142919</v>
      </c>
      <c r="AK183" s="25">
        <f t="shared" si="200"/>
        <v>33185.409859261446</v>
      </c>
      <c r="AL183" s="25">
        <f t="shared" si="200"/>
        <v>35409.079134082072</v>
      </c>
    </row>
    <row r="184" spans="2:38" x14ac:dyDescent="0.2">
      <c r="B184" s="49" t="s">
        <v>60</v>
      </c>
      <c r="C184" s="49"/>
      <c r="D184" s="49"/>
      <c r="E184" s="180" cm="1">
        <f t="array" ref="E184">_xlfn.SWITCH($C$11,1,R184,2,AE184)</f>
        <v>0</v>
      </c>
      <c r="F184" s="180" cm="1">
        <f t="array" ref="F184">_xlfn.SWITCH($C$11,1,S184,2,AF184)</f>
        <v>0</v>
      </c>
      <c r="G184" s="180" cm="1">
        <f t="array" ref="G184">_xlfn.SWITCH($C$11,1,T184,2,AG184)</f>
        <v>0</v>
      </c>
      <c r="H184" s="180" cm="1">
        <f t="array" ref="H184">_xlfn.SWITCH($C$11,1,U184,2,AH184)</f>
        <v>0</v>
      </c>
      <c r="I184" s="180" cm="1">
        <f t="array" ref="I184">_xlfn.SWITCH($C$11,1,V184,2,AI184)</f>
        <v>10199.853380684272</v>
      </c>
      <c r="J184" s="180" cm="1">
        <f t="array" ref="J184">_xlfn.SWITCH($C$11,1,W184,2,AJ184)</f>
        <v>42675.968642605963</v>
      </c>
      <c r="K184" s="180" cm="1">
        <f t="array" ref="K184">_xlfn.SWITCH($C$11,1,X184,2,AK184)</f>
        <v>123726.37007586767</v>
      </c>
      <c r="L184" s="180" cm="1">
        <f t="array" ref="L184">_xlfn.SWITCH($C$11,1,Y184,2,AL184)</f>
        <v>224039.65509222541</v>
      </c>
      <c r="P184" s="49"/>
      <c r="Q184" s="49"/>
      <c r="R184" s="180">
        <f>Q185</f>
        <v>0</v>
      </c>
      <c r="S184" s="180">
        <f t="shared" ref="S184" si="201">R185</f>
        <v>0</v>
      </c>
      <c r="T184" s="180">
        <f t="shared" ref="T184" si="202">S185</f>
        <v>0</v>
      </c>
      <c r="U184" s="180">
        <f t="shared" ref="U184" si="203">T185</f>
        <v>0</v>
      </c>
      <c r="V184" s="180">
        <f t="shared" ref="V184" si="204">U185</f>
        <v>10199.853380684272</v>
      </c>
      <c r="W184" s="180">
        <f t="shared" ref="W184" si="205">V185</f>
        <v>42675.968642605963</v>
      </c>
      <c r="X184" s="180">
        <f t="shared" ref="X184" si="206">W185</f>
        <v>123726.37007586767</v>
      </c>
      <c r="Y184" s="180">
        <f t="shared" ref="Y184" si="207">X185</f>
        <v>224039.65509222541</v>
      </c>
      <c r="AC184" s="49"/>
      <c r="AD184" s="49"/>
      <c r="AE184" s="180">
        <f>AD185</f>
        <v>0</v>
      </c>
      <c r="AF184" s="180">
        <f t="shared" ref="AF184" si="208">AE185</f>
        <v>0</v>
      </c>
      <c r="AG184" s="180">
        <f t="shared" ref="AG184" si="209">AF185</f>
        <v>0</v>
      </c>
      <c r="AH184" s="180">
        <f t="shared" ref="AH184" si="210">AG185</f>
        <v>0</v>
      </c>
      <c r="AI184" s="180">
        <f t="shared" ref="AI184" si="211">AH185</f>
        <v>3422.157058081898</v>
      </c>
      <c r="AJ184" s="180">
        <f t="shared" ref="AJ184" si="212">AI185</f>
        <v>14470.983514974192</v>
      </c>
      <c r="AK184" s="180">
        <f t="shared" ref="AK184" si="213">AJ185</f>
        <v>41544.336531117107</v>
      </c>
      <c r="AL184" s="180">
        <f t="shared" ref="AL184" si="214">AK185</f>
        <v>74729.746390378554</v>
      </c>
    </row>
    <row r="185" spans="2:38" ht="10.8" thickBot="1" x14ac:dyDescent="0.25">
      <c r="B185" s="53" t="s">
        <v>61</v>
      </c>
      <c r="C185" s="53"/>
      <c r="D185" s="53"/>
      <c r="E185" s="183">
        <f>SUM(E183:E184)</f>
        <v>0</v>
      </c>
      <c r="F185" s="183">
        <f t="shared" ref="F185:L185" si="215">SUM(F183:F184)</f>
        <v>0</v>
      </c>
      <c r="G185" s="183">
        <f t="shared" si="215"/>
        <v>0</v>
      </c>
      <c r="H185" s="183">
        <f t="shared" si="215"/>
        <v>10199.853380684272</v>
      </c>
      <c r="I185" s="183">
        <f t="shared" si="215"/>
        <v>42675.968642605963</v>
      </c>
      <c r="J185" s="183">
        <f t="shared" si="215"/>
        <v>123726.37007586767</v>
      </c>
      <c r="K185" s="183">
        <f t="shared" si="215"/>
        <v>224039.65509222541</v>
      </c>
      <c r="L185" s="183">
        <f t="shared" si="215"/>
        <v>340046.3896072862</v>
      </c>
      <c r="P185" s="53"/>
      <c r="Q185" s="53"/>
      <c r="R185" s="183">
        <f>SUM(R183:R184)</f>
        <v>0</v>
      </c>
      <c r="S185" s="183">
        <f t="shared" ref="S185:Y185" si="216">SUM(S183:S184)</f>
        <v>0</v>
      </c>
      <c r="T185" s="183">
        <f t="shared" si="216"/>
        <v>0</v>
      </c>
      <c r="U185" s="183">
        <f t="shared" si="216"/>
        <v>10199.853380684272</v>
      </c>
      <c r="V185" s="183">
        <f t="shared" si="216"/>
        <v>42675.968642605963</v>
      </c>
      <c r="W185" s="183">
        <f t="shared" si="216"/>
        <v>123726.37007586767</v>
      </c>
      <c r="X185" s="183">
        <f t="shared" si="216"/>
        <v>224039.65509222541</v>
      </c>
      <c r="Y185" s="183">
        <f t="shared" si="216"/>
        <v>340046.3896072862</v>
      </c>
      <c r="AC185" s="53"/>
      <c r="AD185" s="53"/>
      <c r="AE185" s="183">
        <f>SUM(AE183:AE184)</f>
        <v>0</v>
      </c>
      <c r="AF185" s="183">
        <f t="shared" ref="AF185:AL185" si="217">SUM(AF183:AF184)</f>
        <v>0</v>
      </c>
      <c r="AG185" s="183">
        <f t="shared" si="217"/>
        <v>0</v>
      </c>
      <c r="AH185" s="183">
        <f t="shared" si="217"/>
        <v>3422.157058081898</v>
      </c>
      <c r="AI185" s="183">
        <f t="shared" si="217"/>
        <v>14470.983514974192</v>
      </c>
      <c r="AJ185" s="183">
        <f t="shared" si="217"/>
        <v>41544.336531117107</v>
      </c>
      <c r="AK185" s="183">
        <f t="shared" si="217"/>
        <v>74729.746390378554</v>
      </c>
      <c r="AL185" s="183">
        <f t="shared" si="217"/>
        <v>110138.82552446063</v>
      </c>
    </row>
    <row r="186" spans="2:38" x14ac:dyDescent="0.2">
      <c r="B186" s="58"/>
      <c r="C186" s="58"/>
      <c r="D186" s="58"/>
      <c r="E186" s="15"/>
      <c r="F186" s="26"/>
      <c r="G186" s="26"/>
      <c r="H186" s="26"/>
      <c r="I186" s="26"/>
      <c r="J186" s="26"/>
      <c r="K186" s="26"/>
      <c r="L186" s="26"/>
      <c r="P186" s="58"/>
      <c r="Q186" s="58"/>
      <c r="R186" s="15"/>
      <c r="S186" s="26"/>
      <c r="T186" s="26"/>
      <c r="U186" s="26"/>
      <c r="V186" s="26"/>
      <c r="W186" s="26"/>
      <c r="X186" s="26"/>
      <c r="Y186" s="26"/>
      <c r="AC186" s="58"/>
      <c r="AD186" s="58"/>
      <c r="AE186" s="15"/>
      <c r="AF186" s="26"/>
      <c r="AG186" s="26"/>
      <c r="AH186" s="26"/>
      <c r="AI186" s="26"/>
      <c r="AJ186" s="26"/>
      <c r="AK186" s="26"/>
      <c r="AL186" s="26"/>
    </row>
    <row r="187" spans="2:38" x14ac:dyDescent="0.2">
      <c r="B187" s="131" t="s">
        <v>62</v>
      </c>
      <c r="C187" s="131"/>
      <c r="D187" s="131"/>
      <c r="E187" s="28">
        <f>E185-E139</f>
        <v>0</v>
      </c>
      <c r="F187" s="28">
        <f>F185-F139</f>
        <v>0</v>
      </c>
      <c r="G187" s="28">
        <f>G185-G139</f>
        <v>0</v>
      </c>
      <c r="H187" s="28">
        <f t="shared" ref="H187:L187" si="218">H185-H139</f>
        <v>0</v>
      </c>
      <c r="I187" s="28">
        <f t="shared" si="218"/>
        <v>0</v>
      </c>
      <c r="J187" s="28">
        <f t="shared" si="218"/>
        <v>0</v>
      </c>
      <c r="K187" s="28">
        <f t="shared" si="218"/>
        <v>0</v>
      </c>
      <c r="L187" s="28">
        <f t="shared" si="218"/>
        <v>0</v>
      </c>
      <c r="P187" s="131"/>
      <c r="Q187" s="131"/>
      <c r="R187" s="28">
        <f>R185-R139</f>
        <v>0</v>
      </c>
      <c r="S187" s="28">
        <f>S185-S139</f>
        <v>0</v>
      </c>
      <c r="T187" s="28">
        <f>T185-T139</f>
        <v>0</v>
      </c>
      <c r="U187" s="28">
        <f t="shared" ref="U187:Y187" si="219">U185-U139</f>
        <v>0</v>
      </c>
      <c r="V187" s="28">
        <f t="shared" si="219"/>
        <v>0</v>
      </c>
      <c r="W187" s="28">
        <f t="shared" si="219"/>
        <v>0</v>
      </c>
      <c r="X187" s="28">
        <f t="shared" si="219"/>
        <v>0</v>
      </c>
      <c r="Y187" s="28">
        <f t="shared" si="219"/>
        <v>0</v>
      </c>
      <c r="AC187" s="131"/>
      <c r="AD187" s="131"/>
      <c r="AE187" s="28">
        <f>AE185-AE139</f>
        <v>0</v>
      </c>
      <c r="AF187" s="28">
        <f>AF185-AF139</f>
        <v>0</v>
      </c>
      <c r="AG187" s="28">
        <f>AG185-AG139</f>
        <v>0</v>
      </c>
      <c r="AH187" s="28">
        <f t="shared" ref="AH187:AL187" si="220">AH185-AH139</f>
        <v>0</v>
      </c>
      <c r="AI187" s="28">
        <f t="shared" si="220"/>
        <v>0</v>
      </c>
      <c r="AJ187" s="28">
        <f t="shared" si="220"/>
        <v>0</v>
      </c>
      <c r="AK187" s="28">
        <f t="shared" si="220"/>
        <v>0</v>
      </c>
      <c r="AL187" s="28">
        <f t="shared" si="220"/>
        <v>0</v>
      </c>
    </row>
    <row r="188" spans="2:38" x14ac:dyDescent="0.2">
      <c r="B188" s="131" t="s">
        <v>63</v>
      </c>
      <c r="C188" s="131"/>
      <c r="D188" s="131"/>
      <c r="E188" s="28">
        <f>E165-E134</f>
        <v>0</v>
      </c>
      <c r="F188" s="28">
        <f>F165-F134</f>
        <v>0</v>
      </c>
      <c r="G188" s="28">
        <f>G165-G134</f>
        <v>0</v>
      </c>
      <c r="H188" s="28">
        <f t="shared" ref="H188:L188" si="221">H165-H134</f>
        <v>0</v>
      </c>
      <c r="I188" s="28">
        <f t="shared" si="221"/>
        <v>0</v>
      </c>
      <c r="J188" s="28">
        <f t="shared" si="221"/>
        <v>0</v>
      </c>
      <c r="K188" s="28">
        <f t="shared" si="221"/>
        <v>0</v>
      </c>
      <c r="L188" s="28">
        <f t="shared" si="221"/>
        <v>0</v>
      </c>
      <c r="P188" s="131"/>
      <c r="Q188" s="131"/>
      <c r="R188" s="28">
        <f>R165-R134</f>
        <v>0</v>
      </c>
      <c r="S188" s="28">
        <f>S165-S134</f>
        <v>0</v>
      </c>
      <c r="T188" s="28">
        <f>T165-T134</f>
        <v>0</v>
      </c>
      <c r="U188" s="28">
        <f t="shared" ref="U188:Y188" si="222">U165-U134</f>
        <v>0</v>
      </c>
      <c r="V188" s="28">
        <f t="shared" si="222"/>
        <v>0</v>
      </c>
      <c r="W188" s="28">
        <f t="shared" si="222"/>
        <v>0</v>
      </c>
      <c r="X188" s="28">
        <f t="shared" si="222"/>
        <v>0</v>
      </c>
      <c r="Y188" s="28">
        <f t="shared" si="222"/>
        <v>0</v>
      </c>
      <c r="AC188" s="131"/>
      <c r="AD188" s="131"/>
      <c r="AE188" s="28">
        <f>AE165-AE134</f>
        <v>0</v>
      </c>
      <c r="AF188" s="28">
        <f>AF165-AF134</f>
        <v>0</v>
      </c>
      <c r="AG188" s="28">
        <f>AG165-AG134</f>
        <v>0</v>
      </c>
      <c r="AH188" s="28">
        <f t="shared" ref="AH188:AL188" si="223">AH165-AH134</f>
        <v>0</v>
      </c>
      <c r="AI188" s="28">
        <f t="shared" si="223"/>
        <v>0</v>
      </c>
      <c r="AJ188" s="28">
        <f t="shared" si="223"/>
        <v>0</v>
      </c>
      <c r="AK188" s="28">
        <f t="shared" si="223"/>
        <v>0</v>
      </c>
      <c r="AL188" s="28">
        <f t="shared" si="223"/>
        <v>0</v>
      </c>
    </row>
    <row r="189" spans="2:38" x14ac:dyDescent="0.2">
      <c r="B189" s="131" t="s">
        <v>64</v>
      </c>
      <c r="C189" s="131"/>
      <c r="D189" s="131"/>
      <c r="E189" s="28">
        <f t="shared" ref="E189:L190" si="224">E166-E127</f>
        <v>0</v>
      </c>
      <c r="F189" s="28">
        <f t="shared" si="224"/>
        <v>0</v>
      </c>
      <c r="G189" s="28">
        <f t="shared" si="224"/>
        <v>0</v>
      </c>
      <c r="H189" s="28">
        <f t="shared" si="224"/>
        <v>0</v>
      </c>
      <c r="I189" s="28">
        <f t="shared" si="224"/>
        <v>0</v>
      </c>
      <c r="J189" s="28">
        <f t="shared" si="224"/>
        <v>0</v>
      </c>
      <c r="K189" s="28">
        <f t="shared" si="224"/>
        <v>0</v>
      </c>
      <c r="L189" s="28">
        <f t="shared" si="224"/>
        <v>0</v>
      </c>
      <c r="P189" s="131"/>
      <c r="Q189" s="131"/>
      <c r="R189" s="28">
        <f t="shared" ref="R189:Y189" si="225">R166-R127</f>
        <v>0</v>
      </c>
      <c r="S189" s="28">
        <f t="shared" si="225"/>
        <v>0</v>
      </c>
      <c r="T189" s="28">
        <f t="shared" si="225"/>
        <v>0</v>
      </c>
      <c r="U189" s="28">
        <f t="shared" si="225"/>
        <v>0</v>
      </c>
      <c r="V189" s="28">
        <f t="shared" si="225"/>
        <v>0</v>
      </c>
      <c r="W189" s="28">
        <f t="shared" si="225"/>
        <v>0</v>
      </c>
      <c r="X189" s="28">
        <f t="shared" si="225"/>
        <v>0</v>
      </c>
      <c r="Y189" s="28">
        <f t="shared" si="225"/>
        <v>0</v>
      </c>
      <c r="AC189" s="131"/>
      <c r="AD189" s="131"/>
      <c r="AE189" s="28">
        <f t="shared" ref="AE189:AL189" si="226">AE166-AE127</f>
        <v>0</v>
      </c>
      <c r="AF189" s="28">
        <f t="shared" si="226"/>
        <v>0</v>
      </c>
      <c r="AG189" s="28">
        <f t="shared" si="226"/>
        <v>0</v>
      </c>
      <c r="AH189" s="28">
        <f t="shared" si="226"/>
        <v>0</v>
      </c>
      <c r="AI189" s="28">
        <f t="shared" si="226"/>
        <v>0</v>
      </c>
      <c r="AJ189" s="28">
        <f t="shared" si="226"/>
        <v>0</v>
      </c>
      <c r="AK189" s="28">
        <f t="shared" si="226"/>
        <v>0</v>
      </c>
      <c r="AL189" s="28">
        <f t="shared" si="226"/>
        <v>0</v>
      </c>
    </row>
    <row r="190" spans="2:38" x14ac:dyDescent="0.2">
      <c r="B190" s="131" t="s">
        <v>65</v>
      </c>
      <c r="C190" s="131"/>
      <c r="D190" s="131"/>
      <c r="E190" s="28">
        <f t="shared" si="224"/>
        <v>0</v>
      </c>
      <c r="F190" s="28">
        <f t="shared" si="224"/>
        <v>0</v>
      </c>
      <c r="G190" s="28">
        <f t="shared" si="224"/>
        <v>0</v>
      </c>
      <c r="H190" s="28">
        <f t="shared" si="224"/>
        <v>0</v>
      </c>
      <c r="I190" s="28">
        <f t="shared" si="224"/>
        <v>0</v>
      </c>
      <c r="J190" s="28">
        <f t="shared" si="224"/>
        <v>0</v>
      </c>
      <c r="K190" s="28">
        <f t="shared" si="224"/>
        <v>0</v>
      </c>
      <c r="L190" s="28">
        <f t="shared" si="224"/>
        <v>0</v>
      </c>
      <c r="P190" s="131"/>
      <c r="Q190" s="131"/>
      <c r="R190" s="28">
        <f t="shared" ref="R190:Y190" si="227">R167-R128</f>
        <v>0</v>
      </c>
      <c r="S190" s="28">
        <f t="shared" si="227"/>
        <v>0</v>
      </c>
      <c r="T190" s="28">
        <f t="shared" si="227"/>
        <v>0</v>
      </c>
      <c r="U190" s="28">
        <f t="shared" si="227"/>
        <v>0</v>
      </c>
      <c r="V190" s="28">
        <f t="shared" si="227"/>
        <v>0</v>
      </c>
      <c r="W190" s="28">
        <f t="shared" si="227"/>
        <v>0</v>
      </c>
      <c r="X190" s="28">
        <f t="shared" si="227"/>
        <v>0</v>
      </c>
      <c r="Y190" s="28">
        <f t="shared" si="227"/>
        <v>0</v>
      </c>
      <c r="AC190" s="131"/>
      <c r="AD190" s="131"/>
      <c r="AE190" s="28">
        <f t="shared" ref="AE190:AL190" si="228">AE167-AE128</f>
        <v>0</v>
      </c>
      <c r="AF190" s="28">
        <f t="shared" si="228"/>
        <v>0</v>
      </c>
      <c r="AG190" s="28">
        <f t="shared" si="228"/>
        <v>0</v>
      </c>
      <c r="AH190" s="28">
        <f t="shared" si="228"/>
        <v>0</v>
      </c>
      <c r="AI190" s="28">
        <f t="shared" si="228"/>
        <v>0</v>
      </c>
      <c r="AJ190" s="28">
        <f t="shared" si="228"/>
        <v>0</v>
      </c>
      <c r="AK190" s="28">
        <f t="shared" si="228"/>
        <v>0</v>
      </c>
      <c r="AL190" s="28">
        <f t="shared" si="228"/>
        <v>0</v>
      </c>
    </row>
  </sheetData>
  <hyperlinks>
    <hyperlink ref="B1" location="'TOC'!A1" display="Table of Contents" xr:uid="{17FAE141-60BB-473E-8819-04FBDB36F486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8BBE-1227-48FA-894E-552C0E996077}">
  <sheetPr>
    <tabColor rgb="FF92D050"/>
  </sheetPr>
  <dimension ref="B1:N330"/>
  <sheetViews>
    <sheetView showGridLines="0" zoomScaleNormal="100" workbookViewId="0">
      <pane ySplit="7" topLeftCell="A109" activePane="bottomLeft" state="frozen"/>
      <selection pane="bottomLef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6384" width="9.109375" style="39"/>
  </cols>
  <sheetData>
    <row r="1" spans="2:14" x14ac:dyDescent="0.2">
      <c r="B1" s="256" t="s">
        <v>343</v>
      </c>
    </row>
    <row r="2" spans="2:14" ht="15.6" x14ac:dyDescent="0.3">
      <c r="B2" s="37" t="s">
        <v>187</v>
      </c>
      <c r="C2" s="37"/>
      <c r="D2" s="37"/>
    </row>
    <row r="3" spans="2:14" x14ac:dyDescent="0.2">
      <c r="B3" s="38" t="s">
        <v>94</v>
      </c>
      <c r="C3" s="38"/>
      <c r="D3" s="38"/>
    </row>
    <row r="5" spans="2:14" x14ac:dyDescent="0.2">
      <c r="B5" s="40" t="s">
        <v>80</v>
      </c>
      <c r="C5" s="40"/>
      <c r="D5" s="40"/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188" t="s">
        <v>188</v>
      </c>
      <c r="C9" s="168"/>
      <c r="D9" s="168"/>
      <c r="E9" s="189">
        <f>E$7</f>
        <v>2020</v>
      </c>
      <c r="F9" s="189">
        <f t="shared" ref="F9:L9" si="1">F$7</f>
        <v>2021</v>
      </c>
      <c r="G9" s="189">
        <f t="shared" si="1"/>
        <v>2022</v>
      </c>
      <c r="H9" s="189">
        <f t="shared" si="1"/>
        <v>2023</v>
      </c>
      <c r="I9" s="189">
        <f t="shared" si="1"/>
        <v>2024</v>
      </c>
      <c r="J9" s="189">
        <f t="shared" si="1"/>
        <v>2025</v>
      </c>
      <c r="K9" s="189">
        <f t="shared" si="1"/>
        <v>2026</v>
      </c>
      <c r="L9" s="189">
        <f t="shared" si="1"/>
        <v>2027</v>
      </c>
    </row>
    <row r="11" spans="2:14" x14ac:dyDescent="0.2">
      <c r="B11" s="76" t="s">
        <v>189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</row>
    <row r="12" spans="2:14" x14ac:dyDescent="0.2">
      <c r="B12" s="39" t="s">
        <v>190</v>
      </c>
      <c r="C12" s="191">
        <v>0.25</v>
      </c>
    </row>
    <row r="13" spans="2:14" x14ac:dyDescent="0.2">
      <c r="B13" s="39" t="s">
        <v>191</v>
      </c>
      <c r="C13" s="191">
        <v>0.5</v>
      </c>
    </row>
    <row r="15" spans="2:14" x14ac:dyDescent="0.2">
      <c r="B15" s="188"/>
      <c r="C15" s="168"/>
      <c r="D15" s="168"/>
      <c r="E15" s="189">
        <f>E$7</f>
        <v>2020</v>
      </c>
      <c r="F15" s="189">
        <f t="shared" ref="F15:L15" si="2">F$7</f>
        <v>2021</v>
      </c>
      <c r="G15" s="189">
        <f t="shared" si="2"/>
        <v>2022</v>
      </c>
      <c r="H15" s="189">
        <f t="shared" si="2"/>
        <v>2023</v>
      </c>
      <c r="I15" s="189">
        <f t="shared" si="2"/>
        <v>2024</v>
      </c>
      <c r="J15" s="189">
        <f t="shared" si="2"/>
        <v>2025</v>
      </c>
      <c r="K15" s="189">
        <f t="shared" si="2"/>
        <v>2026</v>
      </c>
      <c r="L15" s="189">
        <f t="shared" si="2"/>
        <v>2027</v>
      </c>
    </row>
    <row r="16" spans="2:14" x14ac:dyDescent="0.2">
      <c r="B16" s="75" t="s">
        <v>192</v>
      </c>
      <c r="C16" s="75"/>
      <c r="D16" s="75"/>
      <c r="E16" s="75"/>
      <c r="F16" s="75"/>
      <c r="G16" s="75"/>
      <c r="H16" s="193">
        <v>2</v>
      </c>
      <c r="I16" s="193">
        <v>2</v>
      </c>
      <c r="J16" s="193">
        <v>2</v>
      </c>
      <c r="K16" s="193">
        <v>3</v>
      </c>
      <c r="L16" s="193">
        <v>4</v>
      </c>
    </row>
    <row r="17" spans="2:12" x14ac:dyDescent="0.2">
      <c r="B17" s="192" t="s">
        <v>193</v>
      </c>
      <c r="C17" s="192"/>
      <c r="D17" s="192"/>
      <c r="E17" s="192"/>
      <c r="F17" s="192"/>
      <c r="G17" s="192"/>
      <c r="H17" s="194">
        <f>G17+H16</f>
        <v>2</v>
      </c>
      <c r="I17" s="194">
        <f t="shared" ref="I17:L17" si="3">H17+I16</f>
        <v>4</v>
      </c>
      <c r="J17" s="194">
        <f t="shared" si="3"/>
        <v>6</v>
      </c>
      <c r="K17" s="194">
        <f t="shared" si="3"/>
        <v>9</v>
      </c>
      <c r="L17" s="194">
        <f t="shared" si="3"/>
        <v>13</v>
      </c>
    </row>
    <row r="19" spans="2:12" x14ac:dyDescent="0.2">
      <c r="B19" s="75" t="s">
        <v>194</v>
      </c>
      <c r="C19" s="102">
        <v>50000</v>
      </c>
    </row>
    <row r="21" spans="2:12" x14ac:dyDescent="0.2">
      <c r="B21" s="195" t="s">
        <v>195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</row>
    <row r="22" spans="2:12" x14ac:dyDescent="0.2">
      <c r="B22" s="39" t="s">
        <v>196</v>
      </c>
      <c r="H22" s="196">
        <f>H16</f>
        <v>2</v>
      </c>
      <c r="I22" s="196">
        <f t="shared" ref="I22:L22" si="4">I16</f>
        <v>2</v>
      </c>
      <c r="J22" s="196">
        <f t="shared" si="4"/>
        <v>2</v>
      </c>
      <c r="K22" s="196">
        <f t="shared" si="4"/>
        <v>3</v>
      </c>
      <c r="L22" s="196">
        <f t="shared" si="4"/>
        <v>4</v>
      </c>
    </row>
    <row r="23" spans="2:12" x14ac:dyDescent="0.2">
      <c r="B23" s="39" t="s">
        <v>197</v>
      </c>
      <c r="I23" s="196">
        <f>H22</f>
        <v>2</v>
      </c>
      <c r="J23" s="196">
        <f>I22</f>
        <v>2</v>
      </c>
      <c r="K23" s="196">
        <f>J22</f>
        <v>2</v>
      </c>
      <c r="L23" s="196">
        <f>K22</f>
        <v>3</v>
      </c>
    </row>
    <row r="24" spans="2:12" x14ac:dyDescent="0.2">
      <c r="B24" s="39" t="s">
        <v>198</v>
      </c>
      <c r="J24" s="196">
        <f>I23</f>
        <v>2</v>
      </c>
      <c r="K24" s="196">
        <f>J23</f>
        <v>2</v>
      </c>
      <c r="L24" s="196">
        <f>K23</f>
        <v>2</v>
      </c>
    </row>
    <row r="25" spans="2:12" x14ac:dyDescent="0.2">
      <c r="B25" s="39" t="s">
        <v>199</v>
      </c>
      <c r="K25" s="196">
        <f>J24</f>
        <v>2</v>
      </c>
      <c r="L25" s="196">
        <f>K24</f>
        <v>2</v>
      </c>
    </row>
    <row r="26" spans="2:12" x14ac:dyDescent="0.2">
      <c r="B26" s="39" t="s">
        <v>200</v>
      </c>
      <c r="L26" s="196">
        <f>K25</f>
        <v>2</v>
      </c>
    </row>
    <row r="27" spans="2:12" x14ac:dyDescent="0.2">
      <c r="B27" s="39" t="s">
        <v>201</v>
      </c>
    </row>
    <row r="28" spans="2:12" x14ac:dyDescent="0.2">
      <c r="B28" s="39" t="s">
        <v>202</v>
      </c>
    </row>
    <row r="29" spans="2:12" x14ac:dyDescent="0.2"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</row>
    <row r="30" spans="2:12" x14ac:dyDescent="0.2">
      <c r="B30" s="195" t="s">
        <v>203</v>
      </c>
      <c r="C30" s="197" t="s">
        <v>101</v>
      </c>
      <c r="D30" s="197" t="s">
        <v>129</v>
      </c>
      <c r="E30" s="88"/>
      <c r="F30" s="88"/>
      <c r="G30" s="88"/>
      <c r="H30" s="88"/>
      <c r="I30" s="88"/>
      <c r="J30" s="88"/>
      <c r="K30" s="88"/>
      <c r="L30" s="88"/>
    </row>
    <row r="31" spans="2:12" x14ac:dyDescent="0.2">
      <c r="B31" s="39" t="s">
        <v>196</v>
      </c>
      <c r="C31" s="198"/>
      <c r="D31" s="83">
        <f>C19</f>
        <v>50000</v>
      </c>
      <c r="H31" s="84">
        <f>H22*$D31</f>
        <v>100000</v>
      </c>
      <c r="I31" s="84">
        <f t="shared" ref="I31:L31" si="5">I22*$D31</f>
        <v>100000</v>
      </c>
      <c r="J31" s="84">
        <f t="shared" si="5"/>
        <v>100000</v>
      </c>
      <c r="K31" s="84">
        <f t="shared" si="5"/>
        <v>150000</v>
      </c>
      <c r="L31" s="84">
        <f t="shared" si="5"/>
        <v>200000</v>
      </c>
    </row>
    <row r="32" spans="2:12" x14ac:dyDescent="0.2">
      <c r="B32" s="39" t="s">
        <v>197</v>
      </c>
      <c r="C32" s="191">
        <v>7.4999999999999997E-2</v>
      </c>
      <c r="D32" s="84">
        <f>D31*(1+C32)</f>
        <v>53750</v>
      </c>
      <c r="H32" s="84">
        <f t="shared" ref="H32:L32" si="6">H23*$D32</f>
        <v>0</v>
      </c>
      <c r="I32" s="84">
        <f t="shared" si="6"/>
        <v>107500</v>
      </c>
      <c r="J32" s="84">
        <f t="shared" si="6"/>
        <v>107500</v>
      </c>
      <c r="K32" s="84">
        <f t="shared" si="6"/>
        <v>107500</v>
      </c>
      <c r="L32" s="84">
        <f t="shared" si="6"/>
        <v>161250</v>
      </c>
    </row>
    <row r="33" spans="2:12" x14ac:dyDescent="0.2">
      <c r="B33" s="39" t="s">
        <v>198</v>
      </c>
      <c r="C33" s="191">
        <v>7.4999999999999997E-2</v>
      </c>
      <c r="D33" s="84">
        <f t="shared" ref="D33:D37" si="7">D32*(1+C33)</f>
        <v>57781.25</v>
      </c>
      <c r="H33" s="84">
        <f t="shared" ref="H33:L33" si="8">H24*$D33</f>
        <v>0</v>
      </c>
      <c r="I33" s="84">
        <f t="shared" si="8"/>
        <v>0</v>
      </c>
      <c r="J33" s="84">
        <f t="shared" si="8"/>
        <v>115562.5</v>
      </c>
      <c r="K33" s="84">
        <f t="shared" si="8"/>
        <v>115562.5</v>
      </c>
      <c r="L33" s="84">
        <f t="shared" si="8"/>
        <v>115562.5</v>
      </c>
    </row>
    <row r="34" spans="2:12" x14ac:dyDescent="0.2">
      <c r="B34" s="39" t="s">
        <v>199</v>
      </c>
      <c r="C34" s="191">
        <v>7.4999999999999997E-2</v>
      </c>
      <c r="D34" s="84">
        <f t="shared" si="7"/>
        <v>62114.84375</v>
      </c>
      <c r="H34" s="84">
        <f t="shared" ref="H34:L34" si="9">H25*$D34</f>
        <v>0</v>
      </c>
      <c r="I34" s="84">
        <f t="shared" si="9"/>
        <v>0</v>
      </c>
      <c r="J34" s="84">
        <f t="shared" si="9"/>
        <v>0</v>
      </c>
      <c r="K34" s="84">
        <f t="shared" si="9"/>
        <v>124229.6875</v>
      </c>
      <c r="L34" s="84">
        <f t="shared" si="9"/>
        <v>124229.6875</v>
      </c>
    </row>
    <row r="35" spans="2:12" x14ac:dyDescent="0.2">
      <c r="B35" s="39" t="s">
        <v>200</v>
      </c>
      <c r="C35" s="191">
        <v>7.4999999999999997E-2</v>
      </c>
      <c r="D35" s="84">
        <f t="shared" si="7"/>
        <v>66773.45703125</v>
      </c>
      <c r="H35" s="84">
        <f t="shared" ref="H35:L35" si="10">H26*$D35</f>
        <v>0</v>
      </c>
      <c r="I35" s="84">
        <f t="shared" si="10"/>
        <v>0</v>
      </c>
      <c r="J35" s="84">
        <f t="shared" si="10"/>
        <v>0</v>
      </c>
      <c r="K35" s="84">
        <f t="shared" si="10"/>
        <v>0</v>
      </c>
      <c r="L35" s="84">
        <f t="shared" si="10"/>
        <v>133546.9140625</v>
      </c>
    </row>
    <row r="36" spans="2:12" x14ac:dyDescent="0.2">
      <c r="B36" s="39" t="s">
        <v>201</v>
      </c>
      <c r="C36" s="191">
        <v>7.4999999999999997E-2</v>
      </c>
      <c r="D36" s="84">
        <f t="shared" si="7"/>
        <v>71781.46630859375</v>
      </c>
      <c r="H36" s="84">
        <f t="shared" ref="H36:L36" si="11">H27*$D36</f>
        <v>0</v>
      </c>
      <c r="I36" s="84">
        <f t="shared" si="11"/>
        <v>0</v>
      </c>
      <c r="J36" s="84">
        <f t="shared" si="11"/>
        <v>0</v>
      </c>
      <c r="K36" s="84">
        <f t="shared" si="11"/>
        <v>0</v>
      </c>
      <c r="L36" s="84">
        <f t="shared" si="11"/>
        <v>0</v>
      </c>
    </row>
    <row r="37" spans="2:12" x14ac:dyDescent="0.2">
      <c r="B37" s="39" t="s">
        <v>202</v>
      </c>
      <c r="C37" s="191">
        <v>7.4999999999999997E-2</v>
      </c>
      <c r="D37" s="84">
        <f t="shared" si="7"/>
        <v>77165.076281738278</v>
      </c>
      <c r="H37" s="84">
        <f t="shared" ref="H37:L37" si="12">H28*$D37</f>
        <v>0</v>
      </c>
      <c r="I37" s="84">
        <f t="shared" si="12"/>
        <v>0</v>
      </c>
      <c r="J37" s="84">
        <f t="shared" si="12"/>
        <v>0</v>
      </c>
      <c r="K37" s="84">
        <f t="shared" si="12"/>
        <v>0</v>
      </c>
      <c r="L37" s="84">
        <f t="shared" si="12"/>
        <v>0</v>
      </c>
    </row>
    <row r="38" spans="2:12" x14ac:dyDescent="0.2"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</row>
    <row r="39" spans="2:12" x14ac:dyDescent="0.2">
      <c r="B39" s="161" t="s">
        <v>129</v>
      </c>
      <c r="C39" s="161"/>
      <c r="D39" s="161"/>
      <c r="E39" s="161"/>
      <c r="F39" s="161"/>
      <c r="G39" s="161"/>
      <c r="H39" s="121">
        <f>SUM(H31:H37)</f>
        <v>100000</v>
      </c>
      <c r="I39" s="121">
        <f t="shared" ref="I39:L39" si="13">SUM(I31:I37)</f>
        <v>207500</v>
      </c>
      <c r="J39" s="121">
        <f t="shared" si="13"/>
        <v>323062.5</v>
      </c>
      <c r="K39" s="121">
        <f t="shared" si="13"/>
        <v>497292.1875</v>
      </c>
      <c r="L39" s="121">
        <f t="shared" si="13"/>
        <v>734589.1015625</v>
      </c>
    </row>
    <row r="41" spans="2:12" x14ac:dyDescent="0.2">
      <c r="B41" s="188" t="s">
        <v>205</v>
      </c>
      <c r="C41" s="168"/>
      <c r="D41" s="168"/>
      <c r="E41" s="189">
        <f>E$7</f>
        <v>2020</v>
      </c>
      <c r="F41" s="189">
        <f t="shared" ref="F41:L41" si="14">F$7</f>
        <v>2021</v>
      </c>
      <c r="G41" s="189">
        <f t="shared" si="14"/>
        <v>2022</v>
      </c>
      <c r="H41" s="189">
        <f t="shared" si="14"/>
        <v>2023</v>
      </c>
      <c r="I41" s="189">
        <f t="shared" si="14"/>
        <v>2024</v>
      </c>
      <c r="J41" s="189">
        <f t="shared" si="14"/>
        <v>2025</v>
      </c>
      <c r="K41" s="189">
        <f t="shared" si="14"/>
        <v>2026</v>
      </c>
      <c r="L41" s="189">
        <f t="shared" si="14"/>
        <v>2027</v>
      </c>
    </row>
    <row r="42" spans="2:12" x14ac:dyDescent="0.2">
      <c r="B42" s="39" t="s">
        <v>206</v>
      </c>
      <c r="E42" s="199">
        <f>CommonSize!E10</f>
        <v>0.43889264255550309</v>
      </c>
      <c r="F42" s="199">
        <f>CommonSize!F10</f>
        <v>0.45355310202831794</v>
      </c>
      <c r="G42" s="199">
        <f>CommonSize!G10</f>
        <v>0.44308089469791817</v>
      </c>
      <c r="H42" s="199">
        <f>CommonSize!H10</f>
        <v>0.44383638214637156</v>
      </c>
      <c r="I42" s="199">
        <f>CommonSize!I10</f>
        <v>0.44661189593694967</v>
      </c>
      <c r="J42" s="199">
        <f>CommonSize!J10</f>
        <v>0.44450972426041313</v>
      </c>
      <c r="K42" s="199">
        <f>CommonSize!K10</f>
        <v>0.44498600078124473</v>
      </c>
      <c r="L42" s="199">
        <f>CommonSize!L10</f>
        <v>0.4453692069928693</v>
      </c>
    </row>
    <row r="43" spans="2:12" x14ac:dyDescent="0.2">
      <c r="B43" s="161" t="s">
        <v>5</v>
      </c>
      <c r="C43" s="161"/>
      <c r="D43" s="161"/>
      <c r="E43" s="161"/>
      <c r="F43" s="161"/>
      <c r="G43" s="161"/>
      <c r="H43" s="200">
        <f>H39*H42</f>
        <v>44383.638214637154</v>
      </c>
      <c r="I43" s="200">
        <f t="shared" ref="I43:L43" si="15">I39*I42</f>
        <v>92671.968406917062</v>
      </c>
      <c r="J43" s="200">
        <f t="shared" si="15"/>
        <v>143604.42279387973</v>
      </c>
      <c r="K43" s="200">
        <f t="shared" si="15"/>
        <v>221288.0617353819</v>
      </c>
      <c r="L43" s="200">
        <f t="shared" si="15"/>
        <v>327163.36562849494</v>
      </c>
    </row>
    <row r="44" spans="2:12" ht="10.8" thickBot="1" x14ac:dyDescent="0.25">
      <c r="B44" s="162" t="s">
        <v>6</v>
      </c>
      <c r="C44" s="162"/>
      <c r="D44" s="162"/>
      <c r="E44" s="162"/>
      <c r="F44" s="162"/>
      <c r="G44" s="162"/>
      <c r="H44" s="163">
        <f>H39-H43</f>
        <v>55616.361785362846</v>
      </c>
      <c r="I44" s="163">
        <f t="shared" ref="I44:L44" si="16">I39-I43</f>
        <v>114828.03159308294</v>
      </c>
      <c r="J44" s="163">
        <f t="shared" si="16"/>
        <v>179458.07720612027</v>
      </c>
      <c r="K44" s="163">
        <f t="shared" si="16"/>
        <v>276004.1257646181</v>
      </c>
      <c r="L44" s="163">
        <f t="shared" si="16"/>
        <v>407425.73593400506</v>
      </c>
    </row>
    <row r="46" spans="2:12" x14ac:dyDescent="0.2">
      <c r="B46" s="195" t="s">
        <v>207</v>
      </c>
      <c r="C46" s="197" t="s">
        <v>213</v>
      </c>
      <c r="D46" s="88"/>
      <c r="E46" s="88"/>
      <c r="F46" s="88"/>
      <c r="G46" s="88"/>
      <c r="H46" s="88"/>
      <c r="I46" s="88"/>
      <c r="J46" s="88"/>
      <c r="K46" s="88"/>
      <c r="L46" s="88"/>
    </row>
    <row r="47" spans="2:12" x14ac:dyDescent="0.2">
      <c r="B47" s="39" t="s">
        <v>208</v>
      </c>
      <c r="C47" s="191">
        <v>0.2</v>
      </c>
      <c r="H47" s="84">
        <f>H31*$C47</f>
        <v>20000</v>
      </c>
      <c r="I47" s="84">
        <f t="shared" ref="I47:L47" si="17">I31*$C47</f>
        <v>20000</v>
      </c>
      <c r="J47" s="84">
        <f t="shared" si="17"/>
        <v>20000</v>
      </c>
      <c r="K47" s="84">
        <f t="shared" si="17"/>
        <v>30000</v>
      </c>
      <c r="L47" s="84">
        <f t="shared" si="17"/>
        <v>40000</v>
      </c>
    </row>
    <row r="48" spans="2:12" x14ac:dyDescent="0.2">
      <c r="B48" s="39" t="s">
        <v>209</v>
      </c>
      <c r="C48" s="191">
        <v>0.22</v>
      </c>
      <c r="H48" s="84">
        <f t="shared" ref="H48:L48" si="18">H32*$C48</f>
        <v>0</v>
      </c>
      <c r="I48" s="84">
        <f t="shared" si="18"/>
        <v>23650</v>
      </c>
      <c r="J48" s="84">
        <f t="shared" si="18"/>
        <v>23650</v>
      </c>
      <c r="K48" s="84">
        <f t="shared" si="18"/>
        <v>23650</v>
      </c>
      <c r="L48" s="84">
        <f t="shared" si="18"/>
        <v>35475</v>
      </c>
    </row>
    <row r="49" spans="2:12" x14ac:dyDescent="0.2">
      <c r="B49" s="39" t="s">
        <v>210</v>
      </c>
      <c r="C49" s="191">
        <v>0.24</v>
      </c>
      <c r="H49" s="84">
        <f t="shared" ref="H49:L49" si="19">H33*$C49</f>
        <v>0</v>
      </c>
      <c r="I49" s="84">
        <f t="shared" si="19"/>
        <v>0</v>
      </c>
      <c r="J49" s="84">
        <f t="shared" si="19"/>
        <v>27735</v>
      </c>
      <c r="K49" s="84">
        <f t="shared" si="19"/>
        <v>27735</v>
      </c>
      <c r="L49" s="84">
        <f t="shared" si="19"/>
        <v>27735</v>
      </c>
    </row>
    <row r="50" spans="2:12" x14ac:dyDescent="0.2">
      <c r="B50" s="39" t="s">
        <v>211</v>
      </c>
      <c r="C50" s="191">
        <v>0.25</v>
      </c>
      <c r="H50" s="84">
        <f t="shared" ref="H50:L50" si="20">H34*$C50</f>
        <v>0</v>
      </c>
      <c r="I50" s="84">
        <f t="shared" si="20"/>
        <v>0</v>
      </c>
      <c r="J50" s="84">
        <f t="shared" si="20"/>
        <v>0</v>
      </c>
      <c r="K50" s="84">
        <f t="shared" si="20"/>
        <v>31057.421875</v>
      </c>
      <c r="L50" s="84">
        <f t="shared" si="20"/>
        <v>31057.421875</v>
      </c>
    </row>
    <row r="51" spans="2:12" x14ac:dyDescent="0.2">
      <c r="B51" s="39" t="s">
        <v>212</v>
      </c>
      <c r="C51" s="191">
        <v>0.25</v>
      </c>
      <c r="H51" s="84">
        <f t="shared" ref="H51:L51" si="21">H35*$C51</f>
        <v>0</v>
      </c>
      <c r="I51" s="84">
        <f t="shared" si="21"/>
        <v>0</v>
      </c>
      <c r="J51" s="84">
        <f t="shared" si="21"/>
        <v>0</v>
      </c>
      <c r="K51" s="84">
        <f t="shared" si="21"/>
        <v>0</v>
      </c>
      <c r="L51" s="84">
        <f t="shared" si="21"/>
        <v>33386.728515625</v>
      </c>
    </row>
    <row r="52" spans="2:12" x14ac:dyDescent="0.2"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</row>
    <row r="53" spans="2:12" ht="10.8" thickBot="1" x14ac:dyDescent="0.25">
      <c r="B53" s="162" t="s">
        <v>20</v>
      </c>
      <c r="C53" s="162"/>
      <c r="D53" s="162"/>
      <c r="E53" s="162"/>
      <c r="F53" s="162"/>
      <c r="G53" s="162"/>
      <c r="H53" s="163">
        <f>SUM(H47:H51)</f>
        <v>20000</v>
      </c>
      <c r="I53" s="163">
        <f t="shared" ref="I53:L53" si="22">SUM(I47:I51)</f>
        <v>43650</v>
      </c>
      <c r="J53" s="163">
        <f t="shared" si="22"/>
        <v>71385</v>
      </c>
      <c r="K53" s="163">
        <f t="shared" si="22"/>
        <v>112442.421875</v>
      </c>
      <c r="L53" s="163">
        <f t="shared" si="22"/>
        <v>167654.150390625</v>
      </c>
    </row>
    <row r="55" spans="2:12" x14ac:dyDescent="0.2">
      <c r="B55" s="188" t="s">
        <v>214</v>
      </c>
      <c r="C55" s="168"/>
      <c r="D55" s="168"/>
      <c r="E55" s="189">
        <f>E$7</f>
        <v>2020</v>
      </c>
      <c r="F55" s="189">
        <f t="shared" ref="F55:L55" si="23">F$7</f>
        <v>2021</v>
      </c>
      <c r="G55" s="189">
        <f t="shared" si="23"/>
        <v>2022</v>
      </c>
      <c r="H55" s="189">
        <f t="shared" si="23"/>
        <v>2023</v>
      </c>
      <c r="I55" s="189">
        <f t="shared" si="23"/>
        <v>2024</v>
      </c>
      <c r="J55" s="189">
        <f t="shared" si="23"/>
        <v>2025</v>
      </c>
      <c r="K55" s="189">
        <f t="shared" si="23"/>
        <v>2026</v>
      </c>
      <c r="L55" s="189">
        <f t="shared" si="23"/>
        <v>2027</v>
      </c>
    </row>
    <row r="56" spans="2:12" x14ac:dyDescent="0.2">
      <c r="B56" s="39" t="s">
        <v>6</v>
      </c>
      <c r="H56" s="83">
        <f>H44</f>
        <v>55616.361785362846</v>
      </c>
      <c r="I56" s="83">
        <f t="shared" ref="I56:L56" si="24">I44</f>
        <v>114828.03159308294</v>
      </c>
      <c r="J56" s="83">
        <f t="shared" si="24"/>
        <v>179458.07720612027</v>
      </c>
      <c r="K56" s="83">
        <f t="shared" si="24"/>
        <v>276004.1257646181</v>
      </c>
      <c r="L56" s="83">
        <f t="shared" si="24"/>
        <v>407425.73593400506</v>
      </c>
    </row>
    <row r="57" spans="2:12" x14ac:dyDescent="0.2">
      <c r="B57" s="39" t="s">
        <v>20</v>
      </c>
      <c r="H57" s="83">
        <f>H53</f>
        <v>20000</v>
      </c>
      <c r="I57" s="83">
        <f t="shared" ref="I57:L57" si="25">I53</f>
        <v>43650</v>
      </c>
      <c r="J57" s="83">
        <f t="shared" si="25"/>
        <v>71385</v>
      </c>
      <c r="K57" s="83">
        <f t="shared" si="25"/>
        <v>112442.421875</v>
      </c>
      <c r="L57" s="83">
        <f t="shared" si="25"/>
        <v>167654.150390625</v>
      </c>
    </row>
    <row r="58" spans="2:12" ht="10.8" thickBot="1" x14ac:dyDescent="0.25">
      <c r="B58" s="162" t="s">
        <v>215</v>
      </c>
      <c r="C58" s="162"/>
      <c r="D58" s="162"/>
      <c r="E58" s="162"/>
      <c r="F58" s="162"/>
      <c r="G58" s="162"/>
      <c r="H58" s="163">
        <f>H56-H57</f>
        <v>35616.361785362846</v>
      </c>
      <c r="I58" s="163">
        <f t="shared" ref="I58:L58" si="26">I56-I57</f>
        <v>71178.031593082938</v>
      </c>
      <c r="J58" s="163">
        <f t="shared" si="26"/>
        <v>108073.07720612027</v>
      </c>
      <c r="K58" s="163">
        <f t="shared" si="26"/>
        <v>163561.7038896181</v>
      </c>
      <c r="L58" s="163">
        <f t="shared" si="26"/>
        <v>239771.58554338006</v>
      </c>
    </row>
    <row r="60" spans="2:12" x14ac:dyDescent="0.2">
      <c r="B60" s="188" t="s">
        <v>216</v>
      </c>
      <c r="C60" s="168"/>
      <c r="D60" s="168"/>
      <c r="E60" s="189">
        <f>E$7</f>
        <v>2020</v>
      </c>
      <c r="F60" s="189">
        <f t="shared" ref="F60:L60" si="27">F$7</f>
        <v>2021</v>
      </c>
      <c r="G60" s="189">
        <f t="shared" si="27"/>
        <v>2022</v>
      </c>
      <c r="H60" s="189">
        <f t="shared" si="27"/>
        <v>2023</v>
      </c>
      <c r="I60" s="189">
        <f t="shared" si="27"/>
        <v>2024</v>
      </c>
      <c r="J60" s="189">
        <f t="shared" si="27"/>
        <v>2025</v>
      </c>
      <c r="K60" s="189">
        <f t="shared" si="27"/>
        <v>2026</v>
      </c>
      <c r="L60" s="189">
        <f t="shared" si="27"/>
        <v>2027</v>
      </c>
    </row>
    <row r="61" spans="2:12" x14ac:dyDescent="0.2">
      <c r="B61" s="201" t="s">
        <v>8</v>
      </c>
      <c r="E61" s="199">
        <f>CommonSize!E13</f>
        <v>0.47463467255162828</v>
      </c>
      <c r="F61" s="199">
        <f>CommonSize!F13</f>
        <v>0.46364318109242281</v>
      </c>
      <c r="G61" s="199">
        <f>CommonSize!G13</f>
        <v>0.44385694618770177</v>
      </c>
      <c r="H61" s="199">
        <f>CommonSize!H13</f>
        <v>0.46146767866775418</v>
      </c>
      <c r="I61" s="199">
        <f>CommonSize!I13</f>
        <v>0.45636140747415693</v>
      </c>
      <c r="J61" s="199">
        <f>CommonSize!J13</f>
        <v>0.45389072663759983</v>
      </c>
      <c r="K61" s="199">
        <f>CommonSize!K13</f>
        <v>0.45724650078586482</v>
      </c>
      <c r="L61" s="199">
        <f>CommonSize!L13</f>
        <v>0.45583143741235149</v>
      </c>
    </row>
    <row r="62" spans="2:12" x14ac:dyDescent="0.2">
      <c r="B62" s="201" t="s">
        <v>9</v>
      </c>
      <c r="E62" s="199">
        <f>CommonSize!E14</f>
        <v>0.10139619486597712</v>
      </c>
      <c r="F62" s="199">
        <f>CommonSize!F14</f>
        <v>0.10373211202264006</v>
      </c>
      <c r="G62" s="199">
        <f>CommonSize!G14</f>
        <v>0.10723546749041316</v>
      </c>
      <c r="H62" s="199">
        <f>CommonSize!H14</f>
        <v>0.1037962799934689</v>
      </c>
      <c r="I62" s="199">
        <f>CommonSize!I14</f>
        <v>0.1048785445514018</v>
      </c>
      <c r="J62" s="199">
        <f>CommonSize!J14</f>
        <v>0.10530416436715098</v>
      </c>
      <c r="K62" s="199">
        <f>CommonSize!K14</f>
        <v>0.10465824460382067</v>
      </c>
      <c r="L62" s="199">
        <f>CommonSize!L14</f>
        <v>0.10494720057381345</v>
      </c>
    </row>
    <row r="63" spans="2:12" x14ac:dyDescent="0.2">
      <c r="B63" s="201" t="s">
        <v>10</v>
      </c>
      <c r="E63" s="199">
        <f>CommonSize!E15</f>
        <v>0.1833408745037248</v>
      </c>
      <c r="F63" s="199">
        <f>CommonSize!F15</f>
        <v>0.1818573138383929</v>
      </c>
      <c r="G63" s="199">
        <f>CommonSize!G15</f>
        <v>0.19129607024524059</v>
      </c>
      <c r="H63" s="199">
        <f>CommonSize!H15</f>
        <v>0.18602784143850007</v>
      </c>
      <c r="I63" s="199">
        <f>CommonSize!I15</f>
        <v>0.18655321922840892</v>
      </c>
      <c r="J63" s="199">
        <f>CommonSize!J15</f>
        <v>0.18796240481927137</v>
      </c>
      <c r="K63" s="199">
        <f>CommonSize!K15</f>
        <v>0.18684746829945295</v>
      </c>
      <c r="L63" s="199">
        <f>CommonSize!L15</f>
        <v>0.18712223140665535</v>
      </c>
    </row>
    <row r="64" spans="2:12" x14ac:dyDescent="0.2">
      <c r="B64" s="201" t="s">
        <v>11</v>
      </c>
      <c r="E64" s="199">
        <f>CommonSize!E16</f>
        <v>5.458522295140629E-2</v>
      </c>
      <c r="F64" s="199">
        <f>CommonSize!F16</f>
        <v>5.8287866888636873E-2</v>
      </c>
      <c r="G64" s="199">
        <f>CommonSize!G16</f>
        <v>5.8038618464181707E-2</v>
      </c>
      <c r="H64" s="199">
        <f>CommonSize!H16</f>
        <v>5.675907036890307E-2</v>
      </c>
      <c r="I64" s="199">
        <f>CommonSize!I16</f>
        <v>5.7648964230326248E-2</v>
      </c>
      <c r="J64" s="199">
        <f>CommonSize!J16</f>
        <v>5.748152806461327E-2</v>
      </c>
      <c r="K64" s="199">
        <f>CommonSize!K16</f>
        <v>5.7295210497625121E-2</v>
      </c>
      <c r="L64" s="199">
        <f>CommonSize!L16</f>
        <v>5.7474940487796895E-2</v>
      </c>
    </row>
    <row r="65" spans="2:12" x14ac:dyDescent="0.2">
      <c r="B65" s="201" t="s">
        <v>12</v>
      </c>
      <c r="E65" s="199">
        <f>CommonSize!E17</f>
        <v>7.8206456249477918E-2</v>
      </c>
      <c r="F65" s="199">
        <f>CommonSize!F17</f>
        <v>8.0169324554398666E-2</v>
      </c>
      <c r="G65" s="199">
        <f>CommonSize!G17</f>
        <v>8.2220500379469333E-2</v>
      </c>
      <c r="H65" s="199">
        <f>CommonSize!H17</f>
        <v>7.9936830624164387E-2</v>
      </c>
      <c r="I65" s="199">
        <f>CommonSize!I17</f>
        <v>8.07386338627126E-2</v>
      </c>
      <c r="J65" s="199">
        <f>CommonSize!J17</f>
        <v>8.0965644502200923E-2</v>
      </c>
      <c r="K65" s="199">
        <f>CommonSize!K17</f>
        <v>8.0545960920946361E-2</v>
      </c>
      <c r="L65" s="199">
        <f>CommonSize!L17</f>
        <v>8.0750159369055247E-2</v>
      </c>
    </row>
    <row r="66" spans="2:12" x14ac:dyDescent="0.2">
      <c r="B66" s="201" t="s">
        <v>13</v>
      </c>
      <c r="E66" s="199">
        <f>CommonSize!E18</f>
        <v>1.0761740150478078E-2</v>
      </c>
      <c r="F66" s="199">
        <f>CommonSize!F18</f>
        <v>1.3050925197576072E-2</v>
      </c>
      <c r="G66" s="199">
        <f>CommonSize!G18</f>
        <v>1.0370460426350583E-2</v>
      </c>
      <c r="H66" s="199">
        <f>CommonSize!H18</f>
        <v>1.11814405765529E-2</v>
      </c>
      <c r="I66" s="199">
        <f>CommonSize!I18</f>
        <v>1.1477118760789362E-2</v>
      </c>
      <c r="J66" s="199">
        <f>CommonSize!J18</f>
        <v>1.1008411918058694E-2</v>
      </c>
      <c r="K66" s="199">
        <f>CommonSize!K18</f>
        <v>1.1221773286130377E-2</v>
      </c>
      <c r="L66" s="199">
        <f>CommonSize!L18</f>
        <v>1.123529400041311E-2</v>
      </c>
    </row>
    <row r="67" spans="2:12" x14ac:dyDescent="0.2">
      <c r="B67" s="201" t="s">
        <v>14</v>
      </c>
      <c r="E67" s="199">
        <f>CommonSize!E19</f>
        <v>1.1561688469433474E-2</v>
      </c>
      <c r="F67" s="199">
        <f>CommonSize!F19</f>
        <v>1.1767124832244163E-2</v>
      </c>
      <c r="G67" s="199">
        <f>CommonSize!G19</f>
        <v>1.2330098130137763E-2</v>
      </c>
      <c r="H67" s="199">
        <f>CommonSize!H19</f>
        <v>1.179926380677839E-2</v>
      </c>
      <c r="I67" s="199">
        <f>CommonSize!I19</f>
        <v>1.1951933891214435E-2</v>
      </c>
      <c r="J67" s="199">
        <f>CommonSize!J19</f>
        <v>1.202724025489621E-2</v>
      </c>
      <c r="K67" s="199">
        <f>CommonSize!K19</f>
        <v>1.1925950154578705E-2</v>
      </c>
      <c r="L67" s="199">
        <f>CommonSize!L19</f>
        <v>1.1968419156291597E-2</v>
      </c>
    </row>
    <row r="68" spans="2:12" x14ac:dyDescent="0.2">
      <c r="B68" s="201" t="s">
        <v>15</v>
      </c>
      <c r="E68" s="199">
        <f>CommonSize!E20</f>
        <v>1.3674867387294034E-2</v>
      </c>
      <c r="F68" s="199">
        <f>CommonSize!F20</f>
        <v>1.2853564360693752E-2</v>
      </c>
      <c r="G68" s="199">
        <f>CommonSize!G20</f>
        <v>1.6400247156362416E-2</v>
      </c>
      <c r="H68" s="199">
        <f>CommonSize!H20</f>
        <v>1.4250474961439058E-2</v>
      </c>
      <c r="I68" s="199">
        <f>CommonSize!I20</f>
        <v>1.4508580854442376E-2</v>
      </c>
      <c r="J68" s="199">
        <f>CommonSize!J20</f>
        <v>1.5054386196175943E-2</v>
      </c>
      <c r="K68" s="199">
        <f>CommonSize!K20</f>
        <v>1.4604266180105765E-2</v>
      </c>
      <c r="L68" s="199">
        <f>CommonSize!L20</f>
        <v>1.4722867435351096E-2</v>
      </c>
    </row>
    <row r="69" spans="2:12" x14ac:dyDescent="0.2">
      <c r="B69" s="201" t="s">
        <v>16</v>
      </c>
      <c r="E69" s="199">
        <f>CommonSize!E21</f>
        <v>4.3960161354359664E-2</v>
      </c>
      <c r="F69" s="199">
        <f>CommonSize!F21</f>
        <v>4.500665918720001E-2</v>
      </c>
      <c r="G69" s="199">
        <f>CommonSize!G21</f>
        <v>4.6917675415390214E-2</v>
      </c>
      <c r="H69" s="199">
        <f>CommonSize!H21</f>
        <v>4.5290351847343029E-2</v>
      </c>
      <c r="I69" s="199">
        <f>CommonSize!I21</f>
        <v>4.5748212498146028E-2</v>
      </c>
      <c r="J69" s="199">
        <f>CommonSize!J21</f>
        <v>4.598586756194601E-2</v>
      </c>
      <c r="K69" s="199">
        <f>CommonSize!K21</f>
        <v>4.5674226628466159E-2</v>
      </c>
      <c r="L69" s="199">
        <f>CommonSize!L21</f>
        <v>4.580291278147415E-2</v>
      </c>
    </row>
    <row r="70" spans="2:12" x14ac:dyDescent="0.2">
      <c r="B70" s="201" t="s">
        <v>17</v>
      </c>
      <c r="E70" s="199">
        <f>CommonSize!E22</f>
        <v>2.7878121516220544E-2</v>
      </c>
      <c r="F70" s="199">
        <f>CommonSize!F22</f>
        <v>2.9631928025794795E-2</v>
      </c>
      <c r="G70" s="199">
        <f>CommonSize!G22</f>
        <v>3.1333916104752391E-2</v>
      </c>
      <c r="H70" s="199">
        <f>CommonSize!H22</f>
        <v>2.9490767715096004E-2</v>
      </c>
      <c r="I70" s="199">
        <f>CommonSize!I22</f>
        <v>3.0133384648401134E-2</v>
      </c>
      <c r="J70" s="199">
        <f>CommonSize!J22</f>
        <v>3.0319625678086617E-2</v>
      </c>
      <c r="K70" s="199">
        <f>CommonSize!K22</f>
        <v>2.9980398643009123E-2</v>
      </c>
      <c r="L70" s="199">
        <f>CommonSize!L22</f>
        <v>3.0144537376797585E-2</v>
      </c>
    </row>
    <row r="72" spans="2:12" x14ac:dyDescent="0.2">
      <c r="B72" s="201" t="s">
        <v>25</v>
      </c>
      <c r="E72" s="191">
        <v>0.35</v>
      </c>
      <c r="F72" s="191">
        <v>0.35</v>
      </c>
      <c r="G72" s="191">
        <v>0.35</v>
      </c>
      <c r="H72" s="191">
        <v>0.35</v>
      </c>
      <c r="I72" s="191">
        <v>0.35</v>
      </c>
      <c r="J72" s="191">
        <v>0.35</v>
      </c>
      <c r="K72" s="191">
        <v>0.35</v>
      </c>
      <c r="L72" s="191">
        <v>0.35</v>
      </c>
    </row>
    <row r="74" spans="2:12" x14ac:dyDescent="0.2">
      <c r="B74" s="76" t="s">
        <v>217</v>
      </c>
      <c r="C74" s="76"/>
      <c r="D74" s="76"/>
      <c r="E74" s="76"/>
      <c r="F74" s="76"/>
      <c r="G74" s="76"/>
      <c r="H74" s="76"/>
      <c r="I74" s="76"/>
      <c r="J74" s="76"/>
      <c r="K74" s="76"/>
      <c r="L74" s="76"/>
    </row>
    <row r="76" spans="2:12" x14ac:dyDescent="0.2">
      <c r="B76" s="75" t="s">
        <v>89</v>
      </c>
    </row>
    <row r="77" spans="2:12" x14ac:dyDescent="0.2">
      <c r="B77" s="170" t="s">
        <v>218</v>
      </c>
      <c r="H77" s="84">
        <f>IFERROR(H47/H16,0)</f>
        <v>10000</v>
      </c>
      <c r="I77" s="84">
        <f t="shared" ref="I77:L77" si="28">IFERROR(I47/I16,0)</f>
        <v>10000</v>
      </c>
      <c r="J77" s="84">
        <f t="shared" si="28"/>
        <v>10000</v>
      </c>
      <c r="K77" s="84">
        <f t="shared" si="28"/>
        <v>10000</v>
      </c>
      <c r="L77" s="84">
        <f t="shared" si="28"/>
        <v>10000</v>
      </c>
    </row>
    <row r="78" spans="2:12" x14ac:dyDescent="0.2">
      <c r="B78" s="170" t="s">
        <v>219</v>
      </c>
      <c r="H78" s="205">
        <v>6</v>
      </c>
      <c r="I78" s="205">
        <v>6</v>
      </c>
      <c r="J78" s="205">
        <v>6</v>
      </c>
      <c r="K78" s="205">
        <v>7</v>
      </c>
      <c r="L78" s="205">
        <v>8</v>
      </c>
    </row>
    <row r="79" spans="2:12" x14ac:dyDescent="0.2">
      <c r="B79" s="170" t="s">
        <v>220</v>
      </c>
      <c r="H79" s="84">
        <f>H77*H78</f>
        <v>60000</v>
      </c>
      <c r="I79" s="84">
        <f t="shared" ref="I79:L79" si="29">I77*I78</f>
        <v>60000</v>
      </c>
      <c r="J79" s="84">
        <f t="shared" si="29"/>
        <v>60000</v>
      </c>
      <c r="K79" s="84">
        <f t="shared" si="29"/>
        <v>70000</v>
      </c>
      <c r="L79" s="84">
        <f t="shared" si="29"/>
        <v>80000</v>
      </c>
    </row>
    <row r="80" spans="2:12" x14ac:dyDescent="0.2">
      <c r="B80" s="170" t="s">
        <v>159</v>
      </c>
      <c r="H80" s="84">
        <f>H79*H16</f>
        <v>120000</v>
      </c>
      <c r="I80" s="84">
        <f t="shared" ref="I80:L80" si="30">I79*I16</f>
        <v>120000</v>
      </c>
      <c r="J80" s="84">
        <f t="shared" si="30"/>
        <v>120000</v>
      </c>
      <c r="K80" s="84">
        <f t="shared" si="30"/>
        <v>210000</v>
      </c>
      <c r="L80" s="84">
        <f t="shared" si="30"/>
        <v>320000</v>
      </c>
    </row>
    <row r="81" spans="2:12" x14ac:dyDescent="0.2">
      <c r="B81" s="170" t="s">
        <v>221</v>
      </c>
      <c r="H81" s="84">
        <f>-H80*$C$12*(1-$C$13)</f>
        <v>-15000</v>
      </c>
      <c r="I81" s="84">
        <f t="shared" ref="I81:L81" si="31">-I80*$C$12*(1-$C$13)</f>
        <v>-15000</v>
      </c>
      <c r="J81" s="84">
        <f t="shared" si="31"/>
        <v>-15000</v>
      </c>
      <c r="K81" s="84">
        <f t="shared" si="31"/>
        <v>-26250</v>
      </c>
      <c r="L81" s="84">
        <f t="shared" si="31"/>
        <v>-40000</v>
      </c>
    </row>
    <row r="82" spans="2:12" x14ac:dyDescent="0.2">
      <c r="B82" s="204" t="s">
        <v>222</v>
      </c>
      <c r="C82" s="203"/>
      <c r="D82" s="203"/>
      <c r="E82" s="203"/>
      <c r="F82" s="203"/>
      <c r="G82" s="203"/>
      <c r="H82" s="206">
        <f>H80+H81</f>
        <v>105000</v>
      </c>
      <c r="I82" s="206">
        <f t="shared" ref="I82:L82" si="32">I80+I81</f>
        <v>105000</v>
      </c>
      <c r="J82" s="206">
        <f t="shared" si="32"/>
        <v>105000</v>
      </c>
      <c r="K82" s="206">
        <f t="shared" si="32"/>
        <v>183750</v>
      </c>
      <c r="L82" s="206">
        <f t="shared" si="32"/>
        <v>280000</v>
      </c>
    </row>
    <row r="84" spans="2:12" x14ac:dyDescent="0.2">
      <c r="B84" s="75" t="s">
        <v>223</v>
      </c>
    </row>
    <row r="85" spans="2:12" x14ac:dyDescent="0.2">
      <c r="B85" s="170" t="s">
        <v>224</v>
      </c>
      <c r="H85" s="205">
        <v>3</v>
      </c>
      <c r="I85" s="205">
        <v>3</v>
      </c>
      <c r="J85" s="205">
        <v>3</v>
      </c>
      <c r="K85" s="205">
        <v>3</v>
      </c>
      <c r="L85" s="205">
        <v>3</v>
      </c>
    </row>
    <row r="86" spans="2:12" x14ac:dyDescent="0.2">
      <c r="B86" s="204" t="s">
        <v>225</v>
      </c>
      <c r="C86" s="203"/>
      <c r="D86" s="203"/>
      <c r="E86" s="203"/>
      <c r="F86" s="203"/>
      <c r="G86" s="203"/>
      <c r="H86" s="206">
        <f>H82/H78*H85</f>
        <v>52500</v>
      </c>
      <c r="I86" s="206">
        <f t="shared" ref="I86:L86" si="33">I82/I78*I85</f>
        <v>52500</v>
      </c>
      <c r="J86" s="206">
        <f t="shared" si="33"/>
        <v>52500</v>
      </c>
      <c r="K86" s="206">
        <f t="shared" si="33"/>
        <v>78750</v>
      </c>
      <c r="L86" s="206">
        <f t="shared" si="33"/>
        <v>105000</v>
      </c>
    </row>
    <row r="87" spans="2:12" x14ac:dyDescent="0.2">
      <c r="B87" s="207" t="s">
        <v>226</v>
      </c>
      <c r="D87" s="208" t="s">
        <v>227</v>
      </c>
      <c r="E87" s="209">
        <v>5.5E-2</v>
      </c>
      <c r="H87" s="84">
        <f>$E$87*H86</f>
        <v>2887.5</v>
      </c>
      <c r="I87" s="84">
        <f t="shared" ref="I87:L87" si="34">$E$87*I86</f>
        <v>2887.5</v>
      </c>
      <c r="J87" s="84">
        <f t="shared" si="34"/>
        <v>2887.5</v>
      </c>
      <c r="K87" s="84">
        <f t="shared" si="34"/>
        <v>4331.25</v>
      </c>
      <c r="L87" s="84">
        <f t="shared" si="34"/>
        <v>5775</v>
      </c>
    </row>
    <row r="89" spans="2:12" x14ac:dyDescent="0.2">
      <c r="B89" s="75" t="s">
        <v>228</v>
      </c>
    </row>
    <row r="90" spans="2:12" x14ac:dyDescent="0.2">
      <c r="B90" s="170" t="s">
        <v>219</v>
      </c>
      <c r="H90" s="210">
        <f>H78-H85</f>
        <v>3</v>
      </c>
      <c r="I90" s="210">
        <f t="shared" ref="I90:L90" si="35">I78-I85</f>
        <v>3</v>
      </c>
      <c r="J90" s="210">
        <f t="shared" si="35"/>
        <v>3</v>
      </c>
      <c r="K90" s="210">
        <f t="shared" si="35"/>
        <v>4</v>
      </c>
      <c r="L90" s="210">
        <f t="shared" si="35"/>
        <v>5</v>
      </c>
    </row>
    <row r="91" spans="2:12" x14ac:dyDescent="0.2">
      <c r="B91" s="170" t="s">
        <v>229</v>
      </c>
      <c r="C91" s="106">
        <v>4</v>
      </c>
    </row>
    <row r="92" spans="2:12" x14ac:dyDescent="0.2">
      <c r="B92" s="195" t="s">
        <v>230</v>
      </c>
      <c r="C92" s="88"/>
      <c r="D92" s="88"/>
      <c r="E92" s="88"/>
      <c r="F92" s="88"/>
      <c r="G92" s="88"/>
      <c r="H92" s="213">
        <f>H82/H78*H90</f>
        <v>52500</v>
      </c>
      <c r="I92" s="213">
        <f t="shared" ref="I92:L92" si="36">I82/I78*I90</f>
        <v>52500</v>
      </c>
      <c r="J92" s="213">
        <f t="shared" si="36"/>
        <v>52500</v>
      </c>
      <c r="K92" s="213">
        <f t="shared" si="36"/>
        <v>105000</v>
      </c>
      <c r="L92" s="213">
        <f t="shared" si="36"/>
        <v>175000</v>
      </c>
    </row>
    <row r="93" spans="2:12" x14ac:dyDescent="0.2">
      <c r="B93" s="170" t="s">
        <v>208</v>
      </c>
      <c r="H93" s="84">
        <f>G92/$C$91</f>
        <v>0</v>
      </c>
      <c r="I93" s="84">
        <f t="shared" ref="I93:L93" si="37">H92/$C$91</f>
        <v>13125</v>
      </c>
      <c r="J93" s="84">
        <f t="shared" si="37"/>
        <v>13125</v>
      </c>
      <c r="K93" s="84">
        <f t="shared" si="37"/>
        <v>13125</v>
      </c>
      <c r="L93" s="84">
        <f t="shared" si="37"/>
        <v>26250</v>
      </c>
    </row>
    <row r="94" spans="2:12" x14ac:dyDescent="0.2">
      <c r="B94" s="170" t="s">
        <v>209</v>
      </c>
      <c r="H94" s="83">
        <f t="shared" ref="H94:K96" si="38">G93</f>
        <v>0</v>
      </c>
      <c r="I94" s="83">
        <f t="shared" si="38"/>
        <v>0</v>
      </c>
      <c r="J94" s="83">
        <f t="shared" si="38"/>
        <v>13125</v>
      </c>
      <c r="K94" s="83">
        <f t="shared" si="38"/>
        <v>13125</v>
      </c>
      <c r="L94" s="83">
        <f>K93</f>
        <v>13125</v>
      </c>
    </row>
    <row r="95" spans="2:12" x14ac:dyDescent="0.2">
      <c r="B95" s="170" t="s">
        <v>210</v>
      </c>
      <c r="H95" s="83">
        <f t="shared" si="38"/>
        <v>0</v>
      </c>
      <c r="I95" s="83">
        <f t="shared" si="38"/>
        <v>0</v>
      </c>
      <c r="J95" s="83">
        <f t="shared" si="38"/>
        <v>0</v>
      </c>
      <c r="K95" s="83">
        <f>J94</f>
        <v>13125</v>
      </c>
      <c r="L95" s="83">
        <f>K94</f>
        <v>13125</v>
      </c>
    </row>
    <row r="96" spans="2:12" x14ac:dyDescent="0.2">
      <c r="B96" s="170" t="s">
        <v>211</v>
      </c>
      <c r="H96" s="83">
        <f t="shared" si="38"/>
        <v>0</v>
      </c>
      <c r="I96" s="83">
        <f t="shared" si="38"/>
        <v>0</v>
      </c>
      <c r="J96" s="83">
        <f t="shared" si="38"/>
        <v>0</v>
      </c>
      <c r="K96" s="83">
        <f t="shared" si="38"/>
        <v>0</v>
      </c>
      <c r="L96" s="83">
        <f>K95</f>
        <v>13125</v>
      </c>
    </row>
    <row r="97" spans="2:12" x14ac:dyDescent="0.2">
      <c r="B97" s="170" t="s">
        <v>212</v>
      </c>
      <c r="H97" s="83">
        <f>G96</f>
        <v>0</v>
      </c>
      <c r="I97" s="83">
        <f>H96</f>
        <v>0</v>
      </c>
      <c r="J97" s="83">
        <f>I96</f>
        <v>0</v>
      </c>
      <c r="K97" s="83">
        <f>J96</f>
        <v>0</v>
      </c>
      <c r="L97" s="83">
        <f>K96</f>
        <v>0</v>
      </c>
    </row>
    <row r="98" spans="2:12" x14ac:dyDescent="0.2"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</row>
    <row r="99" spans="2:12" x14ac:dyDescent="0.2">
      <c r="B99" s="204" t="s">
        <v>231</v>
      </c>
      <c r="C99" s="203"/>
      <c r="D99" s="203"/>
      <c r="E99" s="203"/>
      <c r="F99" s="203"/>
      <c r="G99" s="203"/>
      <c r="H99" s="206">
        <f>SUM(H93:H97)</f>
        <v>0</v>
      </c>
      <c r="I99" s="206">
        <f t="shared" ref="I99:L99" si="39">SUM(I93:I97)</f>
        <v>13125</v>
      </c>
      <c r="J99" s="206">
        <f t="shared" si="39"/>
        <v>26250</v>
      </c>
      <c r="K99" s="206">
        <f t="shared" si="39"/>
        <v>39375</v>
      </c>
      <c r="L99" s="206">
        <f t="shared" si="39"/>
        <v>65625</v>
      </c>
    </row>
    <row r="101" spans="2:12" x14ac:dyDescent="0.2">
      <c r="B101" s="76" t="s">
        <v>232</v>
      </c>
      <c r="C101" s="76"/>
      <c r="D101" s="76"/>
      <c r="E101" s="76"/>
      <c r="F101" s="76"/>
      <c r="G101" s="76"/>
      <c r="H101" s="76"/>
      <c r="I101" s="76"/>
      <c r="J101" s="76"/>
      <c r="K101" s="76"/>
      <c r="L101" s="76"/>
    </row>
    <row r="103" spans="2:12" x14ac:dyDescent="0.2">
      <c r="B103" s="195" t="s">
        <v>108</v>
      </c>
      <c r="C103" s="88"/>
      <c r="D103" s="88"/>
      <c r="E103" s="88"/>
      <c r="F103" s="88"/>
      <c r="G103" s="88"/>
      <c r="H103" s="212">
        <f>G106</f>
        <v>0</v>
      </c>
      <c r="I103" s="212">
        <f t="shared" ref="I103:L103" si="40">H106</f>
        <v>45000</v>
      </c>
      <c r="J103" s="212">
        <f t="shared" si="40"/>
        <v>82500</v>
      </c>
      <c r="K103" s="212">
        <f t="shared" si="40"/>
        <v>112500</v>
      </c>
      <c r="L103" s="212">
        <f t="shared" si="40"/>
        <v>157500</v>
      </c>
    </row>
    <row r="104" spans="2:12" x14ac:dyDescent="0.2">
      <c r="B104" s="170" t="s">
        <v>109</v>
      </c>
      <c r="H104" s="83">
        <f>H86</f>
        <v>52500</v>
      </c>
      <c r="I104" s="83">
        <f t="shared" ref="I104:L104" si="41">I86</f>
        <v>52500</v>
      </c>
      <c r="J104" s="83">
        <f t="shared" si="41"/>
        <v>52500</v>
      </c>
      <c r="K104" s="83">
        <f t="shared" si="41"/>
        <v>78750</v>
      </c>
      <c r="L104" s="83">
        <f t="shared" si="41"/>
        <v>105000</v>
      </c>
    </row>
    <row r="105" spans="2:12" x14ac:dyDescent="0.2">
      <c r="B105" s="170" t="s">
        <v>110</v>
      </c>
      <c r="H105" s="83">
        <f>SUM(H131:L131)</f>
        <v>-7500</v>
      </c>
      <c r="I105" s="83">
        <f>SUM(H135:L135)</f>
        <v>-15000</v>
      </c>
      <c r="J105" s="83">
        <f>SUM(H139:L139)</f>
        <v>-22500</v>
      </c>
      <c r="K105" s="83">
        <f>SUM(H143:L143)</f>
        <v>-33750</v>
      </c>
      <c r="L105" s="83">
        <f>SUM(H147:L147)</f>
        <v>-48750</v>
      </c>
    </row>
    <row r="106" spans="2:12" x14ac:dyDescent="0.2">
      <c r="B106" s="161" t="s">
        <v>111</v>
      </c>
      <c r="C106" s="89"/>
      <c r="D106" s="89"/>
      <c r="E106" s="89"/>
      <c r="F106" s="89"/>
      <c r="G106" s="89"/>
      <c r="H106" s="215">
        <f>SUM(H103:H105)</f>
        <v>45000</v>
      </c>
      <c r="I106" s="215">
        <f t="shared" ref="I106:L106" si="42">SUM(I103:I105)</f>
        <v>82500</v>
      </c>
      <c r="J106" s="215">
        <f t="shared" si="42"/>
        <v>112500</v>
      </c>
      <c r="K106" s="215">
        <f t="shared" si="42"/>
        <v>157500</v>
      </c>
      <c r="L106" s="215">
        <f t="shared" si="42"/>
        <v>213750</v>
      </c>
    </row>
    <row r="108" spans="2:12" x14ac:dyDescent="0.2">
      <c r="B108" s="161" t="s">
        <v>112</v>
      </c>
      <c r="C108" s="161"/>
      <c r="D108" s="161"/>
      <c r="E108" s="161"/>
      <c r="F108" s="161"/>
      <c r="G108" s="161"/>
      <c r="H108" s="121">
        <f>SUM(H132:L132)</f>
        <v>-3150</v>
      </c>
      <c r="I108" s="121">
        <f>SUM(H136:L136)</f>
        <v>-5850</v>
      </c>
      <c r="J108" s="121">
        <f>SUM(H140:L140)</f>
        <v>-8100</v>
      </c>
      <c r="K108" s="121">
        <f>SUM(H144:L144)</f>
        <v>-11475</v>
      </c>
      <c r="L108" s="121">
        <f>SUM(H148:L148)</f>
        <v>-15750</v>
      </c>
    </row>
    <row r="110" spans="2:12" x14ac:dyDescent="0.2">
      <c r="B110" s="161" t="s">
        <v>233</v>
      </c>
      <c r="C110" s="161"/>
      <c r="D110" s="161"/>
      <c r="E110" s="161"/>
      <c r="F110" s="161"/>
      <c r="G110" s="161"/>
      <c r="H110" s="216">
        <v>7</v>
      </c>
      <c r="I110" s="161">
        <f>H110-1</f>
        <v>6</v>
      </c>
      <c r="J110" s="161">
        <f t="shared" ref="J110:L110" si="43">I110-1</f>
        <v>5</v>
      </c>
      <c r="K110" s="161">
        <f t="shared" si="43"/>
        <v>4</v>
      </c>
      <c r="L110" s="161">
        <f t="shared" si="43"/>
        <v>3</v>
      </c>
    </row>
    <row r="111" spans="2:12" x14ac:dyDescent="0.2">
      <c r="B111" s="161" t="s">
        <v>234</v>
      </c>
      <c r="C111" s="161"/>
      <c r="D111" s="161"/>
      <c r="E111" s="161"/>
      <c r="F111" s="161"/>
      <c r="G111" s="161"/>
      <c r="H111" s="217">
        <f>1/H110</f>
        <v>0.14285714285714285</v>
      </c>
      <c r="I111" s="217">
        <f t="shared" ref="I111:L111" si="44">1/I110</f>
        <v>0.16666666666666666</v>
      </c>
      <c r="J111" s="217">
        <f t="shared" si="44"/>
        <v>0.2</v>
      </c>
      <c r="K111" s="217">
        <f t="shared" si="44"/>
        <v>0.25</v>
      </c>
      <c r="L111" s="217">
        <f t="shared" si="44"/>
        <v>0.33333333333333331</v>
      </c>
    </row>
    <row r="113" spans="2:12" x14ac:dyDescent="0.2">
      <c r="B113" s="161" t="s">
        <v>235</v>
      </c>
      <c r="C113" s="161"/>
      <c r="D113" s="161"/>
      <c r="E113" s="161"/>
      <c r="F113" s="161"/>
      <c r="G113" s="161"/>
      <c r="H113" s="218">
        <v>0.06</v>
      </c>
      <c r="I113" s="218">
        <v>0.06</v>
      </c>
      <c r="J113" s="218">
        <v>0.06</v>
      </c>
      <c r="K113" s="218">
        <v>0.06</v>
      </c>
      <c r="L113" s="218">
        <v>0.06</v>
      </c>
    </row>
    <row r="115" spans="2:12" x14ac:dyDescent="0.2">
      <c r="B115" s="195" t="s">
        <v>236</v>
      </c>
      <c r="C115" s="88"/>
      <c r="D115" s="88"/>
      <c r="E115" s="88"/>
      <c r="F115" s="88"/>
      <c r="G115" s="88"/>
      <c r="H115" s="88"/>
      <c r="I115" s="88"/>
      <c r="J115" s="88"/>
      <c r="K115" s="88"/>
      <c r="L115" s="88"/>
    </row>
    <row r="116" spans="2:12" x14ac:dyDescent="0.2">
      <c r="B116" s="170" t="s">
        <v>237</v>
      </c>
      <c r="H116" s="77">
        <f>H111</f>
        <v>0.14285714285714285</v>
      </c>
    </row>
    <row r="117" spans="2:12" x14ac:dyDescent="0.2">
      <c r="B117" s="170" t="s">
        <v>238</v>
      </c>
      <c r="H117" s="77">
        <f>I111</f>
        <v>0.16666666666666666</v>
      </c>
      <c r="I117" s="77">
        <f>H116</f>
        <v>0.14285714285714285</v>
      </c>
    </row>
    <row r="118" spans="2:12" x14ac:dyDescent="0.2">
      <c r="B118" s="170" t="s">
        <v>239</v>
      </c>
      <c r="H118" s="77">
        <f>J111</f>
        <v>0.2</v>
      </c>
      <c r="I118" s="77">
        <f>H117</f>
        <v>0.16666666666666666</v>
      </c>
      <c r="J118" s="77">
        <f>I117</f>
        <v>0.14285714285714285</v>
      </c>
    </row>
    <row r="119" spans="2:12" x14ac:dyDescent="0.2">
      <c r="B119" s="170" t="s">
        <v>240</v>
      </c>
      <c r="H119" s="77">
        <f>K111</f>
        <v>0.25</v>
      </c>
      <c r="I119" s="77">
        <f>H118</f>
        <v>0.2</v>
      </c>
      <c r="J119" s="77">
        <f>I118</f>
        <v>0.16666666666666666</v>
      </c>
      <c r="K119" s="77">
        <f>J118</f>
        <v>0.14285714285714285</v>
      </c>
    </row>
    <row r="120" spans="2:12" x14ac:dyDescent="0.2">
      <c r="B120" s="170" t="s">
        <v>241</v>
      </c>
      <c r="H120" s="77">
        <f>L111</f>
        <v>0.33333333333333331</v>
      </c>
      <c r="I120" s="77">
        <f>H119</f>
        <v>0.25</v>
      </c>
      <c r="J120" s="77">
        <f>I119</f>
        <v>0.2</v>
      </c>
      <c r="K120" s="77">
        <f>J119</f>
        <v>0.16666666666666666</v>
      </c>
      <c r="L120" s="77">
        <f>K119</f>
        <v>0.14285714285714285</v>
      </c>
    </row>
    <row r="121" spans="2:12" x14ac:dyDescent="0.2"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</row>
    <row r="122" spans="2:12" x14ac:dyDescent="0.2">
      <c r="B122" s="195" t="s">
        <v>242</v>
      </c>
      <c r="C122" s="88"/>
      <c r="D122" s="88"/>
      <c r="E122" s="88"/>
      <c r="F122" s="88"/>
      <c r="G122" s="88"/>
      <c r="H122" s="88"/>
      <c r="I122" s="88"/>
      <c r="J122" s="88"/>
      <c r="K122" s="88"/>
      <c r="L122" s="88"/>
    </row>
    <row r="123" spans="2:12" x14ac:dyDescent="0.2">
      <c r="B123" s="170" t="s">
        <v>237</v>
      </c>
      <c r="H123" s="77">
        <f>H113</f>
        <v>0.06</v>
      </c>
    </row>
    <row r="124" spans="2:12" x14ac:dyDescent="0.2">
      <c r="B124" s="170" t="s">
        <v>238</v>
      </c>
      <c r="H124" s="77">
        <f>I113</f>
        <v>0.06</v>
      </c>
      <c r="I124" s="77">
        <f>H123</f>
        <v>0.06</v>
      </c>
    </row>
    <row r="125" spans="2:12" x14ac:dyDescent="0.2">
      <c r="B125" s="170" t="s">
        <v>239</v>
      </c>
      <c r="H125" s="77">
        <f>J113</f>
        <v>0.06</v>
      </c>
      <c r="I125" s="77">
        <f>H124</f>
        <v>0.06</v>
      </c>
      <c r="J125" s="77">
        <f>I124</f>
        <v>0.06</v>
      </c>
    </row>
    <row r="126" spans="2:12" x14ac:dyDescent="0.2">
      <c r="B126" s="170" t="s">
        <v>240</v>
      </c>
      <c r="H126" s="77">
        <f>K113</f>
        <v>0.06</v>
      </c>
      <c r="I126" s="77">
        <f>H125</f>
        <v>0.06</v>
      </c>
      <c r="J126" s="77">
        <f>I125</f>
        <v>0.06</v>
      </c>
      <c r="K126" s="77">
        <f>J125</f>
        <v>0.06</v>
      </c>
    </row>
    <row r="127" spans="2:12" x14ac:dyDescent="0.2">
      <c r="B127" s="170" t="s">
        <v>241</v>
      </c>
      <c r="H127" s="77">
        <f>L113</f>
        <v>0.06</v>
      </c>
      <c r="I127" s="77">
        <f>H126</f>
        <v>0.06</v>
      </c>
      <c r="J127" s="77">
        <f>I126</f>
        <v>0.06</v>
      </c>
      <c r="K127" s="77">
        <f>J126</f>
        <v>0.06</v>
      </c>
      <c r="L127" s="77">
        <f>K126</f>
        <v>0.06</v>
      </c>
    </row>
    <row r="128" spans="2:12" x14ac:dyDescent="0.2"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</row>
    <row r="129" spans="2:12" x14ac:dyDescent="0.2">
      <c r="B129" s="195" t="s">
        <v>243</v>
      </c>
      <c r="C129" s="88"/>
      <c r="D129" s="88"/>
      <c r="E129" s="88"/>
      <c r="F129" s="88"/>
      <c r="G129" s="88"/>
      <c r="H129" s="88"/>
      <c r="I129" s="88"/>
      <c r="J129" s="88"/>
      <c r="K129" s="88"/>
      <c r="L129" s="88"/>
    </row>
    <row r="130" spans="2:12" x14ac:dyDescent="0.2">
      <c r="B130" s="75" t="s">
        <v>237</v>
      </c>
      <c r="C130" s="161" t="s">
        <v>244</v>
      </c>
      <c r="D130" s="161"/>
      <c r="E130" s="161"/>
      <c r="F130" s="161"/>
      <c r="G130" s="161"/>
      <c r="H130" s="200">
        <f>H104</f>
        <v>52500</v>
      </c>
      <c r="I130" s="200">
        <f t="shared" ref="I130:L130" si="45">I104</f>
        <v>52500</v>
      </c>
      <c r="J130" s="200">
        <f t="shared" si="45"/>
        <v>52500</v>
      </c>
      <c r="K130" s="200">
        <f t="shared" si="45"/>
        <v>78750</v>
      </c>
      <c r="L130" s="200">
        <f t="shared" si="45"/>
        <v>105000</v>
      </c>
    </row>
    <row r="131" spans="2:12" x14ac:dyDescent="0.2">
      <c r="C131" s="39" t="s">
        <v>245</v>
      </c>
      <c r="H131" s="219">
        <f>-H130*H116</f>
        <v>-7500</v>
      </c>
      <c r="I131" s="219">
        <f t="shared" ref="I131:L131" si="46">-I130*I116</f>
        <v>0</v>
      </c>
      <c r="J131" s="219">
        <f t="shared" si="46"/>
        <v>0</v>
      </c>
      <c r="K131" s="219">
        <f t="shared" si="46"/>
        <v>0</v>
      </c>
      <c r="L131" s="219">
        <f t="shared" si="46"/>
        <v>0</v>
      </c>
    </row>
    <row r="132" spans="2:12" x14ac:dyDescent="0.2">
      <c r="C132" s="39" t="s">
        <v>22</v>
      </c>
      <c r="H132" s="219">
        <f>-H130*H123</f>
        <v>-3150</v>
      </c>
      <c r="I132" s="219">
        <f t="shared" ref="I132:L132" si="47">-I130*I123</f>
        <v>0</v>
      </c>
      <c r="J132" s="219">
        <f t="shared" si="47"/>
        <v>0</v>
      </c>
      <c r="K132" s="219">
        <f t="shared" si="47"/>
        <v>0</v>
      </c>
      <c r="L132" s="219">
        <f t="shared" si="47"/>
        <v>0</v>
      </c>
    </row>
    <row r="133" spans="2:12" x14ac:dyDescent="0.2">
      <c r="B133" s="88"/>
      <c r="C133" s="161" t="s">
        <v>246</v>
      </c>
      <c r="D133" s="161"/>
      <c r="E133" s="161"/>
      <c r="F133" s="161"/>
      <c r="G133" s="161"/>
      <c r="H133" s="200">
        <f>H130+H131</f>
        <v>45000</v>
      </c>
      <c r="I133" s="200">
        <f t="shared" ref="I133:L133" si="48">I130+I131</f>
        <v>52500</v>
      </c>
      <c r="J133" s="200">
        <f t="shared" si="48"/>
        <v>52500</v>
      </c>
      <c r="K133" s="200">
        <f t="shared" si="48"/>
        <v>78750</v>
      </c>
      <c r="L133" s="200">
        <f t="shared" si="48"/>
        <v>105000</v>
      </c>
    </row>
    <row r="134" spans="2:12" x14ac:dyDescent="0.2">
      <c r="B134" s="75" t="s">
        <v>238</v>
      </c>
      <c r="C134" s="161" t="s">
        <v>244</v>
      </c>
      <c r="D134" s="161"/>
      <c r="E134" s="161"/>
      <c r="F134" s="161"/>
      <c r="G134" s="161"/>
      <c r="H134" s="200">
        <f>H133</f>
        <v>45000</v>
      </c>
      <c r="I134" s="200">
        <f t="shared" ref="I134:L134" si="49">I133</f>
        <v>52500</v>
      </c>
      <c r="J134" s="200">
        <f t="shared" si="49"/>
        <v>52500</v>
      </c>
      <c r="K134" s="200">
        <f t="shared" si="49"/>
        <v>78750</v>
      </c>
      <c r="L134" s="200">
        <f t="shared" si="49"/>
        <v>105000</v>
      </c>
    </row>
    <row r="135" spans="2:12" x14ac:dyDescent="0.2">
      <c r="C135" s="39" t="s">
        <v>245</v>
      </c>
      <c r="H135" s="219">
        <f>-H134*H117</f>
        <v>-7500</v>
      </c>
      <c r="I135" s="219">
        <f t="shared" ref="I135:L135" si="50">-I134*I117</f>
        <v>-7500</v>
      </c>
      <c r="J135" s="219">
        <f t="shared" si="50"/>
        <v>0</v>
      </c>
      <c r="K135" s="219">
        <f t="shared" si="50"/>
        <v>0</v>
      </c>
      <c r="L135" s="219">
        <f t="shared" si="50"/>
        <v>0</v>
      </c>
    </row>
    <row r="136" spans="2:12" x14ac:dyDescent="0.2">
      <c r="C136" s="39" t="s">
        <v>22</v>
      </c>
      <c r="H136" s="219">
        <f>-H134*H124</f>
        <v>-2700</v>
      </c>
      <c r="I136" s="219">
        <f t="shared" ref="I136:L136" si="51">-I134*I124</f>
        <v>-3150</v>
      </c>
      <c r="J136" s="219">
        <f t="shared" si="51"/>
        <v>0</v>
      </c>
      <c r="K136" s="219">
        <f t="shared" si="51"/>
        <v>0</v>
      </c>
      <c r="L136" s="219">
        <f t="shared" si="51"/>
        <v>0</v>
      </c>
    </row>
    <row r="137" spans="2:12" x14ac:dyDescent="0.2">
      <c r="B137" s="88"/>
      <c r="C137" s="161" t="s">
        <v>246</v>
      </c>
      <c r="D137" s="161"/>
      <c r="E137" s="161"/>
      <c r="F137" s="161"/>
      <c r="G137" s="161"/>
      <c r="H137" s="200">
        <f>H134+H135</f>
        <v>37500</v>
      </c>
      <c r="I137" s="200">
        <f t="shared" ref="I137:L137" si="52">I134+I135</f>
        <v>45000</v>
      </c>
      <c r="J137" s="200">
        <f t="shared" si="52"/>
        <v>52500</v>
      </c>
      <c r="K137" s="200">
        <f t="shared" si="52"/>
        <v>78750</v>
      </c>
      <c r="L137" s="200">
        <f t="shared" si="52"/>
        <v>105000</v>
      </c>
    </row>
    <row r="138" spans="2:12" x14ac:dyDescent="0.2">
      <c r="B138" s="75" t="s">
        <v>239</v>
      </c>
      <c r="C138" s="161" t="s">
        <v>244</v>
      </c>
      <c r="D138" s="161"/>
      <c r="E138" s="161"/>
      <c r="F138" s="161"/>
      <c r="G138" s="161"/>
      <c r="H138" s="200">
        <f>H137</f>
        <v>37500</v>
      </c>
      <c r="I138" s="200">
        <f t="shared" ref="I138:L138" si="53">I137</f>
        <v>45000</v>
      </c>
      <c r="J138" s="200">
        <f t="shared" si="53"/>
        <v>52500</v>
      </c>
      <c r="K138" s="200">
        <f t="shared" si="53"/>
        <v>78750</v>
      </c>
      <c r="L138" s="200">
        <f t="shared" si="53"/>
        <v>105000</v>
      </c>
    </row>
    <row r="139" spans="2:12" x14ac:dyDescent="0.2">
      <c r="C139" s="39" t="s">
        <v>245</v>
      </c>
      <c r="H139" s="219">
        <f>-H138*H118</f>
        <v>-7500</v>
      </c>
      <c r="I139" s="219">
        <f t="shared" ref="I139:L139" si="54">-I138*I118</f>
        <v>-7500</v>
      </c>
      <c r="J139" s="219">
        <f t="shared" si="54"/>
        <v>-7500</v>
      </c>
      <c r="K139" s="219">
        <f t="shared" si="54"/>
        <v>0</v>
      </c>
      <c r="L139" s="219">
        <f t="shared" si="54"/>
        <v>0</v>
      </c>
    </row>
    <row r="140" spans="2:12" x14ac:dyDescent="0.2">
      <c r="C140" s="39" t="s">
        <v>22</v>
      </c>
      <c r="H140" s="219">
        <f>-H138*H125</f>
        <v>-2250</v>
      </c>
      <c r="I140" s="219">
        <f t="shared" ref="I140:L140" si="55">-I138*I125</f>
        <v>-2700</v>
      </c>
      <c r="J140" s="219">
        <f t="shared" si="55"/>
        <v>-3150</v>
      </c>
      <c r="K140" s="219">
        <f t="shared" si="55"/>
        <v>0</v>
      </c>
      <c r="L140" s="219">
        <f t="shared" si="55"/>
        <v>0</v>
      </c>
    </row>
    <row r="141" spans="2:12" x14ac:dyDescent="0.2">
      <c r="B141" s="88"/>
      <c r="C141" s="161" t="s">
        <v>246</v>
      </c>
      <c r="D141" s="161"/>
      <c r="E141" s="161"/>
      <c r="F141" s="161"/>
      <c r="G141" s="161"/>
      <c r="H141" s="200">
        <f>H138+H139</f>
        <v>30000</v>
      </c>
      <c r="I141" s="200">
        <f t="shared" ref="I141:L141" si="56">I138+I139</f>
        <v>37500</v>
      </c>
      <c r="J141" s="200">
        <f t="shared" si="56"/>
        <v>45000</v>
      </c>
      <c r="K141" s="200">
        <f t="shared" si="56"/>
        <v>78750</v>
      </c>
      <c r="L141" s="200">
        <f t="shared" si="56"/>
        <v>105000</v>
      </c>
    </row>
    <row r="142" spans="2:12" x14ac:dyDescent="0.2">
      <c r="B142" s="75" t="s">
        <v>240</v>
      </c>
      <c r="C142" s="161" t="s">
        <v>244</v>
      </c>
      <c r="D142" s="161"/>
      <c r="E142" s="161"/>
      <c r="F142" s="161"/>
      <c r="G142" s="161"/>
      <c r="H142" s="200">
        <f>H141</f>
        <v>30000</v>
      </c>
      <c r="I142" s="200">
        <f t="shared" ref="I142:L142" si="57">I141</f>
        <v>37500</v>
      </c>
      <c r="J142" s="200">
        <f t="shared" si="57"/>
        <v>45000</v>
      </c>
      <c r="K142" s="200">
        <f t="shared" si="57"/>
        <v>78750</v>
      </c>
      <c r="L142" s="200">
        <f t="shared" si="57"/>
        <v>105000</v>
      </c>
    </row>
    <row r="143" spans="2:12" x14ac:dyDescent="0.2">
      <c r="C143" s="39" t="s">
        <v>245</v>
      </c>
      <c r="H143" s="219">
        <f>-H142*H119</f>
        <v>-7500</v>
      </c>
      <c r="I143" s="219">
        <f t="shared" ref="I143:L143" si="58">-I142*I119</f>
        <v>-7500</v>
      </c>
      <c r="J143" s="219">
        <f t="shared" si="58"/>
        <v>-7500</v>
      </c>
      <c r="K143" s="219">
        <f t="shared" si="58"/>
        <v>-11250</v>
      </c>
      <c r="L143" s="219">
        <f t="shared" si="58"/>
        <v>0</v>
      </c>
    </row>
    <row r="144" spans="2:12" x14ac:dyDescent="0.2">
      <c r="C144" s="39" t="s">
        <v>22</v>
      </c>
      <c r="H144" s="219">
        <f>-H142*H126</f>
        <v>-1800</v>
      </c>
      <c r="I144" s="219">
        <f t="shared" ref="I144:L144" si="59">-I142*I126</f>
        <v>-2250</v>
      </c>
      <c r="J144" s="219">
        <f t="shared" si="59"/>
        <v>-2700</v>
      </c>
      <c r="K144" s="219">
        <f t="shared" si="59"/>
        <v>-4725</v>
      </c>
      <c r="L144" s="219">
        <f t="shared" si="59"/>
        <v>0</v>
      </c>
    </row>
    <row r="145" spans="2:12" x14ac:dyDescent="0.2">
      <c r="B145" s="88"/>
      <c r="C145" s="161" t="s">
        <v>246</v>
      </c>
      <c r="D145" s="161"/>
      <c r="E145" s="161"/>
      <c r="F145" s="161"/>
      <c r="G145" s="161"/>
      <c r="H145" s="200">
        <f>H142+H143</f>
        <v>22500</v>
      </c>
      <c r="I145" s="200">
        <f t="shared" ref="I145:L145" si="60">I142+I143</f>
        <v>30000</v>
      </c>
      <c r="J145" s="200">
        <f t="shared" si="60"/>
        <v>37500</v>
      </c>
      <c r="K145" s="200">
        <f t="shared" si="60"/>
        <v>67500</v>
      </c>
      <c r="L145" s="200">
        <f t="shared" si="60"/>
        <v>105000</v>
      </c>
    </row>
    <row r="146" spans="2:12" x14ac:dyDescent="0.2">
      <c r="B146" s="75" t="s">
        <v>241</v>
      </c>
      <c r="C146" s="161" t="s">
        <v>244</v>
      </c>
      <c r="D146" s="161"/>
      <c r="E146" s="161"/>
      <c r="F146" s="161"/>
      <c r="G146" s="161"/>
      <c r="H146" s="200">
        <f>H145</f>
        <v>22500</v>
      </c>
      <c r="I146" s="200">
        <f t="shared" ref="I146:L146" si="61">I145</f>
        <v>30000</v>
      </c>
      <c r="J146" s="200">
        <f t="shared" si="61"/>
        <v>37500</v>
      </c>
      <c r="K146" s="200">
        <f t="shared" si="61"/>
        <v>67500</v>
      </c>
      <c r="L146" s="200">
        <f t="shared" si="61"/>
        <v>105000</v>
      </c>
    </row>
    <row r="147" spans="2:12" x14ac:dyDescent="0.2">
      <c r="C147" s="39" t="s">
        <v>245</v>
      </c>
      <c r="H147" s="219">
        <f>-H146*H120</f>
        <v>-7500</v>
      </c>
      <c r="I147" s="219">
        <f t="shared" ref="I147:L147" si="62">-I146*I120</f>
        <v>-7500</v>
      </c>
      <c r="J147" s="219">
        <f t="shared" si="62"/>
        <v>-7500</v>
      </c>
      <c r="K147" s="219">
        <f t="shared" si="62"/>
        <v>-11250</v>
      </c>
      <c r="L147" s="219">
        <f t="shared" si="62"/>
        <v>-15000</v>
      </c>
    </row>
    <row r="148" spans="2:12" x14ac:dyDescent="0.2">
      <c r="C148" s="39" t="s">
        <v>22</v>
      </c>
      <c r="H148" s="219">
        <f>-H146*H127</f>
        <v>-1350</v>
      </c>
      <c r="I148" s="219">
        <f t="shared" ref="I148:L148" si="63">-I146*I127</f>
        <v>-1800</v>
      </c>
      <c r="J148" s="219">
        <f t="shared" si="63"/>
        <v>-2250</v>
      </c>
      <c r="K148" s="219">
        <f t="shared" si="63"/>
        <v>-4050</v>
      </c>
      <c r="L148" s="219">
        <f t="shared" si="63"/>
        <v>-6300</v>
      </c>
    </row>
    <row r="149" spans="2:12" x14ac:dyDescent="0.2">
      <c r="B149" s="88"/>
      <c r="C149" s="161" t="s">
        <v>246</v>
      </c>
      <c r="D149" s="161"/>
      <c r="E149" s="161"/>
      <c r="F149" s="161"/>
      <c r="G149" s="161"/>
      <c r="H149" s="200">
        <f>H146+H147</f>
        <v>15000</v>
      </c>
      <c r="I149" s="200">
        <f t="shared" ref="I149:L149" si="64">I146+I147</f>
        <v>22500</v>
      </c>
      <c r="J149" s="200">
        <f t="shared" si="64"/>
        <v>30000</v>
      </c>
      <c r="K149" s="200">
        <f t="shared" si="64"/>
        <v>56250</v>
      </c>
      <c r="L149" s="200">
        <f t="shared" si="64"/>
        <v>90000</v>
      </c>
    </row>
    <row r="151" spans="2:12" x14ac:dyDescent="0.2">
      <c r="B151" s="76" t="s">
        <v>126</v>
      </c>
      <c r="C151" s="76"/>
      <c r="D151" s="76"/>
      <c r="E151" s="76"/>
      <c r="F151" s="76"/>
      <c r="G151" s="76"/>
      <c r="H151" s="76"/>
      <c r="I151" s="76"/>
      <c r="J151" s="76"/>
      <c r="K151" s="76"/>
      <c r="L151" s="76"/>
    </row>
    <row r="153" spans="2:12" x14ac:dyDescent="0.2">
      <c r="B153" s="113" t="s">
        <v>30</v>
      </c>
      <c r="C153" s="113"/>
      <c r="D153" s="113"/>
      <c r="E153" s="73"/>
      <c r="F153" s="73"/>
      <c r="G153" s="73"/>
      <c r="H153" s="73"/>
      <c r="I153" s="73"/>
      <c r="J153" s="73"/>
      <c r="K153" s="73"/>
      <c r="L153" s="73"/>
    </row>
    <row r="154" spans="2:12" x14ac:dyDescent="0.2">
      <c r="B154" s="47" t="s">
        <v>127</v>
      </c>
      <c r="C154" s="47"/>
      <c r="D154" s="47"/>
      <c r="E154" s="114">
        <v>365</v>
      </c>
      <c r="F154" s="114">
        <v>365</v>
      </c>
      <c r="G154" s="114">
        <v>365</v>
      </c>
      <c r="H154" s="114">
        <v>365</v>
      </c>
      <c r="I154" s="114">
        <v>365</v>
      </c>
      <c r="J154" s="114">
        <v>365</v>
      </c>
      <c r="K154" s="114">
        <v>365</v>
      </c>
      <c r="L154" s="114">
        <v>365</v>
      </c>
    </row>
    <row r="155" spans="2:12" x14ac:dyDescent="0.2">
      <c r="B155" s="47" t="s">
        <v>128</v>
      </c>
      <c r="C155" s="47"/>
      <c r="D155" s="47"/>
      <c r="E155" s="116"/>
      <c r="F155" s="116"/>
      <c r="G155" s="116"/>
      <c r="H155" s="221">
        <f>CommonSize!H29</f>
        <v>28.220485863543082</v>
      </c>
      <c r="I155" s="221">
        <f>CommonSize!I29</f>
        <v>28.663398354207597</v>
      </c>
      <c r="J155" s="221">
        <f>CommonSize!J29</f>
        <v>28.431447756428867</v>
      </c>
      <c r="K155" s="221">
        <f>CommonSize!K29</f>
        <v>28.684075935384609</v>
      </c>
      <c r="L155" s="221">
        <f>CommonSize!L29</f>
        <v>28.359038830586613</v>
      </c>
    </row>
    <row r="156" spans="2:12" x14ac:dyDescent="0.2">
      <c r="B156" s="47" t="s">
        <v>129</v>
      </c>
      <c r="C156" s="47"/>
      <c r="D156" s="47"/>
      <c r="E156" s="117"/>
      <c r="F156" s="117"/>
      <c r="G156" s="117"/>
      <c r="H156" s="117">
        <f>H248</f>
        <v>100000</v>
      </c>
      <c r="I156" s="117">
        <f t="shared" ref="I156:L156" si="65">I248</f>
        <v>207500</v>
      </c>
      <c r="J156" s="117">
        <f t="shared" si="65"/>
        <v>323062.5</v>
      </c>
      <c r="K156" s="117">
        <f t="shared" si="65"/>
        <v>497292.1875</v>
      </c>
      <c r="L156" s="117">
        <f t="shared" si="65"/>
        <v>734589.1015625</v>
      </c>
    </row>
    <row r="157" spans="2:12" x14ac:dyDescent="0.2">
      <c r="B157" s="47" t="s">
        <v>130</v>
      </c>
      <c r="C157" s="47"/>
      <c r="D157" s="47"/>
      <c r="E157" s="116"/>
      <c r="F157" s="116"/>
      <c r="G157" s="116"/>
      <c r="H157" s="84">
        <f>H155/H154*H156</f>
        <v>7731.6399626145439</v>
      </c>
      <c r="I157" s="84">
        <f t="shared" ref="I157:L157" si="66">I155/I154*I156</f>
        <v>16294.945639720758</v>
      </c>
      <c r="J157" s="84">
        <f t="shared" si="66"/>
        <v>25164.752303592606</v>
      </c>
      <c r="K157" s="84">
        <f t="shared" si="66"/>
        <v>39080.4571734891</v>
      </c>
      <c r="L157" s="84">
        <f t="shared" si="66"/>
        <v>57074.632481470333</v>
      </c>
    </row>
    <row r="158" spans="2:12" x14ac:dyDescent="0.2">
      <c r="B158" s="47" t="s">
        <v>108</v>
      </c>
      <c r="C158" s="47"/>
      <c r="D158" s="47"/>
      <c r="E158" s="118"/>
      <c r="F158" s="117"/>
      <c r="G158" s="117"/>
      <c r="H158" s="187">
        <f>H157</f>
        <v>7731.6399626145439</v>
      </c>
      <c r="I158" s="117">
        <f t="shared" ref="I158:L158" si="67">H159</f>
        <v>7731.6399626145439</v>
      </c>
      <c r="J158" s="117">
        <f t="shared" si="67"/>
        <v>24858.251316826972</v>
      </c>
      <c r="K158" s="117">
        <f t="shared" si="67"/>
        <v>25471.25329035824</v>
      </c>
      <c r="L158" s="117">
        <f t="shared" si="67"/>
        <v>52689.66105661996</v>
      </c>
    </row>
    <row r="159" spans="2:12" x14ac:dyDescent="0.2">
      <c r="B159" s="115" t="s">
        <v>111</v>
      </c>
      <c r="C159" s="115"/>
      <c r="D159" s="115"/>
      <c r="E159" s="119"/>
      <c r="F159" s="119"/>
      <c r="G159" s="119"/>
      <c r="H159" s="121">
        <f>H157*2-H158</f>
        <v>7731.6399626145439</v>
      </c>
      <c r="I159" s="121">
        <f t="shared" ref="I159:L159" si="68">I157*2-I158</f>
        <v>24858.251316826972</v>
      </c>
      <c r="J159" s="121">
        <f t="shared" si="68"/>
        <v>25471.25329035824</v>
      </c>
      <c r="K159" s="121">
        <f t="shared" si="68"/>
        <v>52689.66105661996</v>
      </c>
      <c r="L159" s="121">
        <f t="shared" si="68"/>
        <v>61459.603906320706</v>
      </c>
    </row>
    <row r="160" spans="2:12" x14ac:dyDescent="0.2">
      <c r="B160" s="47"/>
      <c r="C160" s="47"/>
      <c r="D160" s="47"/>
      <c r="E160" s="1"/>
      <c r="F160" s="1"/>
      <c r="G160" s="1"/>
    </row>
    <row r="161" spans="2:12" x14ac:dyDescent="0.2">
      <c r="B161" s="113" t="s">
        <v>32</v>
      </c>
      <c r="C161" s="113"/>
      <c r="D161" s="113"/>
      <c r="E161" s="73"/>
      <c r="F161" s="73"/>
      <c r="G161" s="73"/>
      <c r="H161" s="73"/>
      <c r="I161" s="73"/>
      <c r="J161" s="73"/>
      <c r="K161" s="73"/>
      <c r="L161" s="73"/>
    </row>
    <row r="162" spans="2:12" x14ac:dyDescent="0.2">
      <c r="B162" s="47" t="s">
        <v>127</v>
      </c>
      <c r="C162" s="47"/>
      <c r="D162" s="47"/>
      <c r="E162" s="114">
        <v>365</v>
      </c>
      <c r="F162" s="114">
        <v>365</v>
      </c>
      <c r="G162" s="114">
        <v>365</v>
      </c>
      <c r="H162" s="114">
        <v>365</v>
      </c>
      <c r="I162" s="114">
        <v>365</v>
      </c>
      <c r="J162" s="114">
        <v>365</v>
      </c>
      <c r="K162" s="114">
        <v>365</v>
      </c>
      <c r="L162" s="114">
        <v>365</v>
      </c>
    </row>
    <row r="163" spans="2:12" x14ac:dyDescent="0.2">
      <c r="B163" s="47" t="s">
        <v>133</v>
      </c>
      <c r="C163" s="47"/>
      <c r="D163" s="47"/>
      <c r="E163" s="116"/>
      <c r="F163" s="116"/>
      <c r="G163" s="116"/>
      <c r="H163" s="221">
        <f>CommonSize!H32</f>
        <v>551.17061965040625</v>
      </c>
      <c r="I163" s="221">
        <f>CommonSize!I32</f>
        <v>563.0026537698842</v>
      </c>
      <c r="J163" s="221">
        <f>CommonSize!J32</f>
        <v>549.40483759292647</v>
      </c>
      <c r="K163" s="221">
        <f>CommonSize!K32</f>
        <v>560.34273786744814</v>
      </c>
      <c r="L163" s="221">
        <f>CommonSize!L32</f>
        <v>552.02642745503772</v>
      </c>
    </row>
    <row r="164" spans="2:12" x14ac:dyDescent="0.2">
      <c r="B164" s="47" t="s">
        <v>134</v>
      </c>
      <c r="C164" s="47"/>
      <c r="D164" s="47"/>
      <c r="E164" s="117"/>
      <c r="F164" s="117"/>
      <c r="G164" s="117"/>
      <c r="H164" s="117">
        <f>H254</f>
        <v>3696.8458602222076</v>
      </c>
      <c r="I164" s="117">
        <f t="shared" ref="I164:L164" si="69">I254</f>
        <v>7465.0483575162343</v>
      </c>
      <c r="J164" s="117">
        <f t="shared" si="69"/>
        <v>11380.545085777088</v>
      </c>
      <c r="K164" s="117">
        <f t="shared" si="69"/>
        <v>17118.080813497338</v>
      </c>
      <c r="L164" s="117">
        <f t="shared" si="69"/>
        <v>25163.356679922377</v>
      </c>
    </row>
    <row r="165" spans="2:12" x14ac:dyDescent="0.2">
      <c r="B165" s="47" t="s">
        <v>130</v>
      </c>
      <c r="C165" s="47"/>
      <c r="D165" s="47"/>
      <c r="E165" s="116"/>
      <c r="F165" s="116"/>
      <c r="G165" s="116"/>
      <c r="H165" s="84">
        <f>H163/H162*H164</f>
        <v>5582.4460918649684</v>
      </c>
      <c r="I165" s="84">
        <f t="shared" ref="I165:L165" si="70">I163/I162*I164</f>
        <v>11514.635714526454</v>
      </c>
      <c r="J165" s="84">
        <f t="shared" si="70"/>
        <v>17130.209656357092</v>
      </c>
      <c r="K165" s="84">
        <f t="shared" si="70"/>
        <v>26279.430876907758</v>
      </c>
      <c r="L165" s="84">
        <f t="shared" si="70"/>
        <v>38057.090111765501</v>
      </c>
    </row>
    <row r="166" spans="2:12" x14ac:dyDescent="0.2">
      <c r="B166" s="47" t="s">
        <v>108</v>
      </c>
      <c r="C166" s="47"/>
      <c r="D166" s="47"/>
      <c r="E166" s="118"/>
      <c r="F166" s="117"/>
      <c r="G166" s="117"/>
      <c r="H166" s="187">
        <f>H165</f>
        <v>5582.4460918649684</v>
      </c>
      <c r="I166" s="117">
        <f t="shared" ref="I166:L166" si="71">H167</f>
        <v>5582.4460918649684</v>
      </c>
      <c r="J166" s="117">
        <f t="shared" si="71"/>
        <v>17446.82533718794</v>
      </c>
      <c r="K166" s="117">
        <f t="shared" si="71"/>
        <v>16813.593975526244</v>
      </c>
      <c r="L166" s="117">
        <f t="shared" si="71"/>
        <v>35745.267778289272</v>
      </c>
    </row>
    <row r="167" spans="2:12" x14ac:dyDescent="0.2">
      <c r="B167" s="115" t="s">
        <v>111</v>
      </c>
      <c r="C167" s="115"/>
      <c r="D167" s="115"/>
      <c r="E167" s="119"/>
      <c r="F167" s="119"/>
      <c r="G167" s="119"/>
      <c r="H167" s="121">
        <f>H165*2-H166</f>
        <v>5582.4460918649684</v>
      </c>
      <c r="I167" s="121">
        <f t="shared" ref="I167:L167" si="72">I165*2-I166</f>
        <v>17446.82533718794</v>
      </c>
      <c r="J167" s="121">
        <f t="shared" si="72"/>
        <v>16813.593975526244</v>
      </c>
      <c r="K167" s="121">
        <f t="shared" si="72"/>
        <v>35745.267778289272</v>
      </c>
      <c r="L167" s="121">
        <f t="shared" si="72"/>
        <v>40368.912445241731</v>
      </c>
    </row>
    <row r="168" spans="2:12" x14ac:dyDescent="0.2">
      <c r="B168" s="47"/>
      <c r="C168" s="47"/>
      <c r="D168" s="47"/>
      <c r="E168" s="1"/>
      <c r="F168" s="1"/>
      <c r="G168" s="1"/>
    </row>
    <row r="169" spans="2:12" x14ac:dyDescent="0.2">
      <c r="B169" s="113" t="s">
        <v>36</v>
      </c>
      <c r="C169" s="113"/>
      <c r="D169" s="113"/>
      <c r="E169" s="73"/>
      <c r="F169" s="73"/>
      <c r="G169" s="73"/>
      <c r="H169" s="73"/>
      <c r="I169" s="73"/>
      <c r="J169" s="73"/>
      <c r="K169" s="73"/>
      <c r="L169" s="73"/>
    </row>
    <row r="170" spans="2:12" x14ac:dyDescent="0.2">
      <c r="B170" s="47" t="s">
        <v>127</v>
      </c>
      <c r="C170" s="47"/>
      <c r="D170" s="47"/>
      <c r="E170" s="114">
        <v>365</v>
      </c>
      <c r="F170" s="114">
        <v>365</v>
      </c>
      <c r="G170" s="114">
        <v>365</v>
      </c>
      <c r="H170" s="114">
        <v>365</v>
      </c>
      <c r="I170" s="114">
        <v>365</v>
      </c>
      <c r="J170" s="114">
        <v>365</v>
      </c>
      <c r="K170" s="114">
        <v>365</v>
      </c>
      <c r="L170" s="114">
        <v>365</v>
      </c>
    </row>
    <row r="171" spans="2:12" x14ac:dyDescent="0.2">
      <c r="B171" s="47" t="s">
        <v>131</v>
      </c>
      <c r="C171" s="47"/>
      <c r="D171" s="47"/>
      <c r="E171" s="116"/>
      <c r="F171" s="116"/>
      <c r="G171" s="116"/>
      <c r="H171" s="221">
        <f>CommonSize!H35</f>
        <v>110.91825688489139</v>
      </c>
      <c r="I171" s="221">
        <f>CommonSize!I35</f>
        <v>115.7710654308119</v>
      </c>
      <c r="J171" s="221">
        <f>CommonSize!J35</f>
        <v>112.36749833926955</v>
      </c>
      <c r="K171" s="221">
        <f>CommonSize!K35</f>
        <v>115.25286326032305</v>
      </c>
      <c r="L171" s="221">
        <f>CommonSize!L35</f>
        <v>112.32282574066642</v>
      </c>
    </row>
    <row r="172" spans="2:12" x14ac:dyDescent="0.2">
      <c r="B172" s="47" t="s">
        <v>132</v>
      </c>
      <c r="C172" s="47"/>
      <c r="D172" s="47"/>
      <c r="E172" s="117"/>
      <c r="F172" s="117"/>
      <c r="G172" s="117"/>
      <c r="H172" s="117">
        <f>H263</f>
        <v>38503.861785362846</v>
      </c>
      <c r="I172" s="117">
        <f t="shared" ref="I172:L172" si="73">I263</f>
        <v>74065.531593082924</v>
      </c>
      <c r="J172" s="117">
        <f t="shared" si="73"/>
        <v>110960.57720612026</v>
      </c>
      <c r="K172" s="117">
        <f t="shared" si="73"/>
        <v>167892.95388961807</v>
      </c>
      <c r="L172" s="117">
        <f t="shared" si="73"/>
        <v>245546.58554338003</v>
      </c>
    </row>
    <row r="173" spans="2:12" x14ac:dyDescent="0.2">
      <c r="B173" s="47" t="s">
        <v>130</v>
      </c>
      <c r="C173" s="47"/>
      <c r="D173" s="47"/>
      <c r="E173" s="116"/>
      <c r="F173" s="116"/>
      <c r="G173" s="116"/>
      <c r="H173" s="84">
        <f>H171/H170*H172</f>
        <v>11700.770500189668</v>
      </c>
      <c r="I173" s="84">
        <f t="shared" ref="I173:L173" si="74">I171/I170*I172</f>
        <v>23492.179463645669</v>
      </c>
      <c r="J173" s="84">
        <f t="shared" si="74"/>
        <v>34159.897191597556</v>
      </c>
      <c r="K173" s="84">
        <f t="shared" si="74"/>
        <v>53014.092210991439</v>
      </c>
      <c r="L173" s="84">
        <f t="shared" si="74"/>
        <v>75562.976271793741</v>
      </c>
    </row>
    <row r="174" spans="2:12" x14ac:dyDescent="0.2">
      <c r="B174" s="47" t="s">
        <v>108</v>
      </c>
      <c r="C174" s="47"/>
      <c r="D174" s="47"/>
      <c r="E174" s="118"/>
      <c r="F174" s="117"/>
      <c r="G174" s="117"/>
      <c r="H174" s="187">
        <f>H173</f>
        <v>11700.770500189668</v>
      </c>
      <c r="I174" s="117">
        <f t="shared" ref="I174:L174" si="75">H175</f>
        <v>11700.770500189668</v>
      </c>
      <c r="J174" s="117">
        <f t="shared" si="75"/>
        <v>35283.588427101669</v>
      </c>
      <c r="K174" s="117">
        <f t="shared" si="75"/>
        <v>33036.205956093443</v>
      </c>
      <c r="L174" s="117">
        <f t="shared" si="75"/>
        <v>72991.978465889435</v>
      </c>
    </row>
    <row r="175" spans="2:12" x14ac:dyDescent="0.2">
      <c r="B175" s="115" t="s">
        <v>111</v>
      </c>
      <c r="C175" s="115"/>
      <c r="D175" s="115"/>
      <c r="E175" s="119"/>
      <c r="F175" s="119"/>
      <c r="G175" s="119"/>
      <c r="H175" s="121">
        <f>H173*2-H174</f>
        <v>11700.770500189668</v>
      </c>
      <c r="I175" s="121">
        <f t="shared" ref="I175:L175" si="76">I173*2-I174</f>
        <v>35283.588427101669</v>
      </c>
      <c r="J175" s="121">
        <f t="shared" si="76"/>
        <v>33036.205956093443</v>
      </c>
      <c r="K175" s="121">
        <f t="shared" si="76"/>
        <v>72991.978465889435</v>
      </c>
      <c r="L175" s="121">
        <f t="shared" si="76"/>
        <v>78133.974077698047</v>
      </c>
    </row>
    <row r="176" spans="2:12" x14ac:dyDescent="0.2">
      <c r="B176" s="47"/>
      <c r="C176" s="47"/>
      <c r="D176" s="47"/>
      <c r="E176" s="1"/>
      <c r="F176" s="1"/>
      <c r="G176" s="1"/>
    </row>
    <row r="177" spans="2:12" x14ac:dyDescent="0.2">
      <c r="B177" s="47" t="s">
        <v>135</v>
      </c>
      <c r="C177" s="47"/>
      <c r="D177" s="47"/>
      <c r="E177" s="117"/>
      <c r="F177" s="117"/>
      <c r="G177" s="117"/>
      <c r="H177" s="117">
        <f t="shared" ref="H177:L177" si="77">H159+H167-H175</f>
        <v>1613.3155542898439</v>
      </c>
      <c r="I177" s="117">
        <f t="shared" si="77"/>
        <v>7021.4882269132431</v>
      </c>
      <c r="J177" s="117">
        <f t="shared" si="77"/>
        <v>9248.6413097910408</v>
      </c>
      <c r="K177" s="117">
        <f t="shared" si="77"/>
        <v>15442.950369019789</v>
      </c>
      <c r="L177" s="117">
        <f t="shared" si="77"/>
        <v>23694.542273864383</v>
      </c>
    </row>
    <row r="178" spans="2:12" ht="10.8" thickBot="1" x14ac:dyDescent="0.25">
      <c r="B178" s="122" t="s">
        <v>136</v>
      </c>
      <c r="C178" s="122"/>
      <c r="D178" s="122"/>
      <c r="E178" s="123"/>
      <c r="F178" s="124"/>
      <c r="G178" s="124"/>
      <c r="H178" s="124">
        <f t="shared" ref="H178:L178" si="78">H177-G177</f>
        <v>1613.3155542898439</v>
      </c>
      <c r="I178" s="124">
        <f t="shared" si="78"/>
        <v>5408.1726726233992</v>
      </c>
      <c r="J178" s="124">
        <f t="shared" si="78"/>
        <v>2227.1530828777977</v>
      </c>
      <c r="K178" s="124">
        <f t="shared" si="78"/>
        <v>6194.3090592287481</v>
      </c>
      <c r="L178" s="124">
        <f t="shared" si="78"/>
        <v>8251.591904844594</v>
      </c>
    </row>
    <row r="179" spans="2:12" ht="10.8" thickTop="1" x14ac:dyDescent="0.2"/>
    <row r="180" spans="2:12" x14ac:dyDescent="0.2">
      <c r="B180" s="76" t="s">
        <v>162</v>
      </c>
      <c r="C180" s="76"/>
      <c r="D180" s="76"/>
      <c r="E180" s="76"/>
      <c r="F180" s="76"/>
      <c r="G180" s="76"/>
      <c r="H180" s="76"/>
      <c r="I180" s="76"/>
      <c r="J180" s="76"/>
      <c r="K180" s="76"/>
      <c r="L180" s="76"/>
    </row>
    <row r="182" spans="2:12" x14ac:dyDescent="0.2">
      <c r="B182" s="75" t="s">
        <v>163</v>
      </c>
    </row>
    <row r="183" spans="2:12" x14ac:dyDescent="0.2">
      <c r="B183" s="96" t="s">
        <v>164</v>
      </c>
      <c r="C183" s="96"/>
      <c r="D183" s="96"/>
      <c r="E183" s="96"/>
      <c r="F183" s="96"/>
      <c r="G183" s="96"/>
      <c r="H183" s="222">
        <v>0.5</v>
      </c>
      <c r="I183" s="222">
        <v>0.5</v>
      </c>
      <c r="J183" s="222">
        <v>0.5</v>
      </c>
      <c r="K183" s="222">
        <v>0.5</v>
      </c>
      <c r="L183" s="222">
        <v>0.5</v>
      </c>
    </row>
    <row r="184" spans="2:12" x14ac:dyDescent="0.2">
      <c r="B184" s="88" t="s">
        <v>76</v>
      </c>
      <c r="C184" s="88"/>
      <c r="D184" s="88"/>
      <c r="E184" s="88"/>
      <c r="F184" s="88"/>
      <c r="G184" s="88"/>
      <c r="H184" s="223">
        <v>0.5</v>
      </c>
      <c r="I184" s="223">
        <v>0.5</v>
      </c>
      <c r="J184" s="223">
        <v>0.5</v>
      </c>
      <c r="K184" s="223">
        <v>0.5</v>
      </c>
      <c r="L184" s="223">
        <v>0.5</v>
      </c>
    </row>
    <row r="186" spans="2:12" x14ac:dyDescent="0.2">
      <c r="B186" s="75" t="s">
        <v>250</v>
      </c>
      <c r="H186" s="224">
        <f>H82</f>
        <v>105000</v>
      </c>
      <c r="I186" s="224">
        <f t="shared" ref="I186:L186" si="79">I82</f>
        <v>105000</v>
      </c>
      <c r="J186" s="224">
        <f t="shared" si="79"/>
        <v>105000</v>
      </c>
      <c r="K186" s="224">
        <f t="shared" si="79"/>
        <v>183750</v>
      </c>
      <c r="L186" s="224">
        <f t="shared" si="79"/>
        <v>280000</v>
      </c>
    </row>
    <row r="187" spans="2:12" x14ac:dyDescent="0.2">
      <c r="B187" s="225" t="s">
        <v>164</v>
      </c>
      <c r="C187" s="225"/>
      <c r="D187" s="225"/>
      <c r="E187" s="225"/>
      <c r="F187" s="225"/>
      <c r="G187" s="225"/>
      <c r="H187" s="226">
        <f>H186*H183</f>
        <v>52500</v>
      </c>
      <c r="I187" s="226">
        <f t="shared" ref="I187:L187" si="80">I186*I183</f>
        <v>52500</v>
      </c>
      <c r="J187" s="226">
        <f t="shared" si="80"/>
        <v>52500</v>
      </c>
      <c r="K187" s="226">
        <f t="shared" si="80"/>
        <v>91875</v>
      </c>
      <c r="L187" s="226">
        <f t="shared" si="80"/>
        <v>140000</v>
      </c>
    </row>
    <row r="188" spans="2:12" x14ac:dyDescent="0.2">
      <c r="B188" s="227" t="s">
        <v>76</v>
      </c>
      <c r="C188" s="227"/>
      <c r="D188" s="227"/>
      <c r="E188" s="227"/>
      <c r="F188" s="227"/>
      <c r="G188" s="227"/>
      <c r="H188" s="228">
        <f>H186*H184</f>
        <v>52500</v>
      </c>
      <c r="I188" s="228">
        <f t="shared" ref="I188:L188" si="81">I186*I184</f>
        <v>52500</v>
      </c>
      <c r="J188" s="228">
        <f t="shared" si="81"/>
        <v>52500</v>
      </c>
      <c r="K188" s="228">
        <f t="shared" si="81"/>
        <v>91875</v>
      </c>
      <c r="L188" s="228">
        <f t="shared" si="81"/>
        <v>140000</v>
      </c>
    </row>
    <row r="190" spans="2:12" x14ac:dyDescent="0.2">
      <c r="B190" s="76" t="s">
        <v>251</v>
      </c>
      <c r="C190" s="76"/>
      <c r="D190" s="76"/>
      <c r="E190" s="76"/>
      <c r="F190" s="76"/>
      <c r="G190" s="76"/>
      <c r="H190" s="76"/>
      <c r="I190" s="76"/>
      <c r="J190" s="76"/>
      <c r="K190" s="76"/>
      <c r="L190" s="76"/>
    </row>
    <row r="192" spans="2:12" x14ac:dyDescent="0.2">
      <c r="B192" s="75" t="s">
        <v>195</v>
      </c>
    </row>
    <row r="193" spans="2:12" x14ac:dyDescent="0.2">
      <c r="B193" s="230" t="s">
        <v>208</v>
      </c>
      <c r="C193" s="96"/>
      <c r="D193" s="96"/>
      <c r="E193" s="96"/>
      <c r="F193" s="96"/>
      <c r="G193" s="96"/>
      <c r="H193" s="229">
        <f>H22</f>
        <v>2</v>
      </c>
      <c r="I193" s="229">
        <f t="shared" ref="I193:L193" si="82">I22</f>
        <v>2</v>
      </c>
      <c r="J193" s="229">
        <f t="shared" si="82"/>
        <v>2</v>
      </c>
      <c r="K193" s="229">
        <f t="shared" si="82"/>
        <v>3</v>
      </c>
      <c r="L193" s="229">
        <f t="shared" si="82"/>
        <v>4</v>
      </c>
    </row>
    <row r="194" spans="2:12" x14ac:dyDescent="0.2">
      <c r="B194" s="170" t="s">
        <v>209</v>
      </c>
      <c r="H194" s="196">
        <f t="shared" ref="H194:L194" si="83">H23</f>
        <v>0</v>
      </c>
      <c r="I194" s="196">
        <f t="shared" si="83"/>
        <v>2</v>
      </c>
      <c r="J194" s="196">
        <f t="shared" si="83"/>
        <v>2</v>
      </c>
      <c r="K194" s="196">
        <f t="shared" si="83"/>
        <v>2</v>
      </c>
      <c r="L194" s="196">
        <f t="shared" si="83"/>
        <v>3</v>
      </c>
    </row>
    <row r="195" spans="2:12" x14ac:dyDescent="0.2">
      <c r="B195" s="170" t="s">
        <v>210</v>
      </c>
      <c r="H195" s="196">
        <f t="shared" ref="H195:L195" si="84">H24</f>
        <v>0</v>
      </c>
      <c r="I195" s="196">
        <f t="shared" si="84"/>
        <v>0</v>
      </c>
      <c r="J195" s="196">
        <f t="shared" si="84"/>
        <v>2</v>
      </c>
      <c r="K195" s="196">
        <f t="shared" si="84"/>
        <v>2</v>
      </c>
      <c r="L195" s="196">
        <f t="shared" si="84"/>
        <v>2</v>
      </c>
    </row>
    <row r="196" spans="2:12" x14ac:dyDescent="0.2">
      <c r="B196" s="170" t="s">
        <v>211</v>
      </c>
      <c r="H196" s="196">
        <f t="shared" ref="H196:L196" si="85">H25</f>
        <v>0</v>
      </c>
      <c r="I196" s="196">
        <f t="shared" si="85"/>
        <v>0</v>
      </c>
      <c r="J196" s="196">
        <f t="shared" si="85"/>
        <v>0</v>
      </c>
      <c r="K196" s="196">
        <f t="shared" si="85"/>
        <v>2</v>
      </c>
      <c r="L196" s="196">
        <f t="shared" si="85"/>
        <v>2</v>
      </c>
    </row>
    <row r="197" spans="2:12" x14ac:dyDescent="0.2">
      <c r="B197" s="231" t="s">
        <v>212</v>
      </c>
      <c r="C197" s="88"/>
      <c r="D197" s="88"/>
      <c r="E197" s="88"/>
      <c r="F197" s="88"/>
      <c r="G197" s="88"/>
      <c r="H197" s="211">
        <f t="shared" ref="H197:L197" si="86">H26</f>
        <v>0</v>
      </c>
      <c r="I197" s="211">
        <f t="shared" si="86"/>
        <v>0</v>
      </c>
      <c r="J197" s="211">
        <f t="shared" si="86"/>
        <v>0</v>
      </c>
      <c r="K197" s="211">
        <f t="shared" si="86"/>
        <v>0</v>
      </c>
      <c r="L197" s="211">
        <f t="shared" si="86"/>
        <v>2</v>
      </c>
    </row>
    <row r="199" spans="2:12" x14ac:dyDescent="0.2">
      <c r="B199" s="75" t="s">
        <v>139</v>
      </c>
      <c r="C199" s="75" t="s">
        <v>252</v>
      </c>
    </row>
    <row r="200" spans="2:12" x14ac:dyDescent="0.2">
      <c r="B200" s="230" t="s">
        <v>208</v>
      </c>
      <c r="C200" s="141">
        <v>1000</v>
      </c>
      <c r="D200" s="96"/>
      <c r="E200" s="96"/>
      <c r="F200" s="96"/>
      <c r="G200" s="96"/>
      <c r="H200" s="233">
        <f>$C200*H193</f>
        <v>2000</v>
      </c>
      <c r="I200" s="233">
        <f t="shared" ref="I200:L200" si="87">$C200*I193</f>
        <v>2000</v>
      </c>
      <c r="J200" s="233">
        <f t="shared" si="87"/>
        <v>2000</v>
      </c>
      <c r="K200" s="233">
        <f t="shared" si="87"/>
        <v>3000</v>
      </c>
      <c r="L200" s="233">
        <f t="shared" si="87"/>
        <v>4000</v>
      </c>
    </row>
    <row r="201" spans="2:12" x14ac:dyDescent="0.2">
      <c r="B201" s="170" t="s">
        <v>209</v>
      </c>
      <c r="C201" s="232">
        <v>1000</v>
      </c>
      <c r="H201" s="219">
        <f t="shared" ref="H201:L201" si="88">$C201*H194</f>
        <v>0</v>
      </c>
      <c r="I201" s="219">
        <f t="shared" si="88"/>
        <v>2000</v>
      </c>
      <c r="J201" s="219">
        <f t="shared" si="88"/>
        <v>2000</v>
      </c>
      <c r="K201" s="219">
        <f t="shared" si="88"/>
        <v>2000</v>
      </c>
      <c r="L201" s="219">
        <f t="shared" si="88"/>
        <v>3000</v>
      </c>
    </row>
    <row r="202" spans="2:12" x14ac:dyDescent="0.2">
      <c r="B202" s="170" t="s">
        <v>210</v>
      </c>
      <c r="C202" s="232">
        <v>1000</v>
      </c>
      <c r="H202" s="219">
        <f t="shared" ref="H202:L202" si="89">$C202*H195</f>
        <v>0</v>
      </c>
      <c r="I202" s="219">
        <f t="shared" si="89"/>
        <v>0</v>
      </c>
      <c r="J202" s="219">
        <f t="shared" si="89"/>
        <v>2000</v>
      </c>
      <c r="K202" s="219">
        <f t="shared" si="89"/>
        <v>2000</v>
      </c>
      <c r="L202" s="219">
        <f t="shared" si="89"/>
        <v>2000</v>
      </c>
    </row>
    <row r="203" spans="2:12" x14ac:dyDescent="0.2">
      <c r="B203" s="170" t="s">
        <v>211</v>
      </c>
      <c r="C203" s="232">
        <v>1000</v>
      </c>
      <c r="H203" s="219">
        <f t="shared" ref="H203:L203" si="90">$C203*H196</f>
        <v>0</v>
      </c>
      <c r="I203" s="219">
        <f t="shared" si="90"/>
        <v>0</v>
      </c>
      <c r="J203" s="219">
        <f t="shared" si="90"/>
        <v>0</v>
      </c>
      <c r="K203" s="219">
        <f t="shared" si="90"/>
        <v>2000</v>
      </c>
      <c r="L203" s="219">
        <f t="shared" si="90"/>
        <v>2000</v>
      </c>
    </row>
    <row r="204" spans="2:12" x14ac:dyDescent="0.2">
      <c r="B204" s="231" t="s">
        <v>212</v>
      </c>
      <c r="C204" s="135">
        <v>1000</v>
      </c>
      <c r="D204" s="88"/>
      <c r="E204" s="88"/>
      <c r="F204" s="88"/>
      <c r="G204" s="88"/>
      <c r="H204" s="212">
        <f t="shared" ref="H204:L204" si="91">$C204*H197</f>
        <v>0</v>
      </c>
      <c r="I204" s="212">
        <f t="shared" si="91"/>
        <v>0</v>
      </c>
      <c r="J204" s="212">
        <f t="shared" si="91"/>
        <v>0</v>
      </c>
      <c r="K204" s="212">
        <f t="shared" si="91"/>
        <v>0</v>
      </c>
      <c r="L204" s="212">
        <f t="shared" si="91"/>
        <v>2000</v>
      </c>
    </row>
    <row r="205" spans="2:12" x14ac:dyDescent="0.2">
      <c r="B205" s="161" t="s">
        <v>253</v>
      </c>
      <c r="C205" s="161"/>
      <c r="D205" s="161"/>
      <c r="E205" s="161"/>
      <c r="F205" s="161"/>
      <c r="G205" s="161"/>
      <c r="H205" s="121">
        <f>SUM(H200:H204)</f>
        <v>2000</v>
      </c>
      <c r="I205" s="121">
        <f t="shared" ref="I205:L205" si="92">SUM(I200:I204)</f>
        <v>4000</v>
      </c>
      <c r="J205" s="121">
        <f t="shared" si="92"/>
        <v>6000</v>
      </c>
      <c r="K205" s="121">
        <f t="shared" si="92"/>
        <v>9000</v>
      </c>
      <c r="L205" s="121">
        <f t="shared" si="92"/>
        <v>13000</v>
      </c>
    </row>
    <row r="207" spans="2:12" x14ac:dyDescent="0.2">
      <c r="B207" s="76" t="s">
        <v>153</v>
      </c>
      <c r="C207" s="76"/>
      <c r="D207" s="76"/>
      <c r="E207" s="76"/>
      <c r="F207" s="76"/>
      <c r="G207" s="76"/>
      <c r="H207" s="76"/>
      <c r="I207" s="76"/>
      <c r="J207" s="76"/>
      <c r="K207" s="76"/>
      <c r="L207" s="76"/>
    </row>
    <row r="209" spans="2:12" x14ac:dyDescent="0.2">
      <c r="B209" s="39" t="s">
        <v>254</v>
      </c>
      <c r="C209" s="234">
        <v>0.25</v>
      </c>
    </row>
    <row r="210" spans="2:12" x14ac:dyDescent="0.2"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</row>
    <row r="211" spans="2:12" x14ac:dyDescent="0.2">
      <c r="B211" s="39" t="s">
        <v>137</v>
      </c>
      <c r="H211" s="219">
        <f>G215</f>
        <v>0</v>
      </c>
      <c r="I211" s="219">
        <f t="shared" ref="I211:L211" si="93">H215</f>
        <v>54500</v>
      </c>
      <c r="J211" s="219">
        <f t="shared" si="93"/>
        <v>97375</v>
      </c>
      <c r="K211" s="219">
        <f t="shared" si="93"/>
        <v>131531.25</v>
      </c>
      <c r="L211" s="219">
        <f t="shared" si="93"/>
        <v>199523.4375</v>
      </c>
    </row>
    <row r="212" spans="2:12" x14ac:dyDescent="0.2">
      <c r="B212" s="39" t="s">
        <v>138</v>
      </c>
      <c r="H212" s="219">
        <f>-H211*$C$209</f>
        <v>0</v>
      </c>
      <c r="I212" s="219">
        <f t="shared" ref="I212:L212" si="94">-I211*$C$209</f>
        <v>-13625</v>
      </c>
      <c r="J212" s="219">
        <f t="shared" si="94"/>
        <v>-24343.75</v>
      </c>
      <c r="K212" s="219">
        <f t="shared" si="94"/>
        <v>-32882.8125</v>
      </c>
      <c r="L212" s="219">
        <f t="shared" si="94"/>
        <v>-49880.859375</v>
      </c>
    </row>
    <row r="213" spans="2:12" x14ac:dyDescent="0.2">
      <c r="B213" s="39" t="s">
        <v>139</v>
      </c>
      <c r="H213" s="219">
        <f>H205</f>
        <v>2000</v>
      </c>
      <c r="I213" s="219">
        <f t="shared" ref="I213:L213" si="95">I205</f>
        <v>4000</v>
      </c>
      <c r="J213" s="219">
        <f t="shared" si="95"/>
        <v>6000</v>
      </c>
      <c r="K213" s="219">
        <f t="shared" si="95"/>
        <v>9000</v>
      </c>
      <c r="L213" s="219">
        <f t="shared" si="95"/>
        <v>13000</v>
      </c>
    </row>
    <row r="214" spans="2:12" x14ac:dyDescent="0.2">
      <c r="B214" s="39" t="s">
        <v>142</v>
      </c>
      <c r="H214" s="219">
        <f>H187</f>
        <v>52500</v>
      </c>
      <c r="I214" s="219">
        <f t="shared" ref="I214:L214" si="96">I187</f>
        <v>52500</v>
      </c>
      <c r="J214" s="219">
        <f t="shared" si="96"/>
        <v>52500</v>
      </c>
      <c r="K214" s="219">
        <f t="shared" si="96"/>
        <v>91875</v>
      </c>
      <c r="L214" s="219">
        <f t="shared" si="96"/>
        <v>140000</v>
      </c>
    </row>
    <row r="215" spans="2:12" ht="10.8" thickBot="1" x14ac:dyDescent="0.25">
      <c r="B215" s="162" t="s">
        <v>140</v>
      </c>
      <c r="C215" s="162"/>
      <c r="D215" s="162"/>
      <c r="E215" s="162"/>
      <c r="F215" s="162"/>
      <c r="G215" s="162"/>
      <c r="H215" s="236">
        <f>SUM(H211:H214)</f>
        <v>54500</v>
      </c>
      <c r="I215" s="236">
        <f t="shared" ref="I215:L215" si="97">SUM(I211:I214)</f>
        <v>97375</v>
      </c>
      <c r="J215" s="236">
        <f t="shared" si="97"/>
        <v>131531.25</v>
      </c>
      <c r="K215" s="236">
        <f t="shared" si="97"/>
        <v>199523.4375</v>
      </c>
      <c r="L215" s="236">
        <f t="shared" si="97"/>
        <v>302642.578125</v>
      </c>
    </row>
    <row r="216" spans="2:12" x14ac:dyDescent="0.2">
      <c r="H216" s="219"/>
      <c r="I216" s="219"/>
      <c r="J216" s="219"/>
      <c r="K216" s="219"/>
      <c r="L216" s="219"/>
    </row>
    <row r="217" spans="2:12" x14ac:dyDescent="0.2">
      <c r="B217" s="75" t="s">
        <v>167</v>
      </c>
      <c r="H217" s="219"/>
      <c r="I217" s="219"/>
      <c r="J217" s="219"/>
      <c r="K217" s="219"/>
      <c r="L217" s="219"/>
    </row>
    <row r="218" spans="2:12" x14ac:dyDescent="0.2">
      <c r="B218" s="170" t="s">
        <v>255</v>
      </c>
      <c r="H218" s="219">
        <f>H86+H99</f>
        <v>52500</v>
      </c>
      <c r="I218" s="219">
        <f t="shared" ref="I218:L218" si="98">I86+I99</f>
        <v>65625</v>
      </c>
      <c r="J218" s="219">
        <f t="shared" si="98"/>
        <v>78750</v>
      </c>
      <c r="K218" s="219">
        <f t="shared" si="98"/>
        <v>118125</v>
      </c>
      <c r="L218" s="219">
        <f t="shared" si="98"/>
        <v>170625</v>
      </c>
    </row>
    <row r="219" spans="2:12" x14ac:dyDescent="0.2">
      <c r="B219" s="235" t="s">
        <v>256</v>
      </c>
      <c r="C219" s="161"/>
      <c r="D219" s="161"/>
      <c r="E219" s="161"/>
      <c r="F219" s="161"/>
      <c r="G219" s="161"/>
      <c r="H219" s="200">
        <f>H218*H183</f>
        <v>26250</v>
      </c>
      <c r="I219" s="200">
        <f t="shared" ref="I219:L219" si="99">I218*I183</f>
        <v>32812.5</v>
      </c>
      <c r="J219" s="200">
        <f t="shared" si="99"/>
        <v>39375</v>
      </c>
      <c r="K219" s="200">
        <f t="shared" si="99"/>
        <v>59062.5</v>
      </c>
      <c r="L219" s="200">
        <f t="shared" si="99"/>
        <v>85312.5</v>
      </c>
    </row>
    <row r="220" spans="2:12" x14ac:dyDescent="0.2">
      <c r="H220" s="219"/>
      <c r="I220" s="219"/>
      <c r="J220" s="219"/>
      <c r="K220" s="219"/>
      <c r="L220" s="219"/>
    </row>
    <row r="221" spans="2:12" x14ac:dyDescent="0.2">
      <c r="B221" s="76" t="s">
        <v>154</v>
      </c>
      <c r="C221" s="76"/>
      <c r="D221" s="76"/>
      <c r="E221" s="76"/>
      <c r="F221" s="76"/>
      <c r="G221" s="76"/>
      <c r="H221" s="76"/>
      <c r="I221" s="76"/>
      <c r="J221" s="76"/>
      <c r="K221" s="76"/>
      <c r="L221" s="76"/>
    </row>
    <row r="222" spans="2:12" x14ac:dyDescent="0.2">
      <c r="B222" s="88"/>
      <c r="C222" s="88"/>
      <c r="D222" s="88"/>
      <c r="E222" s="88"/>
      <c r="F222" s="88"/>
      <c r="G222" s="88"/>
      <c r="H222" s="212"/>
      <c r="I222" s="212"/>
      <c r="J222" s="212"/>
      <c r="K222" s="212"/>
      <c r="L222" s="212"/>
    </row>
    <row r="223" spans="2:12" x14ac:dyDescent="0.2">
      <c r="B223" s="39" t="s">
        <v>141</v>
      </c>
      <c r="H223" s="219">
        <f>G225</f>
        <v>0</v>
      </c>
      <c r="I223" s="219">
        <f t="shared" ref="I223:L223" si="100">H225</f>
        <v>52500</v>
      </c>
      <c r="J223" s="219">
        <f t="shared" si="100"/>
        <v>105000</v>
      </c>
      <c r="K223" s="219">
        <f t="shared" si="100"/>
        <v>157500</v>
      </c>
      <c r="L223" s="219">
        <f t="shared" si="100"/>
        <v>249375</v>
      </c>
    </row>
    <row r="224" spans="2:12" x14ac:dyDescent="0.2">
      <c r="B224" s="39" t="s">
        <v>142</v>
      </c>
      <c r="H224" s="219">
        <f>H188</f>
        <v>52500</v>
      </c>
      <c r="I224" s="219">
        <f t="shared" ref="I224:L224" si="101">I188</f>
        <v>52500</v>
      </c>
      <c r="J224" s="219">
        <f t="shared" si="101"/>
        <v>52500</v>
      </c>
      <c r="K224" s="219">
        <f t="shared" si="101"/>
        <v>91875</v>
      </c>
      <c r="L224" s="219">
        <f t="shared" si="101"/>
        <v>140000</v>
      </c>
    </row>
    <row r="225" spans="2:12" x14ac:dyDescent="0.2">
      <c r="B225" s="161" t="s">
        <v>257</v>
      </c>
      <c r="C225" s="161"/>
      <c r="D225" s="161"/>
      <c r="E225" s="161"/>
      <c r="F225" s="161"/>
      <c r="G225" s="161"/>
      <c r="H225" s="200">
        <f>SUM(H223:H224)</f>
        <v>52500</v>
      </c>
      <c r="I225" s="200">
        <f t="shared" ref="I225:L225" si="102">SUM(I223:I224)</f>
        <v>105000</v>
      </c>
      <c r="J225" s="200">
        <f t="shared" si="102"/>
        <v>157500</v>
      </c>
      <c r="K225" s="200">
        <f t="shared" si="102"/>
        <v>249375</v>
      </c>
      <c r="L225" s="200">
        <f t="shared" si="102"/>
        <v>389375</v>
      </c>
    </row>
    <row r="226" spans="2:12" x14ac:dyDescent="0.2">
      <c r="H226" s="219"/>
      <c r="I226" s="219"/>
      <c r="J226" s="219"/>
      <c r="K226" s="219"/>
      <c r="L226" s="219"/>
    </row>
    <row r="227" spans="2:12" x14ac:dyDescent="0.2">
      <c r="B227" s="75" t="s">
        <v>167</v>
      </c>
      <c r="H227" s="219"/>
      <c r="I227" s="219"/>
      <c r="J227" s="219"/>
      <c r="K227" s="219"/>
      <c r="L227" s="219"/>
    </row>
    <row r="228" spans="2:12" x14ac:dyDescent="0.2">
      <c r="B228" s="170" t="s">
        <v>255</v>
      </c>
      <c r="H228" s="219">
        <f>H218</f>
        <v>52500</v>
      </c>
      <c r="I228" s="219">
        <f t="shared" ref="I228:L228" si="103">I218</f>
        <v>65625</v>
      </c>
      <c r="J228" s="219">
        <f t="shared" si="103"/>
        <v>78750</v>
      </c>
      <c r="K228" s="219">
        <f t="shared" si="103"/>
        <v>118125</v>
      </c>
      <c r="L228" s="219">
        <f t="shared" si="103"/>
        <v>170625</v>
      </c>
    </row>
    <row r="229" spans="2:12" x14ac:dyDescent="0.2">
      <c r="B229" s="235" t="s">
        <v>78</v>
      </c>
      <c r="C229" s="161"/>
      <c r="D229" s="161"/>
      <c r="E229" s="161"/>
      <c r="F229" s="161"/>
      <c r="G229" s="161"/>
      <c r="H229" s="200">
        <f>H228*H184</f>
        <v>26250</v>
      </c>
      <c r="I229" s="200">
        <f t="shared" ref="I229:L229" si="104">I228*I184</f>
        <v>32812.5</v>
      </c>
      <c r="J229" s="200">
        <f t="shared" si="104"/>
        <v>39375</v>
      </c>
      <c r="K229" s="200">
        <f t="shared" si="104"/>
        <v>59062.5</v>
      </c>
      <c r="L229" s="200">
        <f t="shared" si="104"/>
        <v>85312.5</v>
      </c>
    </row>
    <row r="230" spans="2:12" x14ac:dyDescent="0.2">
      <c r="H230" s="219"/>
      <c r="I230" s="219"/>
      <c r="J230" s="219"/>
      <c r="K230" s="219"/>
      <c r="L230" s="219"/>
    </row>
    <row r="231" spans="2:12" x14ac:dyDescent="0.2">
      <c r="B231" s="76" t="s">
        <v>87</v>
      </c>
      <c r="C231" s="76"/>
      <c r="D231" s="76"/>
      <c r="E231" s="76"/>
      <c r="F231" s="76"/>
      <c r="G231" s="76"/>
      <c r="H231" s="76"/>
      <c r="I231" s="76"/>
      <c r="J231" s="76"/>
      <c r="K231" s="76"/>
      <c r="L231" s="76"/>
    </row>
    <row r="232" spans="2:12" x14ac:dyDescent="0.2">
      <c r="H232" s="219"/>
      <c r="I232" s="219"/>
      <c r="J232" s="219"/>
      <c r="K232" s="219"/>
      <c r="L232" s="219"/>
    </row>
    <row r="233" spans="2:12" x14ac:dyDescent="0.2">
      <c r="B233" s="88" t="s">
        <v>119</v>
      </c>
      <c r="C233" s="88"/>
      <c r="D233" s="88"/>
      <c r="E233" s="88"/>
      <c r="F233" s="88"/>
      <c r="G233" s="88"/>
      <c r="H233" s="212">
        <f>G236</f>
        <v>0</v>
      </c>
      <c r="I233" s="212">
        <f t="shared" ref="I233:L233" si="105">H236</f>
        <v>52500</v>
      </c>
      <c r="J233" s="212">
        <f t="shared" si="105"/>
        <v>91875</v>
      </c>
      <c r="K233" s="212">
        <f t="shared" si="105"/>
        <v>118125</v>
      </c>
      <c r="L233" s="212">
        <f t="shared" si="105"/>
        <v>183750</v>
      </c>
    </row>
    <row r="234" spans="2:12" x14ac:dyDescent="0.2">
      <c r="B234" s="39" t="s">
        <v>172</v>
      </c>
      <c r="H234" s="219">
        <f>H92</f>
        <v>52500</v>
      </c>
      <c r="I234" s="219">
        <f t="shared" ref="I234:L234" si="106">I92</f>
        <v>52500</v>
      </c>
      <c r="J234" s="219">
        <f t="shared" si="106"/>
        <v>52500</v>
      </c>
      <c r="K234" s="219">
        <f t="shared" si="106"/>
        <v>105000</v>
      </c>
      <c r="L234" s="219">
        <f t="shared" si="106"/>
        <v>175000</v>
      </c>
    </row>
    <row r="235" spans="2:12" x14ac:dyDescent="0.2">
      <c r="B235" s="39" t="s">
        <v>173</v>
      </c>
      <c r="H235" s="219">
        <f>-H99</f>
        <v>0</v>
      </c>
      <c r="I235" s="219">
        <f t="shared" ref="I235:L235" si="107">-I99</f>
        <v>-13125</v>
      </c>
      <c r="J235" s="219">
        <f t="shared" si="107"/>
        <v>-26250</v>
      </c>
      <c r="K235" s="219">
        <f t="shared" si="107"/>
        <v>-39375</v>
      </c>
      <c r="L235" s="219">
        <f t="shared" si="107"/>
        <v>-65625</v>
      </c>
    </row>
    <row r="236" spans="2:12" x14ac:dyDescent="0.2">
      <c r="B236" s="161" t="s">
        <v>122</v>
      </c>
      <c r="C236" s="161"/>
      <c r="D236" s="161"/>
      <c r="E236" s="161"/>
      <c r="F236" s="161"/>
      <c r="G236" s="161"/>
      <c r="H236" s="200">
        <f>SUM(H233:H235)</f>
        <v>52500</v>
      </c>
      <c r="I236" s="200">
        <f t="shared" ref="I236:L236" si="108">SUM(I233:I235)</f>
        <v>91875</v>
      </c>
      <c r="J236" s="200">
        <f t="shared" si="108"/>
        <v>118125</v>
      </c>
      <c r="K236" s="200">
        <f t="shared" si="108"/>
        <v>183750</v>
      </c>
      <c r="L236" s="200">
        <f t="shared" si="108"/>
        <v>293125</v>
      </c>
    </row>
    <row r="237" spans="2:12" x14ac:dyDescent="0.2">
      <c r="H237" s="219"/>
      <c r="I237" s="219"/>
      <c r="J237" s="219"/>
      <c r="K237" s="219"/>
      <c r="L237" s="219"/>
    </row>
    <row r="238" spans="2:12" x14ac:dyDescent="0.2">
      <c r="B238" s="76" t="s">
        <v>144</v>
      </c>
      <c r="C238" s="76"/>
      <c r="D238" s="76"/>
      <c r="E238" s="76"/>
      <c r="F238" s="76"/>
      <c r="G238" s="76"/>
      <c r="H238" s="76"/>
      <c r="I238" s="76"/>
      <c r="J238" s="76"/>
      <c r="K238" s="76"/>
      <c r="L238" s="76"/>
    </row>
    <row r="239" spans="2:12" x14ac:dyDescent="0.2">
      <c r="H239" s="219"/>
      <c r="I239" s="219"/>
      <c r="J239" s="219"/>
      <c r="K239" s="219"/>
      <c r="L239" s="219"/>
    </row>
    <row r="240" spans="2:12" x14ac:dyDescent="0.2">
      <c r="B240" s="39" t="s">
        <v>148</v>
      </c>
      <c r="H240" s="219">
        <f>G243</f>
        <v>0</v>
      </c>
      <c r="I240" s="219">
        <f t="shared" ref="I240:L240" si="109">H243</f>
        <v>9075.625</v>
      </c>
      <c r="J240" s="219">
        <f t="shared" si="109"/>
        <v>22912.500000000011</v>
      </c>
      <c r="K240" s="219">
        <f t="shared" si="109"/>
        <v>46347.437500000022</v>
      </c>
      <c r="L240" s="219">
        <f t="shared" si="109"/>
        <v>87787.121093750044</v>
      </c>
    </row>
    <row r="241" spans="2:12" x14ac:dyDescent="0.2">
      <c r="B241" s="39" t="s">
        <v>149</v>
      </c>
      <c r="H241" s="219">
        <f>H274</f>
        <v>9075.625</v>
      </c>
      <c r="I241" s="219">
        <f t="shared" ref="I241:L241" si="110">I274</f>
        <v>13836.875000000011</v>
      </c>
      <c r="J241" s="219">
        <f t="shared" si="110"/>
        <v>23434.937500000011</v>
      </c>
      <c r="K241" s="219">
        <f t="shared" si="110"/>
        <v>41439.683593750022</v>
      </c>
      <c r="L241" s="219">
        <f t="shared" si="110"/>
        <v>62561.389160156272</v>
      </c>
    </row>
    <row r="242" spans="2:12" x14ac:dyDescent="0.2">
      <c r="B242" s="39" t="s">
        <v>150</v>
      </c>
      <c r="H242" s="232">
        <v>0</v>
      </c>
      <c r="I242" s="232">
        <v>0</v>
      </c>
      <c r="J242" s="232">
        <v>0</v>
      </c>
      <c r="K242" s="232">
        <v>0</v>
      </c>
      <c r="L242" s="232">
        <v>0</v>
      </c>
    </row>
    <row r="243" spans="2:12" ht="10.8" thickBot="1" x14ac:dyDescent="0.25">
      <c r="B243" s="162" t="s">
        <v>151</v>
      </c>
      <c r="C243" s="162"/>
      <c r="D243" s="162"/>
      <c r="E243" s="162"/>
      <c r="F243" s="162"/>
      <c r="G243" s="162"/>
      <c r="H243" s="236">
        <f>SUM(H240:H242)</f>
        <v>9075.625</v>
      </c>
      <c r="I243" s="236">
        <f t="shared" ref="I243:L243" si="111">SUM(I240:I242)</f>
        <v>22912.500000000011</v>
      </c>
      <c r="J243" s="236">
        <f t="shared" si="111"/>
        <v>46347.437500000022</v>
      </c>
      <c r="K243" s="236">
        <f t="shared" si="111"/>
        <v>87787.121093750044</v>
      </c>
      <c r="L243" s="236">
        <f t="shared" si="111"/>
        <v>150348.51025390631</v>
      </c>
    </row>
    <row r="244" spans="2:12" x14ac:dyDescent="0.2">
      <c r="H244" s="219"/>
      <c r="I244" s="219"/>
      <c r="J244" s="219"/>
      <c r="K244" s="219"/>
      <c r="L244" s="219"/>
    </row>
    <row r="246" spans="2:12" x14ac:dyDescent="0.2">
      <c r="B246" s="48" t="s">
        <v>3</v>
      </c>
      <c r="C246" s="48"/>
      <c r="D246" s="48"/>
      <c r="E246" s="36">
        <f>E$7</f>
        <v>2020</v>
      </c>
      <c r="F246" s="36">
        <f t="shared" ref="F246:L246" si="112">F$7</f>
        <v>2021</v>
      </c>
      <c r="G246" s="36">
        <f t="shared" si="112"/>
        <v>2022</v>
      </c>
      <c r="H246" s="36">
        <f t="shared" si="112"/>
        <v>2023</v>
      </c>
      <c r="I246" s="36">
        <f t="shared" si="112"/>
        <v>2024</v>
      </c>
      <c r="J246" s="36">
        <f t="shared" si="112"/>
        <v>2025</v>
      </c>
      <c r="K246" s="36">
        <f t="shared" si="112"/>
        <v>2026</v>
      </c>
      <c r="L246" s="36">
        <f t="shared" si="112"/>
        <v>2027</v>
      </c>
    </row>
    <row r="247" spans="2:12" x14ac:dyDescent="0.2">
      <c r="B247" s="47"/>
      <c r="C247" s="47"/>
      <c r="D247" s="47"/>
      <c r="E247" s="1"/>
      <c r="F247" s="1"/>
      <c r="G247" s="1"/>
    </row>
    <row r="248" spans="2:12" x14ac:dyDescent="0.2">
      <c r="B248" s="49" t="s">
        <v>4</v>
      </c>
      <c r="C248" s="49"/>
      <c r="D248" s="49"/>
      <c r="E248" s="180"/>
      <c r="F248" s="180"/>
      <c r="G248" s="180"/>
      <c r="H248" s="180">
        <f>H39</f>
        <v>100000</v>
      </c>
      <c r="I248" s="180">
        <f>I39</f>
        <v>207500</v>
      </c>
      <c r="J248" s="180">
        <f>J39</f>
        <v>323062.5</v>
      </c>
      <c r="K248" s="180">
        <f>K39</f>
        <v>497292.1875</v>
      </c>
      <c r="L248" s="180">
        <f>L39</f>
        <v>734589.1015625</v>
      </c>
    </row>
    <row r="249" spans="2:12" x14ac:dyDescent="0.2">
      <c r="B249" s="50" t="s">
        <v>5</v>
      </c>
      <c r="C249" s="50"/>
      <c r="D249" s="50"/>
      <c r="E249" s="180"/>
      <c r="F249" s="180"/>
      <c r="G249" s="180"/>
      <c r="H249" s="180">
        <f>H43</f>
        <v>44383.638214637154</v>
      </c>
      <c r="I249" s="180">
        <f>I43</f>
        <v>92671.968406917062</v>
      </c>
      <c r="J249" s="180">
        <f>J43</f>
        <v>143604.42279387973</v>
      </c>
      <c r="K249" s="180">
        <f>K43</f>
        <v>221288.0617353819</v>
      </c>
      <c r="L249" s="180">
        <f>L43</f>
        <v>327163.36562849494</v>
      </c>
    </row>
    <row r="250" spans="2:12" x14ac:dyDescent="0.2">
      <c r="B250" s="51" t="s">
        <v>6</v>
      </c>
      <c r="C250" s="51"/>
      <c r="D250" s="51"/>
      <c r="E250" s="25">
        <f>E248-E249</f>
        <v>0</v>
      </c>
      <c r="F250" s="25">
        <f t="shared" ref="F250:L250" si="113">F248-F249</f>
        <v>0</v>
      </c>
      <c r="G250" s="25">
        <f t="shared" si="113"/>
        <v>0</v>
      </c>
      <c r="H250" s="25">
        <f t="shared" si="113"/>
        <v>55616.361785362846</v>
      </c>
      <c r="I250" s="25">
        <f t="shared" si="113"/>
        <v>114828.03159308294</v>
      </c>
      <c r="J250" s="25">
        <f t="shared" si="113"/>
        <v>179458.07720612027</v>
      </c>
      <c r="K250" s="25">
        <f t="shared" si="113"/>
        <v>276004.1257646181</v>
      </c>
      <c r="L250" s="25">
        <f t="shared" si="113"/>
        <v>407425.73593400506</v>
      </c>
    </row>
    <row r="251" spans="2:12" x14ac:dyDescent="0.2">
      <c r="B251" s="52"/>
      <c r="C251" s="52"/>
      <c r="D251" s="52"/>
      <c r="E251" s="182"/>
      <c r="F251" s="182"/>
      <c r="G251" s="182"/>
      <c r="H251" s="132"/>
      <c r="I251" s="132"/>
      <c r="J251" s="132"/>
      <c r="K251" s="132"/>
      <c r="L251" s="132"/>
    </row>
    <row r="252" spans="2:12" x14ac:dyDescent="0.2">
      <c r="B252" s="52" t="s">
        <v>7</v>
      </c>
      <c r="C252" s="52"/>
      <c r="D252" s="52"/>
      <c r="E252" s="182"/>
      <c r="F252" s="182"/>
      <c r="G252" s="182"/>
      <c r="H252" s="132"/>
      <c r="I252" s="132"/>
      <c r="J252" s="132"/>
      <c r="K252" s="132"/>
      <c r="L252" s="132"/>
    </row>
    <row r="253" spans="2:12" x14ac:dyDescent="0.2">
      <c r="B253" s="49" t="s">
        <v>8</v>
      </c>
      <c r="C253" s="49"/>
      <c r="D253" s="49"/>
      <c r="E253" s="180"/>
      <c r="F253" s="180"/>
      <c r="G253" s="180"/>
      <c r="H253" s="180">
        <f t="shared" ref="H253:L254" si="114">H61*H$58</f>
        <v>16435.799795682302</v>
      </c>
      <c r="I253" s="180">
        <f t="shared" si="114"/>
        <v>32482.906679059339</v>
      </c>
      <c r="J253" s="180">
        <f t="shared" si="114"/>
        <v>49053.36754304736</v>
      </c>
      <c r="K253" s="180">
        <f t="shared" si="114"/>
        <v>74788.016766101646</v>
      </c>
      <c r="L253" s="180">
        <f t="shared" si="114"/>
        <v>109295.42648887754</v>
      </c>
    </row>
    <row r="254" spans="2:12" x14ac:dyDescent="0.2">
      <c r="B254" s="49" t="s">
        <v>9</v>
      </c>
      <c r="C254" s="49"/>
      <c r="D254" s="49"/>
      <c r="E254" s="180"/>
      <c r="F254" s="180"/>
      <c r="G254" s="180"/>
      <c r="H254" s="180">
        <f t="shared" si="114"/>
        <v>3696.8458602222076</v>
      </c>
      <c r="I254" s="180">
        <f t="shared" si="114"/>
        <v>7465.0483575162343</v>
      </c>
      <c r="J254" s="180">
        <f t="shared" si="114"/>
        <v>11380.545085777088</v>
      </c>
      <c r="K254" s="180">
        <f t="shared" si="114"/>
        <v>17118.080813497338</v>
      </c>
      <c r="L254" s="180">
        <f t="shared" si="114"/>
        <v>25163.356679922377</v>
      </c>
    </row>
    <row r="255" spans="2:12" x14ac:dyDescent="0.2">
      <c r="B255" s="49" t="s">
        <v>10</v>
      </c>
      <c r="C255" s="49"/>
      <c r="D255" s="49"/>
      <c r="E255" s="180"/>
      <c r="F255" s="180"/>
      <c r="G255" s="180"/>
      <c r="H255" s="214">
        <f>H63*H$58+H87</f>
        <v>9513.1349028237328</v>
      </c>
      <c r="I255" s="214">
        <f>I63*I$58+I87</f>
        <v>16165.990932031018</v>
      </c>
      <c r="J255" s="214">
        <f>J63*J$58+J87</f>
        <v>23201.175487881148</v>
      </c>
      <c r="K255" s="214">
        <f>K63*K$58+K87</f>
        <v>34892.34028251993</v>
      </c>
      <c r="L255" s="214">
        <f>L63*L$58+L87</f>
        <v>50641.594114789019</v>
      </c>
    </row>
    <row r="256" spans="2:12" x14ac:dyDescent="0.2">
      <c r="B256" s="49" t="s">
        <v>11</v>
      </c>
      <c r="C256" s="49"/>
      <c r="D256" s="49"/>
      <c r="E256" s="180"/>
      <c r="F256" s="180"/>
      <c r="G256" s="180"/>
      <c r="H256" s="180">
        <f t="shared" ref="H256:L262" si="115">H64*H$58</f>
        <v>2021.5515848597199</v>
      </c>
      <c r="I256" s="180">
        <f t="shared" si="115"/>
        <v>4103.3397972946696</v>
      </c>
      <c r="J256" s="180">
        <f t="shared" si="115"/>
        <v>6212.2056204527189</v>
      </c>
      <c r="K256" s="180">
        <f t="shared" si="115"/>
        <v>9371.3022537058987</v>
      </c>
      <c r="L256" s="180">
        <f t="shared" si="115"/>
        <v>13780.857609770472</v>
      </c>
    </row>
    <row r="257" spans="2:14" x14ac:dyDescent="0.2">
      <c r="B257" s="49" t="s">
        <v>12</v>
      </c>
      <c r="C257" s="49"/>
      <c r="D257" s="49"/>
      <c r="E257" s="180"/>
      <c r="F257" s="180"/>
      <c r="G257" s="180"/>
      <c r="H257" s="180">
        <f t="shared" si="115"/>
        <v>2847.0590794855111</v>
      </c>
      <c r="I257" s="180">
        <f t="shared" si="115"/>
        <v>5746.8170318625134</v>
      </c>
      <c r="J257" s="180">
        <f t="shared" si="115"/>
        <v>8750.2063493296482</v>
      </c>
      <c r="K257" s="180">
        <f t="shared" si="115"/>
        <v>13174.23460965658</v>
      </c>
      <c r="L257" s="180">
        <f t="shared" si="115"/>
        <v>19361.593744799004</v>
      </c>
    </row>
    <row r="258" spans="2:14" x14ac:dyDescent="0.2">
      <c r="B258" s="49" t="s">
        <v>13</v>
      </c>
      <c r="C258" s="49"/>
      <c r="D258" s="49"/>
      <c r="E258" s="180"/>
      <c r="F258" s="180"/>
      <c r="G258" s="180"/>
      <c r="H258" s="180">
        <f t="shared" si="115"/>
        <v>398.24223285604421</v>
      </c>
      <c r="I258" s="180">
        <f t="shared" si="115"/>
        <v>816.91872175303013</v>
      </c>
      <c r="J258" s="180">
        <f t="shared" si="115"/>
        <v>1189.7129511371318</v>
      </c>
      <c r="K258" s="180">
        <f t="shared" si="115"/>
        <v>1835.4523593424835</v>
      </c>
      <c r="L258" s="180">
        <f t="shared" si="115"/>
        <v>2693.904256525077</v>
      </c>
    </row>
    <row r="259" spans="2:14" x14ac:dyDescent="0.2">
      <c r="B259" s="49" t="s">
        <v>14</v>
      </c>
      <c r="C259" s="49"/>
      <c r="D259" s="49"/>
      <c r="E259" s="180"/>
      <c r="F259" s="180"/>
      <c r="G259" s="180"/>
      <c r="H259" s="180">
        <f t="shared" si="115"/>
        <v>420.24684854315677</v>
      </c>
      <c r="I259" s="180">
        <f t="shared" si="115"/>
        <v>850.71512810729973</v>
      </c>
      <c r="J259" s="180">
        <f t="shared" si="115"/>
        <v>1299.8208646439557</v>
      </c>
      <c r="K259" s="180">
        <f t="shared" si="115"/>
        <v>1950.6287277855474</v>
      </c>
      <c r="L259" s="180">
        <f t="shared" si="115"/>
        <v>2869.6868375517993</v>
      </c>
    </row>
    <row r="260" spans="2:14" x14ac:dyDescent="0.2">
      <c r="B260" s="49" t="s">
        <v>15</v>
      </c>
      <c r="C260" s="49"/>
      <c r="D260" s="49"/>
      <c r="E260" s="180"/>
      <c r="F260" s="180"/>
      <c r="G260" s="180"/>
      <c r="H260" s="180">
        <f t="shared" si="115"/>
        <v>507.55007183986811</v>
      </c>
      <c r="I260" s="180">
        <f t="shared" si="115"/>
        <v>1032.6922264282978</v>
      </c>
      <c r="J260" s="180">
        <f t="shared" si="115"/>
        <v>1626.9738416700741</v>
      </c>
      <c r="K260" s="180">
        <f t="shared" si="115"/>
        <v>2388.698660475623</v>
      </c>
      <c r="L260" s="180">
        <f t="shared" si="115"/>
        <v>3530.12526871913</v>
      </c>
    </row>
    <row r="261" spans="2:14" x14ac:dyDescent="0.2">
      <c r="B261" s="49" t="s">
        <v>16</v>
      </c>
      <c r="C261" s="49"/>
      <c r="D261" s="49"/>
      <c r="E261" s="180"/>
      <c r="F261" s="180"/>
      <c r="G261" s="180"/>
      <c r="H261" s="180">
        <f t="shared" si="115"/>
        <v>1613.0775567813457</v>
      </c>
      <c r="I261" s="180">
        <f t="shared" si="115"/>
        <v>3256.2677145201096</v>
      </c>
      <c r="J261" s="180">
        <f t="shared" si="115"/>
        <v>4969.834215412613</v>
      </c>
      <c r="K261" s="180">
        <f t="shared" si="115"/>
        <v>7470.5543311924921</v>
      </c>
      <c r="L261" s="180">
        <f t="shared" si="115"/>
        <v>10982.237020119204</v>
      </c>
    </row>
    <row r="262" spans="2:14" x14ac:dyDescent="0.2">
      <c r="B262" s="49" t="s">
        <v>17</v>
      </c>
      <c r="C262" s="49"/>
      <c r="D262" s="49"/>
      <c r="E262" s="180"/>
      <c r="F262" s="180"/>
      <c r="G262" s="180"/>
      <c r="H262" s="180">
        <f t="shared" si="115"/>
        <v>1050.3538522689578</v>
      </c>
      <c r="I262" s="180">
        <f t="shared" si="115"/>
        <v>2144.8350045104162</v>
      </c>
      <c r="J262" s="180">
        <f t="shared" si="115"/>
        <v>3276.7352467685218</v>
      </c>
      <c r="K262" s="180">
        <f t="shared" si="115"/>
        <v>4903.6450853405668</v>
      </c>
      <c r="L262" s="180">
        <f t="shared" si="115"/>
        <v>7227.8035223064398</v>
      </c>
    </row>
    <row r="263" spans="2:14" x14ac:dyDescent="0.2">
      <c r="B263" s="51" t="s">
        <v>18</v>
      </c>
      <c r="C263" s="51"/>
      <c r="D263" s="51"/>
      <c r="E263" s="25">
        <f>SUM(E253:E262)</f>
        <v>0</v>
      </c>
      <c r="F263" s="25">
        <f t="shared" ref="F263:L263" si="116">SUM(F253:F262)</f>
        <v>0</v>
      </c>
      <c r="G263" s="25">
        <f t="shared" si="116"/>
        <v>0</v>
      </c>
      <c r="H263" s="25">
        <f t="shared" si="116"/>
        <v>38503.861785362846</v>
      </c>
      <c r="I263" s="25">
        <f t="shared" si="116"/>
        <v>74065.531593082924</v>
      </c>
      <c r="J263" s="25">
        <f t="shared" si="116"/>
        <v>110960.57720612026</v>
      </c>
      <c r="K263" s="25">
        <f t="shared" si="116"/>
        <v>167892.95388961807</v>
      </c>
      <c r="L263" s="25">
        <f t="shared" si="116"/>
        <v>245546.58554338003</v>
      </c>
    </row>
    <row r="264" spans="2:14" ht="10.8" thickBot="1" x14ac:dyDescent="0.25">
      <c r="B264" s="53" t="s">
        <v>20</v>
      </c>
      <c r="C264" s="53"/>
      <c r="D264" s="53"/>
      <c r="E264" s="183">
        <f>E250-E263</f>
        <v>0</v>
      </c>
      <c r="F264" s="183">
        <f t="shared" ref="F264:L264" si="117">F250-F263</f>
        <v>0</v>
      </c>
      <c r="G264" s="183">
        <f t="shared" si="117"/>
        <v>0</v>
      </c>
      <c r="H264" s="183">
        <f t="shared" si="117"/>
        <v>17112.5</v>
      </c>
      <c r="I264" s="183">
        <f t="shared" si="117"/>
        <v>40762.500000000015</v>
      </c>
      <c r="J264" s="183">
        <f t="shared" si="117"/>
        <v>68497.500000000015</v>
      </c>
      <c r="K264" s="183">
        <f t="shared" si="117"/>
        <v>108111.17187500003</v>
      </c>
      <c r="L264" s="183">
        <f t="shared" si="117"/>
        <v>161879.15039062503</v>
      </c>
    </row>
    <row r="265" spans="2:14" x14ac:dyDescent="0.2">
      <c r="B265" s="54" t="s">
        <v>85</v>
      </c>
      <c r="C265" s="54"/>
      <c r="D265" s="54"/>
      <c r="E265" s="180"/>
      <c r="F265" s="180"/>
      <c r="G265" s="180"/>
      <c r="H265" s="132"/>
      <c r="I265" s="132"/>
      <c r="J265" s="132"/>
      <c r="K265" s="132"/>
      <c r="L265" s="132"/>
    </row>
    <row r="266" spans="2:14" x14ac:dyDescent="0.2">
      <c r="B266" s="49"/>
      <c r="C266" s="49"/>
      <c r="D266" s="49"/>
      <c r="E266" s="180"/>
      <c r="F266" s="180"/>
      <c r="G266" s="180"/>
      <c r="H266" s="132"/>
      <c r="I266" s="132"/>
      <c r="J266" s="132"/>
      <c r="K266" s="132"/>
      <c r="L266" s="132"/>
    </row>
    <row r="267" spans="2:14" x14ac:dyDescent="0.2">
      <c r="B267" s="49" t="s">
        <v>21</v>
      </c>
      <c r="C267" s="49"/>
      <c r="D267" s="49"/>
      <c r="E267" s="180"/>
      <c r="F267" s="180"/>
      <c r="G267" s="180"/>
      <c r="H267" s="180">
        <f>-H212</f>
        <v>0</v>
      </c>
      <c r="I267" s="180">
        <f>-I212</f>
        <v>13625</v>
      </c>
      <c r="J267" s="180">
        <f>-J212</f>
        <v>24343.75</v>
      </c>
      <c r="K267" s="180">
        <f>-K212</f>
        <v>32882.8125</v>
      </c>
      <c r="L267" s="180">
        <f>-L212</f>
        <v>49880.859375</v>
      </c>
    </row>
    <row r="268" spans="2:14" x14ac:dyDescent="0.2">
      <c r="B268" s="50" t="s">
        <v>22</v>
      </c>
      <c r="C268" s="50"/>
      <c r="D268" s="50"/>
      <c r="E268" s="180"/>
      <c r="F268" s="180"/>
      <c r="G268" s="180"/>
      <c r="H268" s="180">
        <f>-H108</f>
        <v>3150</v>
      </c>
      <c r="I268" s="180">
        <f>-I108</f>
        <v>5850</v>
      </c>
      <c r="J268" s="180">
        <f>-J108</f>
        <v>8100</v>
      </c>
      <c r="K268" s="180">
        <f>-K108</f>
        <v>11475</v>
      </c>
      <c r="L268" s="180">
        <f>-L108</f>
        <v>15750</v>
      </c>
      <c r="N268" s="70" t="s">
        <v>106</v>
      </c>
    </row>
    <row r="269" spans="2:14" x14ac:dyDescent="0.2">
      <c r="B269" s="50" t="s">
        <v>75</v>
      </c>
      <c r="C269" s="50"/>
      <c r="D269" s="50"/>
      <c r="E269" s="180"/>
      <c r="F269" s="180"/>
      <c r="G269" s="180"/>
      <c r="H269" s="180"/>
      <c r="I269" s="180"/>
      <c r="J269" s="180"/>
      <c r="K269" s="180"/>
      <c r="L269" s="180"/>
    </row>
    <row r="270" spans="2:14" x14ac:dyDescent="0.2">
      <c r="B270" s="51" t="s">
        <v>23</v>
      </c>
      <c r="C270" s="51"/>
      <c r="D270" s="51"/>
      <c r="E270" s="25">
        <f>SUM(E267:E269)</f>
        <v>0</v>
      </c>
      <c r="F270" s="25">
        <f t="shared" ref="F270:L270" si="118">SUM(F267:F269)</f>
        <v>0</v>
      </c>
      <c r="G270" s="25">
        <f t="shared" si="118"/>
        <v>0</v>
      </c>
      <c r="H270" s="25">
        <f t="shared" si="118"/>
        <v>3150</v>
      </c>
      <c r="I270" s="25">
        <f t="shared" si="118"/>
        <v>19475</v>
      </c>
      <c r="J270" s="25">
        <f t="shared" si="118"/>
        <v>32443.75</v>
      </c>
      <c r="K270" s="25">
        <f t="shared" si="118"/>
        <v>44357.8125</v>
      </c>
      <c r="L270" s="25">
        <f t="shared" si="118"/>
        <v>65630.859375</v>
      </c>
    </row>
    <row r="271" spans="2:14" x14ac:dyDescent="0.2">
      <c r="B271" s="55" t="s">
        <v>24</v>
      </c>
      <c r="C271" s="55"/>
      <c r="D271" s="55"/>
      <c r="E271" s="184">
        <f>E264-E270</f>
        <v>0</v>
      </c>
      <c r="F271" s="184">
        <f t="shared" ref="F271:L271" si="119">F264-F270</f>
        <v>0</v>
      </c>
      <c r="G271" s="184">
        <f t="shared" si="119"/>
        <v>0</v>
      </c>
      <c r="H271" s="184">
        <f t="shared" si="119"/>
        <v>13962.5</v>
      </c>
      <c r="I271" s="184">
        <f t="shared" si="119"/>
        <v>21287.500000000015</v>
      </c>
      <c r="J271" s="184">
        <f t="shared" si="119"/>
        <v>36053.750000000015</v>
      </c>
      <c r="K271" s="184">
        <f t="shared" si="119"/>
        <v>63753.359375000029</v>
      </c>
      <c r="L271" s="184">
        <f t="shared" si="119"/>
        <v>96248.291015625029</v>
      </c>
    </row>
    <row r="272" spans="2:14" x14ac:dyDescent="0.2">
      <c r="B272" s="52"/>
      <c r="C272" s="52"/>
      <c r="D272" s="52"/>
      <c r="E272" s="182"/>
      <c r="F272" s="182"/>
      <c r="G272" s="182"/>
      <c r="H272" s="132"/>
      <c r="I272" s="132"/>
      <c r="J272" s="132"/>
      <c r="K272" s="132"/>
      <c r="L272" s="132"/>
    </row>
    <row r="273" spans="2:14" x14ac:dyDescent="0.2">
      <c r="B273" s="50" t="s">
        <v>25</v>
      </c>
      <c r="C273" s="50"/>
      <c r="D273" s="50"/>
      <c r="E273" s="180"/>
      <c r="F273" s="180"/>
      <c r="G273" s="180"/>
      <c r="H273" s="180">
        <f>IF(H271&gt;0,H271*H72,0)</f>
        <v>4886.875</v>
      </c>
      <c r="I273" s="180">
        <f t="shared" ref="I273:L273" si="120">IF(I271&gt;0,I271*I72,0)</f>
        <v>7450.6250000000045</v>
      </c>
      <c r="J273" s="180">
        <f t="shared" si="120"/>
        <v>12618.812500000004</v>
      </c>
      <c r="K273" s="180">
        <f t="shared" si="120"/>
        <v>22313.675781250007</v>
      </c>
      <c r="L273" s="180">
        <f t="shared" si="120"/>
        <v>33686.901855468757</v>
      </c>
    </row>
    <row r="274" spans="2:14" ht="10.8" thickBot="1" x14ac:dyDescent="0.25">
      <c r="B274" s="56" t="s">
        <v>26</v>
      </c>
      <c r="C274" s="56"/>
      <c r="D274" s="56"/>
      <c r="E274" s="185">
        <f>E271-E273</f>
        <v>0</v>
      </c>
      <c r="F274" s="185">
        <f t="shared" ref="F274:L274" si="121">F271-F273</f>
        <v>0</v>
      </c>
      <c r="G274" s="185">
        <f t="shared" si="121"/>
        <v>0</v>
      </c>
      <c r="H274" s="185">
        <f t="shared" si="121"/>
        <v>9075.625</v>
      </c>
      <c r="I274" s="185">
        <f t="shared" si="121"/>
        <v>13836.875000000011</v>
      </c>
      <c r="J274" s="185">
        <f t="shared" si="121"/>
        <v>23434.937500000011</v>
      </c>
      <c r="K274" s="185">
        <f t="shared" si="121"/>
        <v>41439.683593750022</v>
      </c>
      <c r="L274" s="185">
        <f t="shared" si="121"/>
        <v>62561.389160156272</v>
      </c>
    </row>
    <row r="275" spans="2:14" ht="10.8" thickTop="1" x14ac:dyDescent="0.2">
      <c r="B275" s="54" t="s">
        <v>86</v>
      </c>
      <c r="C275" s="54"/>
      <c r="D275" s="54"/>
      <c r="E275" s="134"/>
      <c r="F275" s="134"/>
      <c r="G275" s="134"/>
      <c r="H275" s="132"/>
      <c r="I275" s="132"/>
      <c r="J275" s="132"/>
      <c r="K275" s="132"/>
      <c r="L275" s="132"/>
    </row>
    <row r="276" spans="2:14" x14ac:dyDescent="0.2">
      <c r="B276" s="57"/>
      <c r="C276" s="57"/>
      <c r="D276" s="57"/>
      <c r="E276" s="134"/>
      <c r="F276" s="134"/>
      <c r="G276" s="134"/>
      <c r="H276" s="132"/>
      <c r="I276" s="132"/>
      <c r="J276" s="132"/>
      <c r="K276" s="132"/>
      <c r="L276" s="132"/>
    </row>
    <row r="277" spans="2:14" x14ac:dyDescent="0.2">
      <c r="B277" s="48" t="s">
        <v>27</v>
      </c>
      <c r="C277" s="48"/>
      <c r="D277" s="48"/>
      <c r="E277" s="36">
        <f>E$7</f>
        <v>2020</v>
      </c>
      <c r="F277" s="36">
        <f t="shared" ref="F277:L277" si="122">F$7</f>
        <v>2021</v>
      </c>
      <c r="G277" s="36">
        <f t="shared" si="122"/>
        <v>2022</v>
      </c>
      <c r="H277" s="36">
        <f t="shared" si="122"/>
        <v>2023</v>
      </c>
      <c r="I277" s="36">
        <f t="shared" si="122"/>
        <v>2024</v>
      </c>
      <c r="J277" s="36">
        <f t="shared" si="122"/>
        <v>2025</v>
      </c>
      <c r="K277" s="36">
        <f t="shared" si="122"/>
        <v>2026</v>
      </c>
      <c r="L277" s="36">
        <f t="shared" si="122"/>
        <v>2027</v>
      </c>
    </row>
    <row r="278" spans="2:14" x14ac:dyDescent="0.2">
      <c r="B278" s="58" t="s">
        <v>28</v>
      </c>
      <c r="C278" s="58"/>
      <c r="D278" s="58"/>
      <c r="E278" s="180"/>
      <c r="F278" s="180"/>
      <c r="G278" s="180"/>
      <c r="H278" s="132"/>
      <c r="I278" s="132"/>
      <c r="J278" s="132"/>
      <c r="K278" s="132"/>
      <c r="L278" s="132"/>
    </row>
    <row r="279" spans="2:14" x14ac:dyDescent="0.2">
      <c r="B279" s="49" t="s">
        <v>29</v>
      </c>
      <c r="C279" s="49"/>
      <c r="D279" s="49"/>
      <c r="E279" s="180"/>
      <c r="F279" s="180"/>
      <c r="G279" s="180"/>
      <c r="H279" s="180">
        <f>H325</f>
        <v>-2037.6905542898457</v>
      </c>
      <c r="I279" s="180">
        <f t="shared" ref="I279:L279" si="123">I325</f>
        <v>-12108.988226913229</v>
      </c>
      <c r="J279" s="180">
        <f t="shared" si="123"/>
        <v>-21307.453809791012</v>
      </c>
      <c r="K279" s="180">
        <f t="shared" si="123"/>
        <v>-35304.266775269731</v>
      </c>
      <c r="L279" s="180">
        <f t="shared" si="123"/>
        <v>-58488.610144958046</v>
      </c>
      <c r="N279" s="39" t="s">
        <v>45</v>
      </c>
    </row>
    <row r="280" spans="2:14" x14ac:dyDescent="0.2">
      <c r="B280" s="49" t="s">
        <v>30</v>
      </c>
      <c r="C280" s="49"/>
      <c r="D280" s="49"/>
      <c r="E280" s="180"/>
      <c r="F280" s="180"/>
      <c r="G280" s="180"/>
      <c r="H280" s="180">
        <f>H159</f>
        <v>7731.6399626145439</v>
      </c>
      <c r="I280" s="180">
        <f>I159</f>
        <v>24858.251316826972</v>
      </c>
      <c r="J280" s="180">
        <f>J159</f>
        <v>25471.25329035824</v>
      </c>
      <c r="K280" s="180">
        <f>K159</f>
        <v>52689.66105661996</v>
      </c>
      <c r="L280" s="180">
        <f>L159</f>
        <v>61459.603906320706</v>
      </c>
      <c r="N280" s="39" t="s">
        <v>126</v>
      </c>
    </row>
    <row r="281" spans="2:14" x14ac:dyDescent="0.2">
      <c r="B281" s="49" t="s">
        <v>31</v>
      </c>
      <c r="C281" s="49"/>
      <c r="D281" s="49"/>
      <c r="E281" s="180"/>
      <c r="F281" s="180"/>
      <c r="G281" s="180"/>
      <c r="H281" s="180"/>
      <c r="I281" s="180"/>
      <c r="J281" s="180"/>
      <c r="K281" s="180"/>
      <c r="L281" s="180"/>
      <c r="N281" s="39" t="s">
        <v>152</v>
      </c>
    </row>
    <row r="282" spans="2:14" x14ac:dyDescent="0.2">
      <c r="B282" s="49" t="s">
        <v>32</v>
      </c>
      <c r="C282" s="49"/>
      <c r="D282" s="49"/>
      <c r="E282" s="180"/>
      <c r="F282" s="180"/>
      <c r="G282" s="180"/>
      <c r="H282" s="180">
        <f>H167</f>
        <v>5582.4460918649684</v>
      </c>
      <c r="I282" s="180">
        <f>I167</f>
        <v>17446.82533718794</v>
      </c>
      <c r="J282" s="180">
        <f>J167</f>
        <v>16813.593975526244</v>
      </c>
      <c r="K282" s="180">
        <f>K167</f>
        <v>35745.267778289272</v>
      </c>
      <c r="L282" s="180">
        <f>L167</f>
        <v>40368.912445241731</v>
      </c>
      <c r="N282" s="39" t="s">
        <v>126</v>
      </c>
    </row>
    <row r="283" spans="2:14" x14ac:dyDescent="0.2">
      <c r="B283" s="49" t="s">
        <v>33</v>
      </c>
      <c r="C283" s="49"/>
      <c r="D283" s="49"/>
      <c r="E283" s="180"/>
      <c r="F283" s="180"/>
      <c r="G283" s="180"/>
      <c r="H283" s="180">
        <f>H215</f>
        <v>54500</v>
      </c>
      <c r="I283" s="180">
        <f>I215</f>
        <v>97375</v>
      </c>
      <c r="J283" s="180">
        <f>J215</f>
        <v>131531.25</v>
      </c>
      <c r="K283" s="180">
        <f>K215</f>
        <v>199523.4375</v>
      </c>
      <c r="L283" s="180">
        <f>L215</f>
        <v>302642.578125</v>
      </c>
      <c r="N283" s="39" t="s">
        <v>153</v>
      </c>
    </row>
    <row r="284" spans="2:14" x14ac:dyDescent="0.2">
      <c r="B284" s="49" t="s">
        <v>76</v>
      </c>
      <c r="C284" s="49"/>
      <c r="D284" s="49"/>
      <c r="E284" s="180"/>
      <c r="F284" s="180"/>
      <c r="G284" s="180"/>
      <c r="H284" s="180">
        <f>H225</f>
        <v>52500</v>
      </c>
      <c r="I284" s="180">
        <f>I225</f>
        <v>105000</v>
      </c>
      <c r="J284" s="180">
        <f>J225</f>
        <v>157500</v>
      </c>
      <c r="K284" s="180">
        <f>K225</f>
        <v>249375</v>
      </c>
      <c r="L284" s="180">
        <f>L225</f>
        <v>389375</v>
      </c>
      <c r="N284" s="39" t="s">
        <v>154</v>
      </c>
    </row>
    <row r="285" spans="2:14" x14ac:dyDescent="0.2">
      <c r="B285" s="49" t="s">
        <v>77</v>
      </c>
      <c r="C285" s="49"/>
      <c r="D285" s="49"/>
      <c r="E285" s="180"/>
      <c r="F285" s="180"/>
      <c r="G285" s="180"/>
      <c r="H285" s="180"/>
      <c r="I285" s="180"/>
      <c r="J285" s="180"/>
      <c r="K285" s="180"/>
      <c r="L285" s="180"/>
      <c r="N285" s="39" t="s">
        <v>152</v>
      </c>
    </row>
    <row r="286" spans="2:14" ht="10.8" thickBot="1" x14ac:dyDescent="0.25">
      <c r="B286" s="56" t="s">
        <v>34</v>
      </c>
      <c r="C286" s="56"/>
      <c r="D286" s="56"/>
      <c r="E286" s="185">
        <f>SUM(E279:E285)</f>
        <v>0</v>
      </c>
      <c r="F286" s="185">
        <f t="shared" ref="F286:L286" si="124">SUM(F279:F285)</f>
        <v>0</v>
      </c>
      <c r="G286" s="185">
        <f t="shared" si="124"/>
        <v>0</v>
      </c>
      <c r="H286" s="185">
        <f t="shared" si="124"/>
        <v>118276.39550018967</v>
      </c>
      <c r="I286" s="185">
        <f t="shared" si="124"/>
        <v>232571.08842710167</v>
      </c>
      <c r="J286" s="185">
        <f t="shared" si="124"/>
        <v>310008.6434560935</v>
      </c>
      <c r="K286" s="185">
        <f t="shared" si="124"/>
        <v>502029.09955963946</v>
      </c>
      <c r="L286" s="185">
        <f t="shared" si="124"/>
        <v>735357.48433160433</v>
      </c>
    </row>
    <row r="287" spans="2:14" ht="10.8" thickTop="1" x14ac:dyDescent="0.2">
      <c r="B287" s="52"/>
      <c r="C287" s="52"/>
      <c r="D287" s="52"/>
      <c r="E287" s="182"/>
      <c r="F287" s="182"/>
      <c r="G287" s="182"/>
      <c r="H287" s="132"/>
      <c r="I287" s="132"/>
      <c r="J287" s="132"/>
      <c r="K287" s="132"/>
      <c r="L287" s="132"/>
    </row>
    <row r="288" spans="2:14" x14ac:dyDescent="0.2">
      <c r="B288" s="58" t="s">
        <v>35</v>
      </c>
      <c r="C288" s="58"/>
      <c r="D288" s="58"/>
      <c r="E288" s="180"/>
      <c r="F288" s="180"/>
      <c r="G288" s="180"/>
      <c r="H288" s="132"/>
      <c r="I288" s="132"/>
      <c r="J288" s="132"/>
      <c r="K288" s="132"/>
      <c r="L288" s="132"/>
    </row>
    <row r="289" spans="2:14" x14ac:dyDescent="0.2">
      <c r="B289" s="49" t="s">
        <v>36</v>
      </c>
      <c r="C289" s="49"/>
      <c r="D289" s="49"/>
      <c r="E289" s="180"/>
      <c r="F289" s="180"/>
      <c r="G289" s="180"/>
      <c r="H289" s="180">
        <f>H175</f>
        <v>11700.770500189668</v>
      </c>
      <c r="I289" s="180">
        <f>I175</f>
        <v>35283.588427101669</v>
      </c>
      <c r="J289" s="180">
        <f>J175</f>
        <v>33036.205956093443</v>
      </c>
      <c r="K289" s="180">
        <f>K175</f>
        <v>72991.978465889435</v>
      </c>
      <c r="L289" s="180">
        <f>L175</f>
        <v>78133.974077698047</v>
      </c>
      <c r="N289" s="39" t="s">
        <v>126</v>
      </c>
    </row>
    <row r="290" spans="2:14" x14ac:dyDescent="0.2">
      <c r="B290" s="49" t="s">
        <v>37</v>
      </c>
      <c r="C290" s="49"/>
      <c r="D290" s="49"/>
      <c r="E290" s="180"/>
      <c r="F290" s="180"/>
      <c r="G290" s="180"/>
      <c r="H290" s="180"/>
      <c r="I290" s="180"/>
      <c r="J290" s="180"/>
      <c r="K290" s="180"/>
      <c r="L290" s="180"/>
      <c r="N290" s="39" t="s">
        <v>152</v>
      </c>
    </row>
    <row r="291" spans="2:14" x14ac:dyDescent="0.2">
      <c r="B291" s="49" t="s">
        <v>38</v>
      </c>
      <c r="C291" s="49"/>
      <c r="D291" s="49"/>
      <c r="E291" s="180"/>
      <c r="F291" s="180"/>
      <c r="G291" s="180"/>
      <c r="H291" s="180">
        <f>H106</f>
        <v>45000</v>
      </c>
      <c r="I291" s="180">
        <f>I106</f>
        <v>82500</v>
      </c>
      <c r="J291" s="180">
        <f>J106</f>
        <v>112500</v>
      </c>
      <c r="K291" s="180">
        <f>K106</f>
        <v>157500</v>
      </c>
      <c r="L291" s="180">
        <f>L106</f>
        <v>213750</v>
      </c>
      <c r="N291" s="39" t="s">
        <v>106</v>
      </c>
    </row>
    <row r="292" spans="2:14" x14ac:dyDescent="0.2">
      <c r="B292" s="44" t="s">
        <v>87</v>
      </c>
      <c r="C292" s="44"/>
      <c r="D292" s="44"/>
      <c r="E292" s="180"/>
      <c r="F292" s="180"/>
      <c r="G292" s="180"/>
      <c r="H292" s="180">
        <f>H236</f>
        <v>52500</v>
      </c>
      <c r="I292" s="180">
        <f t="shared" ref="I292:L292" si="125">I236</f>
        <v>91875</v>
      </c>
      <c r="J292" s="180">
        <f t="shared" si="125"/>
        <v>118125</v>
      </c>
      <c r="K292" s="180">
        <f t="shared" si="125"/>
        <v>183750</v>
      </c>
      <c r="L292" s="180">
        <f t="shared" si="125"/>
        <v>293125</v>
      </c>
      <c r="N292" s="39" t="s">
        <v>152</v>
      </c>
    </row>
    <row r="293" spans="2:14" x14ac:dyDescent="0.2">
      <c r="B293" s="55" t="s">
        <v>39</v>
      </c>
      <c r="C293" s="55"/>
      <c r="D293" s="55"/>
      <c r="E293" s="184">
        <f>SUM(E289:E292)</f>
        <v>0</v>
      </c>
      <c r="F293" s="184">
        <f t="shared" ref="F293:L293" si="126">SUM(F289:F292)</f>
        <v>0</v>
      </c>
      <c r="G293" s="184">
        <f t="shared" si="126"/>
        <v>0</v>
      </c>
      <c r="H293" s="184">
        <f t="shared" si="126"/>
        <v>109200.77050018967</v>
      </c>
      <c r="I293" s="184">
        <f t="shared" si="126"/>
        <v>209658.58842710167</v>
      </c>
      <c r="J293" s="184">
        <f t="shared" si="126"/>
        <v>263661.20595609344</v>
      </c>
      <c r="K293" s="184">
        <f t="shared" si="126"/>
        <v>414241.97846588946</v>
      </c>
      <c r="L293" s="184">
        <f t="shared" si="126"/>
        <v>585008.97407769808</v>
      </c>
    </row>
    <row r="294" spans="2:14" x14ac:dyDescent="0.2">
      <c r="B294" s="58" t="s">
        <v>40</v>
      </c>
      <c r="C294" s="58"/>
      <c r="D294" s="58"/>
      <c r="E294" s="180"/>
      <c r="F294" s="180"/>
      <c r="G294" s="180"/>
      <c r="H294" s="132"/>
      <c r="I294" s="132"/>
      <c r="J294" s="132"/>
      <c r="K294" s="132"/>
      <c r="L294" s="132"/>
    </row>
    <row r="295" spans="2:14" x14ac:dyDescent="0.2">
      <c r="B295" s="49" t="s">
        <v>41</v>
      </c>
      <c r="C295" s="49"/>
      <c r="D295" s="49"/>
      <c r="E295" s="180"/>
      <c r="F295" s="180"/>
      <c r="G295" s="180"/>
      <c r="H295" s="180"/>
      <c r="I295" s="180"/>
      <c r="J295" s="180"/>
      <c r="K295" s="180"/>
      <c r="L295" s="180"/>
      <c r="N295" s="39" t="s">
        <v>144</v>
      </c>
    </row>
    <row r="296" spans="2:14" x14ac:dyDescent="0.2">
      <c r="B296" s="49" t="s">
        <v>42</v>
      </c>
      <c r="C296" s="49"/>
      <c r="D296" s="49"/>
      <c r="E296" s="180"/>
      <c r="F296" s="180"/>
      <c r="G296" s="180"/>
      <c r="H296" s="180">
        <f>H243</f>
        <v>9075.625</v>
      </c>
      <c r="I296" s="180">
        <f t="shared" ref="I296:L296" si="127">I243</f>
        <v>22912.500000000011</v>
      </c>
      <c r="J296" s="180">
        <f t="shared" si="127"/>
        <v>46347.437500000022</v>
      </c>
      <c r="K296" s="180">
        <f t="shared" si="127"/>
        <v>87787.121093750044</v>
      </c>
      <c r="L296" s="180">
        <f t="shared" si="127"/>
        <v>150348.51025390631</v>
      </c>
      <c r="N296" s="39" t="s">
        <v>144</v>
      </c>
    </row>
    <row r="297" spans="2:14" x14ac:dyDescent="0.2">
      <c r="B297" s="51" t="s">
        <v>40</v>
      </c>
      <c r="C297" s="51"/>
      <c r="D297" s="51"/>
      <c r="E297" s="25">
        <f>SUM(E295:E296)</f>
        <v>0</v>
      </c>
      <c r="F297" s="25">
        <f t="shared" ref="F297:L297" si="128">SUM(F295:F296)</f>
        <v>0</v>
      </c>
      <c r="G297" s="25">
        <f t="shared" si="128"/>
        <v>0</v>
      </c>
      <c r="H297" s="25">
        <f t="shared" si="128"/>
        <v>9075.625</v>
      </c>
      <c r="I297" s="25">
        <f t="shared" si="128"/>
        <v>22912.500000000011</v>
      </c>
      <c r="J297" s="25">
        <f t="shared" si="128"/>
        <v>46347.437500000022</v>
      </c>
      <c r="K297" s="25">
        <f t="shared" si="128"/>
        <v>87787.121093750044</v>
      </c>
      <c r="L297" s="25">
        <f t="shared" si="128"/>
        <v>150348.51025390631</v>
      </c>
    </row>
    <row r="298" spans="2:14" ht="10.8" thickBot="1" x14ac:dyDescent="0.25">
      <c r="B298" s="56" t="s">
        <v>43</v>
      </c>
      <c r="C298" s="56"/>
      <c r="D298" s="56"/>
      <c r="E298" s="185">
        <f>E293+E297</f>
        <v>0</v>
      </c>
      <c r="F298" s="185">
        <f t="shared" ref="F298:L298" si="129">F293+F297</f>
        <v>0</v>
      </c>
      <c r="G298" s="185">
        <f t="shared" si="129"/>
        <v>0</v>
      </c>
      <c r="H298" s="185">
        <f t="shared" si="129"/>
        <v>118276.39550018967</v>
      </c>
      <c r="I298" s="185">
        <f t="shared" si="129"/>
        <v>232571.08842710167</v>
      </c>
      <c r="J298" s="185">
        <f t="shared" si="129"/>
        <v>310008.64345609344</v>
      </c>
      <c r="K298" s="185">
        <f t="shared" si="129"/>
        <v>502029.09955963952</v>
      </c>
      <c r="L298" s="185">
        <f t="shared" si="129"/>
        <v>735357.48433160433</v>
      </c>
    </row>
    <row r="299" spans="2:14" ht="10.8" thickTop="1" x14ac:dyDescent="0.2">
      <c r="B299" s="49"/>
      <c r="C299" s="49"/>
      <c r="D299" s="49"/>
      <c r="E299" s="26"/>
      <c r="F299" s="26"/>
      <c r="G299" s="26"/>
      <c r="H299" s="26"/>
      <c r="I299" s="26"/>
      <c r="J299" s="26"/>
      <c r="K299" s="26"/>
      <c r="L299" s="26"/>
    </row>
    <row r="300" spans="2:14" x14ac:dyDescent="0.2">
      <c r="B300" s="59" t="s">
        <v>44</v>
      </c>
      <c r="C300" s="59"/>
      <c r="D300" s="59"/>
      <c r="E300" s="5">
        <f>E298-E286</f>
        <v>0</v>
      </c>
      <c r="F300" s="5">
        <f>F298-F286</f>
        <v>0</v>
      </c>
      <c r="G300" s="5">
        <f>G298-G286</f>
        <v>0</v>
      </c>
      <c r="H300" s="5">
        <f t="shared" ref="H300:L300" si="130">H298-H286</f>
        <v>0</v>
      </c>
      <c r="I300" s="5">
        <f t="shared" si="130"/>
        <v>0</v>
      </c>
      <c r="J300" s="5">
        <f t="shared" si="130"/>
        <v>0</v>
      </c>
      <c r="K300" s="5">
        <f t="shared" si="130"/>
        <v>0</v>
      </c>
      <c r="L300" s="5">
        <f t="shared" si="130"/>
        <v>0</v>
      </c>
    </row>
    <row r="301" spans="2:14" x14ac:dyDescent="0.2">
      <c r="B301" s="59"/>
      <c r="C301" s="59"/>
      <c r="D301" s="59"/>
      <c r="E301" s="5"/>
      <c r="F301" s="5"/>
      <c r="G301" s="5"/>
    </row>
    <row r="302" spans="2:14" x14ac:dyDescent="0.2">
      <c r="B302" s="59"/>
      <c r="C302" s="59"/>
      <c r="D302" s="59"/>
      <c r="E302" s="5"/>
      <c r="F302" s="5"/>
      <c r="G302" s="5"/>
    </row>
    <row r="303" spans="2:14" x14ac:dyDescent="0.2">
      <c r="B303" s="60" t="s">
        <v>45</v>
      </c>
      <c r="C303" s="60"/>
      <c r="D303" s="60"/>
      <c r="E303" s="36">
        <f>E$7</f>
        <v>2020</v>
      </c>
      <c r="F303" s="36">
        <f t="shared" ref="F303:L303" si="131">F$7</f>
        <v>2021</v>
      </c>
      <c r="G303" s="36">
        <f t="shared" si="131"/>
        <v>2022</v>
      </c>
      <c r="H303" s="36">
        <f t="shared" si="131"/>
        <v>2023</v>
      </c>
      <c r="I303" s="36">
        <f t="shared" si="131"/>
        <v>2024</v>
      </c>
      <c r="J303" s="36">
        <f t="shared" si="131"/>
        <v>2025</v>
      </c>
      <c r="K303" s="36">
        <f t="shared" si="131"/>
        <v>2026</v>
      </c>
      <c r="L303" s="36">
        <f t="shared" si="131"/>
        <v>2027</v>
      </c>
    </row>
    <row r="304" spans="2:14" x14ac:dyDescent="0.2">
      <c r="B304" s="58" t="s">
        <v>46</v>
      </c>
      <c r="C304" s="58"/>
      <c r="D304" s="58"/>
      <c r="E304" s="26"/>
      <c r="F304" s="26"/>
      <c r="G304" s="26"/>
    </row>
    <row r="305" spans="2:12" x14ac:dyDescent="0.2">
      <c r="B305" s="49" t="s">
        <v>26</v>
      </c>
      <c r="C305" s="49"/>
      <c r="D305" s="49"/>
      <c r="E305" s="180"/>
      <c r="F305" s="180"/>
      <c r="G305" s="180"/>
      <c r="H305" s="180">
        <f>H274</f>
        <v>9075.625</v>
      </c>
      <c r="I305" s="180">
        <f t="shared" ref="I305:L305" si="132">I274</f>
        <v>13836.875000000011</v>
      </c>
      <c r="J305" s="180">
        <f t="shared" si="132"/>
        <v>23434.937500000011</v>
      </c>
      <c r="K305" s="180">
        <f t="shared" si="132"/>
        <v>41439.683593750022</v>
      </c>
      <c r="L305" s="180">
        <f t="shared" si="132"/>
        <v>62561.389160156272</v>
      </c>
    </row>
    <row r="306" spans="2:12" x14ac:dyDescent="0.2">
      <c r="B306" s="49" t="s">
        <v>47</v>
      </c>
      <c r="C306" s="49"/>
      <c r="D306" s="49"/>
      <c r="E306" s="180"/>
      <c r="F306" s="180"/>
      <c r="G306" s="180"/>
      <c r="H306" s="180">
        <f>H267</f>
        <v>0</v>
      </c>
      <c r="I306" s="180">
        <f t="shared" ref="I306:L306" si="133">I267</f>
        <v>13625</v>
      </c>
      <c r="J306" s="180">
        <f t="shared" si="133"/>
        <v>24343.75</v>
      </c>
      <c r="K306" s="180">
        <f t="shared" si="133"/>
        <v>32882.8125</v>
      </c>
      <c r="L306" s="180">
        <f t="shared" si="133"/>
        <v>49880.859375</v>
      </c>
    </row>
    <row r="307" spans="2:12" x14ac:dyDescent="0.2">
      <c r="B307" s="49" t="s">
        <v>48</v>
      </c>
      <c r="C307" s="49"/>
      <c r="D307" s="49"/>
      <c r="E307" s="180"/>
      <c r="F307" s="180"/>
      <c r="G307" s="180"/>
      <c r="H307" s="180">
        <f>H268</f>
        <v>3150</v>
      </c>
      <c r="I307" s="180">
        <f t="shared" ref="I307:L307" si="134">I268</f>
        <v>5850</v>
      </c>
      <c r="J307" s="180">
        <f t="shared" si="134"/>
        <v>8100</v>
      </c>
      <c r="K307" s="180">
        <f t="shared" si="134"/>
        <v>11475</v>
      </c>
      <c r="L307" s="180">
        <f t="shared" si="134"/>
        <v>15750</v>
      </c>
    </row>
    <row r="308" spans="2:12" x14ac:dyDescent="0.2">
      <c r="B308" s="49" t="s">
        <v>49</v>
      </c>
      <c r="C308" s="49"/>
      <c r="D308" s="49"/>
      <c r="E308" s="180"/>
      <c r="F308" s="180"/>
      <c r="G308" s="180"/>
      <c r="H308" s="180">
        <f>H178</f>
        <v>1613.3155542898439</v>
      </c>
      <c r="I308" s="180">
        <f>I178</f>
        <v>5408.1726726233992</v>
      </c>
      <c r="J308" s="180">
        <f>J178</f>
        <v>2227.1530828777977</v>
      </c>
      <c r="K308" s="180">
        <f>K178</f>
        <v>6194.3090592287481</v>
      </c>
      <c r="L308" s="180">
        <f>L178</f>
        <v>8251.591904844594</v>
      </c>
    </row>
    <row r="309" spans="2:12" x14ac:dyDescent="0.2">
      <c r="B309" s="51" t="s">
        <v>50</v>
      </c>
      <c r="C309" s="51"/>
      <c r="D309" s="51"/>
      <c r="E309" s="25">
        <f>E305+E306+E307-E308</f>
        <v>0</v>
      </c>
      <c r="F309" s="25">
        <f t="shared" ref="F309:L309" si="135">F305+F306+F307-F308</f>
        <v>0</v>
      </c>
      <c r="G309" s="25">
        <f t="shared" si="135"/>
        <v>0</v>
      </c>
      <c r="H309" s="25">
        <f t="shared" si="135"/>
        <v>10612.309445710156</v>
      </c>
      <c r="I309" s="25">
        <f t="shared" si="135"/>
        <v>27903.702327376617</v>
      </c>
      <c r="J309" s="25">
        <f t="shared" si="135"/>
        <v>53651.534417122217</v>
      </c>
      <c r="K309" s="25">
        <f t="shared" si="135"/>
        <v>79603.187034521281</v>
      </c>
      <c r="L309" s="25">
        <f t="shared" si="135"/>
        <v>119940.65663031169</v>
      </c>
    </row>
    <row r="310" spans="2:12" x14ac:dyDescent="0.2">
      <c r="B310" s="52"/>
      <c r="C310" s="52"/>
      <c r="D310" s="52"/>
      <c r="E310" s="182"/>
      <c r="F310" s="182"/>
      <c r="G310" s="182"/>
      <c r="H310" s="132"/>
      <c r="I310" s="132"/>
      <c r="J310" s="132"/>
      <c r="K310" s="132"/>
      <c r="L310" s="132"/>
    </row>
    <row r="311" spans="2:12" x14ac:dyDescent="0.2">
      <c r="B311" s="58" t="s">
        <v>51</v>
      </c>
      <c r="C311" s="58"/>
      <c r="D311" s="58"/>
      <c r="E311" s="181"/>
      <c r="F311" s="181"/>
      <c r="G311" s="181"/>
      <c r="H311" s="132"/>
      <c r="I311" s="132"/>
      <c r="J311" s="132"/>
      <c r="K311" s="132"/>
      <c r="L311" s="132"/>
    </row>
    <row r="312" spans="2:12" x14ac:dyDescent="0.2">
      <c r="B312" s="49" t="s">
        <v>52</v>
      </c>
      <c r="C312" s="49"/>
      <c r="D312" s="49"/>
      <c r="E312" s="180"/>
      <c r="F312" s="180"/>
      <c r="G312" s="180"/>
      <c r="H312" s="180">
        <f>-H213-H219</f>
        <v>-28250</v>
      </c>
      <c r="I312" s="180">
        <f>-I213-I219</f>
        <v>-36812.5</v>
      </c>
      <c r="J312" s="180">
        <f>-J213-J219</f>
        <v>-45375</v>
      </c>
      <c r="K312" s="180">
        <f>-K213-K219</f>
        <v>-68062.5</v>
      </c>
      <c r="L312" s="180">
        <f>-L213-L219</f>
        <v>-98312.5</v>
      </c>
    </row>
    <row r="313" spans="2:12" x14ac:dyDescent="0.2">
      <c r="B313" s="49" t="s">
        <v>78</v>
      </c>
      <c r="C313" s="49"/>
      <c r="D313" s="49"/>
      <c r="E313" s="180"/>
      <c r="F313" s="180"/>
      <c r="G313" s="180"/>
      <c r="H313" s="180">
        <f>-H229</f>
        <v>-26250</v>
      </c>
      <c r="I313" s="180">
        <f>-I229</f>
        <v>-32812.5</v>
      </c>
      <c r="J313" s="180">
        <f>-J229</f>
        <v>-39375</v>
      </c>
      <c r="K313" s="180">
        <f>-K229</f>
        <v>-59062.5</v>
      </c>
      <c r="L313" s="180">
        <f>-L229</f>
        <v>-85312.5</v>
      </c>
    </row>
    <row r="314" spans="2:12" x14ac:dyDescent="0.2">
      <c r="B314" s="49" t="s">
        <v>79</v>
      </c>
      <c r="C314" s="49"/>
      <c r="D314" s="49"/>
      <c r="E314" s="180"/>
      <c r="F314" s="180"/>
      <c r="G314" s="180"/>
      <c r="H314" s="180"/>
      <c r="I314" s="180"/>
      <c r="J314" s="180"/>
      <c r="K314" s="180"/>
      <c r="L314" s="180"/>
    </row>
    <row r="315" spans="2:12" x14ac:dyDescent="0.2">
      <c r="B315" s="49" t="s">
        <v>88</v>
      </c>
      <c r="C315" s="49"/>
      <c r="D315" s="49"/>
      <c r="E315" s="180"/>
      <c r="F315" s="180"/>
      <c r="G315" s="180"/>
      <c r="H315" s="180">
        <f>H242</f>
        <v>0</v>
      </c>
      <c r="I315" s="180">
        <f t="shared" ref="I315:L315" si="136">I242</f>
        <v>0</v>
      </c>
      <c r="J315" s="180">
        <f t="shared" si="136"/>
        <v>0</v>
      </c>
      <c r="K315" s="180">
        <f t="shared" si="136"/>
        <v>0</v>
      </c>
      <c r="L315" s="180">
        <f t="shared" si="136"/>
        <v>0</v>
      </c>
    </row>
    <row r="316" spans="2:12" x14ac:dyDescent="0.2">
      <c r="B316" s="61" t="s">
        <v>54</v>
      </c>
      <c r="C316" s="61"/>
      <c r="D316" s="61"/>
      <c r="E316" s="25">
        <f>SUM(E312:E315)</f>
        <v>0</v>
      </c>
      <c r="F316" s="25">
        <f t="shared" ref="F316:L316" si="137">SUM(F312:F315)</f>
        <v>0</v>
      </c>
      <c r="G316" s="25">
        <f t="shared" si="137"/>
        <v>0</v>
      </c>
      <c r="H316" s="25">
        <f t="shared" si="137"/>
        <v>-54500</v>
      </c>
      <c r="I316" s="25">
        <f t="shared" si="137"/>
        <v>-69625</v>
      </c>
      <c r="J316" s="25">
        <f t="shared" si="137"/>
        <v>-84750</v>
      </c>
      <c r="K316" s="25">
        <f t="shared" si="137"/>
        <v>-127125</v>
      </c>
      <c r="L316" s="25">
        <f t="shared" si="137"/>
        <v>-183625</v>
      </c>
    </row>
    <row r="317" spans="2:12" x14ac:dyDescent="0.2">
      <c r="B317" s="52"/>
      <c r="C317" s="52"/>
      <c r="D317" s="52"/>
      <c r="E317" s="182"/>
      <c r="F317" s="182"/>
      <c r="G317" s="182"/>
      <c r="H317" s="132"/>
      <c r="I317" s="132"/>
      <c r="J317" s="132"/>
      <c r="K317" s="132"/>
      <c r="L317" s="132"/>
    </row>
    <row r="318" spans="2:12" x14ac:dyDescent="0.2">
      <c r="B318" s="58" t="s">
        <v>55</v>
      </c>
      <c r="C318" s="58"/>
      <c r="D318" s="58"/>
      <c r="E318" s="181"/>
      <c r="F318" s="181"/>
      <c r="G318" s="181"/>
      <c r="H318" s="132"/>
      <c r="I318" s="132"/>
      <c r="J318" s="132"/>
      <c r="K318" s="132"/>
      <c r="L318" s="132"/>
    </row>
    <row r="319" spans="2:12" x14ac:dyDescent="0.2">
      <c r="B319" s="49" t="s">
        <v>56</v>
      </c>
      <c r="C319" s="49"/>
      <c r="D319" s="49"/>
      <c r="E319" s="180"/>
      <c r="F319" s="180"/>
      <c r="G319" s="180"/>
      <c r="H319" s="180">
        <f>H104+H105+H108</f>
        <v>41850</v>
      </c>
      <c r="I319" s="180">
        <f>I104+I105+I108</f>
        <v>31650</v>
      </c>
      <c r="J319" s="180">
        <f>J104+J105+J108</f>
        <v>21900</v>
      </c>
      <c r="K319" s="180">
        <f>K104+K105+K108</f>
        <v>33525</v>
      </c>
      <c r="L319" s="180">
        <f>L104+L105+L108</f>
        <v>40500</v>
      </c>
    </row>
    <row r="320" spans="2:12" x14ac:dyDescent="0.2">
      <c r="B320" s="49" t="s">
        <v>57</v>
      </c>
      <c r="C320" s="49"/>
      <c r="D320" s="49"/>
      <c r="E320" s="180"/>
      <c r="F320" s="180"/>
      <c r="G320" s="180"/>
      <c r="H320" s="180"/>
      <c r="I320" s="180"/>
      <c r="J320" s="180"/>
      <c r="K320" s="180"/>
      <c r="L320" s="180"/>
    </row>
    <row r="321" spans="2:12" x14ac:dyDescent="0.2">
      <c r="B321" s="61" t="s">
        <v>58</v>
      </c>
      <c r="C321" s="61"/>
      <c r="D321" s="61"/>
      <c r="E321" s="25">
        <f>SUM(E319:E320)</f>
        <v>0</v>
      </c>
      <c r="F321" s="25">
        <f t="shared" ref="F321:L321" si="138">SUM(F319:F320)</f>
        <v>0</v>
      </c>
      <c r="G321" s="25">
        <f t="shared" si="138"/>
        <v>0</v>
      </c>
      <c r="H321" s="25">
        <f t="shared" si="138"/>
        <v>41850</v>
      </c>
      <c r="I321" s="25">
        <f t="shared" si="138"/>
        <v>31650</v>
      </c>
      <c r="J321" s="25">
        <f t="shared" si="138"/>
        <v>21900</v>
      </c>
      <c r="K321" s="25">
        <f t="shared" si="138"/>
        <v>33525</v>
      </c>
      <c r="L321" s="25">
        <f t="shared" si="138"/>
        <v>40500</v>
      </c>
    </row>
    <row r="322" spans="2:12" x14ac:dyDescent="0.2">
      <c r="B322" s="52"/>
      <c r="C322" s="52"/>
      <c r="D322" s="52"/>
      <c r="E322" s="182"/>
      <c r="F322" s="182"/>
      <c r="G322" s="182"/>
      <c r="H322" s="182"/>
      <c r="I322" s="182"/>
      <c r="J322" s="182"/>
      <c r="K322" s="182"/>
      <c r="L322" s="182"/>
    </row>
    <row r="323" spans="2:12" x14ac:dyDescent="0.2">
      <c r="B323" s="51" t="s">
        <v>59</v>
      </c>
      <c r="C323" s="51"/>
      <c r="D323" s="51"/>
      <c r="E323" s="25">
        <f>E309+E316+E321</f>
        <v>0</v>
      </c>
      <c r="F323" s="25">
        <f t="shared" ref="F323:L323" si="139">F309+F316+F321</f>
        <v>0</v>
      </c>
      <c r="G323" s="25">
        <f t="shared" si="139"/>
        <v>0</v>
      </c>
      <c r="H323" s="25">
        <f t="shared" si="139"/>
        <v>-2037.6905542898457</v>
      </c>
      <c r="I323" s="25">
        <f t="shared" si="139"/>
        <v>-10071.297672623383</v>
      </c>
      <c r="J323" s="25">
        <f t="shared" si="139"/>
        <v>-9198.4655828777832</v>
      </c>
      <c r="K323" s="25">
        <f t="shared" si="139"/>
        <v>-13996.812965478719</v>
      </c>
      <c r="L323" s="25">
        <f t="shared" si="139"/>
        <v>-23184.343369688315</v>
      </c>
    </row>
    <row r="324" spans="2:12" x14ac:dyDescent="0.2">
      <c r="B324" s="49" t="s">
        <v>60</v>
      </c>
      <c r="C324" s="49"/>
      <c r="D324" s="49"/>
      <c r="E324" s="180">
        <f>D325</f>
        <v>0</v>
      </c>
      <c r="F324" s="180">
        <f t="shared" ref="F324:L324" si="140">E325</f>
        <v>0</v>
      </c>
      <c r="G324" s="180">
        <f t="shared" si="140"/>
        <v>0</v>
      </c>
      <c r="H324" s="180">
        <f t="shared" si="140"/>
        <v>0</v>
      </c>
      <c r="I324" s="180">
        <f t="shared" si="140"/>
        <v>-2037.6905542898457</v>
      </c>
      <c r="J324" s="180">
        <f t="shared" si="140"/>
        <v>-12108.988226913229</v>
      </c>
      <c r="K324" s="180">
        <f t="shared" si="140"/>
        <v>-21307.453809791012</v>
      </c>
      <c r="L324" s="180">
        <f t="shared" si="140"/>
        <v>-35304.266775269731</v>
      </c>
    </row>
    <row r="325" spans="2:12" ht="10.8" thickBot="1" x14ac:dyDescent="0.25">
      <c r="B325" s="53" t="s">
        <v>61</v>
      </c>
      <c r="C325" s="53"/>
      <c r="D325" s="53"/>
      <c r="E325" s="183">
        <f>SUM(E323:E324)</f>
        <v>0</v>
      </c>
      <c r="F325" s="183">
        <f t="shared" ref="F325:L325" si="141">SUM(F323:F324)</f>
        <v>0</v>
      </c>
      <c r="G325" s="183">
        <f t="shared" si="141"/>
        <v>0</v>
      </c>
      <c r="H325" s="183">
        <f t="shared" si="141"/>
        <v>-2037.6905542898457</v>
      </c>
      <c r="I325" s="183">
        <f t="shared" si="141"/>
        <v>-12108.988226913229</v>
      </c>
      <c r="J325" s="183">
        <f t="shared" si="141"/>
        <v>-21307.453809791012</v>
      </c>
      <c r="K325" s="183">
        <f t="shared" si="141"/>
        <v>-35304.266775269731</v>
      </c>
      <c r="L325" s="183">
        <f t="shared" si="141"/>
        <v>-58488.610144958046</v>
      </c>
    </row>
    <row r="326" spans="2:12" x14ac:dyDescent="0.2">
      <c r="B326" s="58"/>
      <c r="C326" s="58"/>
      <c r="D326" s="58"/>
      <c r="E326" s="15"/>
      <c r="F326" s="26"/>
      <c r="G326" s="26"/>
      <c r="H326" s="26"/>
      <c r="I326" s="26"/>
      <c r="J326" s="26"/>
      <c r="K326" s="26"/>
      <c r="L326" s="26"/>
    </row>
    <row r="327" spans="2:12" x14ac:dyDescent="0.2">
      <c r="B327" s="131" t="s">
        <v>62</v>
      </c>
      <c r="C327" s="131"/>
      <c r="D327" s="131"/>
      <c r="E327" s="28">
        <f>E325-E279</f>
        <v>0</v>
      </c>
      <c r="F327" s="28">
        <f>F325-F279</f>
        <v>0</v>
      </c>
      <c r="G327" s="28">
        <f>G325-G279</f>
        <v>0</v>
      </c>
      <c r="H327" s="28">
        <f t="shared" ref="H327:L327" si="142">H325-H279</f>
        <v>0</v>
      </c>
      <c r="I327" s="28">
        <f t="shared" si="142"/>
        <v>0</v>
      </c>
      <c r="J327" s="28">
        <f t="shared" si="142"/>
        <v>0</v>
      </c>
      <c r="K327" s="28">
        <f t="shared" si="142"/>
        <v>0</v>
      </c>
      <c r="L327" s="28">
        <f t="shared" si="142"/>
        <v>0</v>
      </c>
    </row>
    <row r="328" spans="2:12" x14ac:dyDescent="0.2">
      <c r="B328" s="131" t="s">
        <v>63</v>
      </c>
      <c r="C328" s="131"/>
      <c r="D328" s="131"/>
      <c r="E328" s="28">
        <f>E305-E274</f>
        <v>0</v>
      </c>
      <c r="F328" s="28">
        <f>F305-F274</f>
        <v>0</v>
      </c>
      <c r="G328" s="28">
        <f>G305-G274</f>
        <v>0</v>
      </c>
      <c r="H328" s="28">
        <f t="shared" ref="H328:L328" si="143">H305-H274</f>
        <v>0</v>
      </c>
      <c r="I328" s="28">
        <f t="shared" si="143"/>
        <v>0</v>
      </c>
      <c r="J328" s="28">
        <f t="shared" si="143"/>
        <v>0</v>
      </c>
      <c r="K328" s="28">
        <f t="shared" si="143"/>
        <v>0</v>
      </c>
      <c r="L328" s="28">
        <f t="shared" si="143"/>
        <v>0</v>
      </c>
    </row>
    <row r="329" spans="2:12" x14ac:dyDescent="0.2">
      <c r="B329" s="131" t="s">
        <v>64</v>
      </c>
      <c r="C329" s="131"/>
      <c r="D329" s="131"/>
      <c r="E329" s="28">
        <f t="shared" ref="E329:L330" si="144">E306-E267</f>
        <v>0</v>
      </c>
      <c r="F329" s="28">
        <f t="shared" si="144"/>
        <v>0</v>
      </c>
      <c r="G329" s="28">
        <f t="shared" si="144"/>
        <v>0</v>
      </c>
      <c r="H329" s="28">
        <f t="shared" si="144"/>
        <v>0</v>
      </c>
      <c r="I329" s="28">
        <f t="shared" si="144"/>
        <v>0</v>
      </c>
      <c r="J329" s="28">
        <f t="shared" si="144"/>
        <v>0</v>
      </c>
      <c r="K329" s="28">
        <f t="shared" si="144"/>
        <v>0</v>
      </c>
      <c r="L329" s="28">
        <f t="shared" si="144"/>
        <v>0</v>
      </c>
    </row>
    <row r="330" spans="2:12" x14ac:dyDescent="0.2">
      <c r="B330" s="131" t="s">
        <v>65</v>
      </c>
      <c r="C330" s="131"/>
      <c r="D330" s="131"/>
      <c r="E330" s="28">
        <f t="shared" si="144"/>
        <v>0</v>
      </c>
      <c r="F330" s="28">
        <f t="shared" si="144"/>
        <v>0</v>
      </c>
      <c r="G330" s="28">
        <f t="shared" si="144"/>
        <v>0</v>
      </c>
      <c r="H330" s="28">
        <f t="shared" si="144"/>
        <v>0</v>
      </c>
      <c r="I330" s="28">
        <f t="shared" si="144"/>
        <v>0</v>
      </c>
      <c r="J330" s="28">
        <f t="shared" si="144"/>
        <v>0</v>
      </c>
      <c r="K330" s="28">
        <f t="shared" si="144"/>
        <v>0</v>
      </c>
      <c r="L330" s="28">
        <f t="shared" si="144"/>
        <v>0</v>
      </c>
    </row>
  </sheetData>
  <phoneticPr fontId="30" type="noConversion"/>
  <hyperlinks>
    <hyperlink ref="B1" location="'TOC'!A1" display="Table of Contents" xr:uid="{DCB37175-FBBA-4060-9E4B-94D2AD4997ED}"/>
  </hyperlinks>
  <pageMargins left="0.7" right="0.7" top="0.75" bottom="0.75" header="0.3" footer="0.3"/>
  <pageSetup orientation="portrait" r:id="rId1"/>
  <ignoredErrors>
    <ignoredError sqref="H255:L255" 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69E4-8F5B-4A95-A120-A90F9F2E23C9}">
  <sheetPr>
    <tabColor rgb="FF92D050"/>
  </sheetPr>
  <dimension ref="B1:N195"/>
  <sheetViews>
    <sheetView showGridLines="0" zoomScaleNormal="100" workbookViewId="0">
      <pane ySplit="7" topLeftCell="A8" activePane="bottomLeft" state="frozen"/>
      <selection pane="bottomLef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6384" width="9.109375" style="39"/>
  </cols>
  <sheetData>
    <row r="1" spans="2:14" x14ac:dyDescent="0.2">
      <c r="B1" s="256" t="s">
        <v>343</v>
      </c>
    </row>
    <row r="2" spans="2:14" ht="15.6" x14ac:dyDescent="0.3">
      <c r="B2" s="37" t="s">
        <v>93</v>
      </c>
      <c r="C2" s="37"/>
      <c r="D2" s="37"/>
    </row>
    <row r="3" spans="2:14" x14ac:dyDescent="0.2">
      <c r="B3" s="38" t="s">
        <v>94</v>
      </c>
      <c r="C3" s="38"/>
      <c r="D3" s="38"/>
    </row>
    <row r="5" spans="2:14" x14ac:dyDescent="0.2">
      <c r="B5" s="40" t="s">
        <v>80</v>
      </c>
      <c r="C5" s="40"/>
      <c r="D5" s="40"/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48" t="s">
        <v>98</v>
      </c>
      <c r="C9" s="48"/>
      <c r="D9" s="48"/>
      <c r="E9" s="36">
        <f>E$7</f>
        <v>2020</v>
      </c>
      <c r="F9" s="36">
        <f t="shared" ref="F9:L9" si="1">F$7</f>
        <v>2021</v>
      </c>
      <c r="G9" s="36">
        <f t="shared" si="1"/>
        <v>2022</v>
      </c>
      <c r="H9" s="36">
        <f t="shared" si="1"/>
        <v>2023</v>
      </c>
      <c r="I9" s="36">
        <f t="shared" si="1"/>
        <v>2024</v>
      </c>
      <c r="J9" s="36">
        <f t="shared" si="1"/>
        <v>2025</v>
      </c>
      <c r="K9" s="36">
        <f t="shared" si="1"/>
        <v>2026</v>
      </c>
      <c r="L9" s="36">
        <f t="shared" si="1"/>
        <v>2027</v>
      </c>
    </row>
    <row r="11" spans="2:14" x14ac:dyDescent="0.2">
      <c r="B11" s="76" t="s">
        <v>99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</row>
    <row r="13" spans="2:14" x14ac:dyDescent="0.2">
      <c r="B13" s="39" t="s">
        <v>100</v>
      </c>
      <c r="C13" s="39" t="s">
        <v>101</v>
      </c>
      <c r="E13" s="80"/>
      <c r="F13" s="81">
        <f>F128/E128-1</f>
        <v>5.4999999999999716E-2</v>
      </c>
      <c r="G13" s="81">
        <f>G128/F128-1</f>
        <v>9.7000000000000197E-2</v>
      </c>
      <c r="H13" s="78">
        <v>0.05</v>
      </c>
      <c r="I13" s="78">
        <v>0.05</v>
      </c>
      <c r="J13" s="78">
        <v>0.05</v>
      </c>
      <c r="K13" s="78">
        <v>0.05</v>
      </c>
      <c r="L13" s="78">
        <v>0.05</v>
      </c>
    </row>
    <row r="14" spans="2:14" x14ac:dyDescent="0.2">
      <c r="E14" s="80"/>
      <c r="F14" s="80"/>
      <c r="G14" s="80"/>
    </row>
    <row r="15" spans="2:14" x14ac:dyDescent="0.2">
      <c r="B15" s="75" t="s">
        <v>100</v>
      </c>
      <c r="E15" s="80"/>
      <c r="F15" s="80"/>
      <c r="G15" s="80"/>
    </row>
    <row r="16" spans="2:14" x14ac:dyDescent="0.2">
      <c r="B16" s="49" t="s">
        <v>8</v>
      </c>
      <c r="C16" s="39" t="s">
        <v>102</v>
      </c>
      <c r="E16" s="81">
        <f>E118/E$128</f>
        <v>0.72600000000000009</v>
      </c>
      <c r="F16" s="81">
        <f t="shared" ref="F16:G16" si="2">F118/F$128</f>
        <v>0.72000000000000031</v>
      </c>
      <c r="G16" s="81">
        <f t="shared" si="2"/>
        <v>0.71800000000000008</v>
      </c>
      <c r="H16" s="77">
        <f>AVERAGE(E16:G16)</f>
        <v>0.72133333333333349</v>
      </c>
      <c r="I16" s="77">
        <f t="shared" ref="I16:L16" si="3">AVERAGE(F16:H16)</f>
        <v>0.71977777777777796</v>
      </c>
      <c r="J16" s="77">
        <f t="shared" si="3"/>
        <v>0.71970370370370385</v>
      </c>
      <c r="K16" s="77">
        <f t="shared" si="3"/>
        <v>0.7202716049382718</v>
      </c>
      <c r="L16" s="77">
        <f t="shared" si="3"/>
        <v>0.71991769547325113</v>
      </c>
      <c r="N16" s="70" t="s">
        <v>103</v>
      </c>
    </row>
    <row r="17" spans="2:14" x14ac:dyDescent="0.2">
      <c r="B17" s="49" t="s">
        <v>9</v>
      </c>
      <c r="C17" s="39" t="s">
        <v>102</v>
      </c>
      <c r="E17" s="81">
        <f t="shared" ref="E17:G17" si="4">E119/E$128</f>
        <v>3.9000000000000007E-2</v>
      </c>
      <c r="F17" s="81">
        <f t="shared" si="4"/>
        <v>4.1200000000000021E-2</v>
      </c>
      <c r="G17" s="81">
        <f t="shared" si="4"/>
        <v>4.3000000000000003E-2</v>
      </c>
      <c r="H17" s="77">
        <f t="shared" ref="H17:H25" si="5">AVERAGE(E17:G17)</f>
        <v>4.1066666666666675E-2</v>
      </c>
      <c r="I17" s="77">
        <f t="shared" ref="I17:I25" si="6">AVERAGE(F17:H17)</f>
        <v>4.1755555555555567E-2</v>
      </c>
      <c r="J17" s="77">
        <f t="shared" ref="J17:J25" si="7">AVERAGE(G17:I17)</f>
        <v>4.1940740740740751E-2</v>
      </c>
      <c r="K17" s="77">
        <f t="shared" ref="K17:K25" si="8">AVERAGE(H17:J17)</f>
        <v>4.1587654320987662E-2</v>
      </c>
      <c r="L17" s="77">
        <f t="shared" ref="L17:L25" si="9">AVERAGE(I17:K17)</f>
        <v>4.1761316872427991E-2</v>
      </c>
      <c r="N17" s="70" t="s">
        <v>103</v>
      </c>
    </row>
    <row r="18" spans="2:14" x14ac:dyDescent="0.2">
      <c r="B18" s="49" t="s">
        <v>10</v>
      </c>
      <c r="C18" s="39" t="s">
        <v>102</v>
      </c>
      <c r="E18" s="81">
        <f t="shared" ref="E18:G18" si="10">E120/E$128</f>
        <v>0.15600000000000003</v>
      </c>
      <c r="F18" s="81">
        <f t="shared" si="10"/>
        <v>0.16200000000000006</v>
      </c>
      <c r="G18" s="81">
        <f t="shared" si="10"/>
        <v>0.15900000000000003</v>
      </c>
      <c r="H18" s="77">
        <f t="shared" si="5"/>
        <v>0.15900000000000003</v>
      </c>
      <c r="I18" s="77">
        <f t="shared" si="6"/>
        <v>0.16000000000000003</v>
      </c>
      <c r="J18" s="77">
        <f t="shared" si="7"/>
        <v>0.15933333333333335</v>
      </c>
      <c r="K18" s="77">
        <f t="shared" si="8"/>
        <v>0.15944444444444447</v>
      </c>
      <c r="L18" s="77">
        <f t="shared" si="9"/>
        <v>0.15959259259259262</v>
      </c>
      <c r="N18" s="70" t="s">
        <v>103</v>
      </c>
    </row>
    <row r="19" spans="2:14" x14ac:dyDescent="0.2">
      <c r="B19" s="49" t="s">
        <v>11</v>
      </c>
      <c r="C19" s="39" t="s">
        <v>102</v>
      </c>
      <c r="E19" s="81">
        <f t="shared" ref="E19:G19" si="11">E121/E$128</f>
        <v>1.3000000000000003E-2</v>
      </c>
      <c r="F19" s="81">
        <f t="shared" si="11"/>
        <v>1.5000000000000006E-2</v>
      </c>
      <c r="G19" s="81">
        <f t="shared" si="11"/>
        <v>1.1000000000000001E-2</v>
      </c>
      <c r="H19" s="77">
        <f t="shared" si="5"/>
        <v>1.3000000000000005E-2</v>
      </c>
      <c r="I19" s="77">
        <f t="shared" si="6"/>
        <v>1.3000000000000005E-2</v>
      </c>
      <c r="J19" s="77">
        <f t="shared" si="7"/>
        <v>1.2333333333333337E-2</v>
      </c>
      <c r="K19" s="77">
        <f t="shared" si="8"/>
        <v>1.2777777777777782E-2</v>
      </c>
      <c r="L19" s="77">
        <f t="shared" si="9"/>
        <v>1.2703703703703708E-2</v>
      </c>
      <c r="N19" s="70" t="s">
        <v>103</v>
      </c>
    </row>
    <row r="20" spans="2:14" x14ac:dyDescent="0.2">
      <c r="B20" s="49" t="s">
        <v>12</v>
      </c>
      <c r="C20" s="39" t="s">
        <v>102</v>
      </c>
      <c r="E20" s="81">
        <f t="shared" ref="E20:G20" si="12">E122/E$128</f>
        <v>2.7000000000000007E-2</v>
      </c>
      <c r="F20" s="81">
        <f t="shared" si="12"/>
        <v>2.9000000000000012E-2</v>
      </c>
      <c r="G20" s="81">
        <f t="shared" si="12"/>
        <v>2.4000000000000004E-2</v>
      </c>
      <c r="H20" s="77">
        <f t="shared" si="5"/>
        <v>2.6666666666666675E-2</v>
      </c>
      <c r="I20" s="77">
        <f t="shared" si="6"/>
        <v>2.6555555555555565E-2</v>
      </c>
      <c r="J20" s="77">
        <f t="shared" si="7"/>
        <v>2.5740740740740748E-2</v>
      </c>
      <c r="K20" s="77">
        <f t="shared" si="8"/>
        <v>2.6320987654320994E-2</v>
      </c>
      <c r="L20" s="77">
        <f t="shared" si="9"/>
        <v>2.6205761316872436E-2</v>
      </c>
      <c r="N20" s="70" t="s">
        <v>103</v>
      </c>
    </row>
    <row r="21" spans="2:14" x14ac:dyDescent="0.2">
      <c r="B21" s="49" t="s">
        <v>13</v>
      </c>
      <c r="C21" s="39" t="s">
        <v>102</v>
      </c>
      <c r="E21" s="81">
        <f t="shared" ref="E21:G21" si="13">E123/E$128</f>
        <v>5.000000000000001E-3</v>
      </c>
      <c r="F21" s="81">
        <f t="shared" si="13"/>
        <v>6.0000000000000019E-3</v>
      </c>
      <c r="G21" s="81">
        <f t="shared" si="13"/>
        <v>4.000000000000001E-3</v>
      </c>
      <c r="H21" s="77">
        <f t="shared" si="5"/>
        <v>5.000000000000001E-3</v>
      </c>
      <c r="I21" s="77">
        <f t="shared" si="6"/>
        <v>5.000000000000001E-3</v>
      </c>
      <c r="J21" s="77">
        <f t="shared" si="7"/>
        <v>4.6666666666666671E-3</v>
      </c>
      <c r="K21" s="77">
        <f t="shared" si="8"/>
        <v>4.8888888888888897E-3</v>
      </c>
      <c r="L21" s="77">
        <f t="shared" si="9"/>
        <v>4.8518518518518529E-3</v>
      </c>
      <c r="N21" s="70" t="s">
        <v>103</v>
      </c>
    </row>
    <row r="22" spans="2:14" x14ac:dyDescent="0.2">
      <c r="B22" s="49" t="s">
        <v>14</v>
      </c>
      <c r="C22" s="39" t="s">
        <v>102</v>
      </c>
      <c r="E22" s="81">
        <f t="shared" ref="E22:G22" si="14">E124/E$128</f>
        <v>7.0000000000000019E-3</v>
      </c>
      <c r="F22" s="81">
        <f t="shared" si="14"/>
        <v>6.0000000000000019E-3</v>
      </c>
      <c r="G22" s="81">
        <f t="shared" si="14"/>
        <v>8.0000000000000019E-3</v>
      </c>
      <c r="H22" s="77">
        <f t="shared" si="5"/>
        <v>7.0000000000000019E-3</v>
      </c>
      <c r="I22" s="77">
        <f t="shared" si="6"/>
        <v>7.0000000000000019E-3</v>
      </c>
      <c r="J22" s="77">
        <f t="shared" si="7"/>
        <v>7.3333333333333349E-3</v>
      </c>
      <c r="K22" s="77">
        <f t="shared" si="8"/>
        <v>7.1111111111111132E-3</v>
      </c>
      <c r="L22" s="77">
        <f t="shared" si="9"/>
        <v>7.14814814814815E-3</v>
      </c>
      <c r="N22" s="70" t="s">
        <v>103</v>
      </c>
    </row>
    <row r="23" spans="2:14" x14ac:dyDescent="0.2">
      <c r="B23" s="49" t="s">
        <v>15</v>
      </c>
      <c r="C23" s="39" t="s">
        <v>102</v>
      </c>
      <c r="E23" s="81">
        <f t="shared" ref="E23:G23" si="15">E125/E$128</f>
        <v>1.2000000000000002E-2</v>
      </c>
      <c r="F23" s="81">
        <f t="shared" si="15"/>
        <v>1.1000000000000003E-2</v>
      </c>
      <c r="G23" s="81">
        <f t="shared" si="15"/>
        <v>1.4000000000000002E-2</v>
      </c>
      <c r="H23" s="77">
        <f t="shared" si="5"/>
        <v>1.2333333333333335E-2</v>
      </c>
      <c r="I23" s="77">
        <f t="shared" si="6"/>
        <v>1.2444444444444447E-2</v>
      </c>
      <c r="J23" s="77">
        <f t="shared" si="7"/>
        <v>1.2925925925925929E-2</v>
      </c>
      <c r="K23" s="77">
        <f t="shared" si="8"/>
        <v>1.2567901234567904E-2</v>
      </c>
      <c r="L23" s="77">
        <f t="shared" si="9"/>
        <v>1.2646090534979428E-2</v>
      </c>
      <c r="N23" s="70" t="s">
        <v>103</v>
      </c>
    </row>
    <row r="24" spans="2:14" x14ac:dyDescent="0.2">
      <c r="B24" s="49" t="s">
        <v>16</v>
      </c>
      <c r="C24" s="39" t="s">
        <v>102</v>
      </c>
      <c r="E24" s="81">
        <f t="shared" ref="E24:G24" si="16">E126/E$128</f>
        <v>4.0000000000000001E-3</v>
      </c>
      <c r="F24" s="81">
        <f t="shared" si="16"/>
        <v>5.0000000000000018E-3</v>
      </c>
      <c r="G24" s="81">
        <f t="shared" si="16"/>
        <v>3.0000000000000005E-3</v>
      </c>
      <c r="H24" s="77">
        <f t="shared" si="5"/>
        <v>4.000000000000001E-3</v>
      </c>
      <c r="I24" s="77">
        <f t="shared" si="6"/>
        <v>4.000000000000001E-3</v>
      </c>
      <c r="J24" s="77">
        <f t="shared" si="7"/>
        <v>3.6666666666666675E-3</v>
      </c>
      <c r="K24" s="77">
        <f t="shared" si="8"/>
        <v>3.8888888888888896E-3</v>
      </c>
      <c r="L24" s="77">
        <f t="shared" si="9"/>
        <v>3.8518518518518528E-3</v>
      </c>
      <c r="N24" s="70" t="s">
        <v>103</v>
      </c>
    </row>
    <row r="25" spans="2:14" x14ac:dyDescent="0.2">
      <c r="B25" s="49" t="s">
        <v>17</v>
      </c>
      <c r="C25" s="39" t="s">
        <v>102</v>
      </c>
      <c r="E25" s="81">
        <f t="shared" ref="E25:G25" si="17">E127/E$128</f>
        <v>1.09999999999999E-2</v>
      </c>
      <c r="F25" s="81">
        <f t="shared" si="17"/>
        <v>4.7999999999999172E-3</v>
      </c>
      <c r="G25" s="81">
        <f t="shared" si="17"/>
        <v>1.5999999999999907E-2</v>
      </c>
      <c r="H25" s="77">
        <f t="shared" si="5"/>
        <v>1.0599999999999908E-2</v>
      </c>
      <c r="I25" s="77">
        <f t="shared" si="6"/>
        <v>1.0466666666666577E-2</v>
      </c>
      <c r="J25" s="77">
        <f t="shared" si="7"/>
        <v>1.2355555555555465E-2</v>
      </c>
      <c r="K25" s="77">
        <f t="shared" si="8"/>
        <v>1.1140740740740651E-2</v>
      </c>
      <c r="L25" s="77">
        <f t="shared" si="9"/>
        <v>1.1320987654320899E-2</v>
      </c>
      <c r="N25" s="70" t="s">
        <v>103</v>
      </c>
    </row>
    <row r="26" spans="2:14" x14ac:dyDescent="0.2">
      <c r="E26" s="80"/>
      <c r="F26" s="80"/>
      <c r="G26" s="80"/>
    </row>
    <row r="27" spans="2:14" x14ac:dyDescent="0.2">
      <c r="B27" s="75" t="s">
        <v>104</v>
      </c>
      <c r="E27" s="80"/>
      <c r="F27" s="80"/>
      <c r="G27" s="80"/>
    </row>
    <row r="28" spans="2:14" x14ac:dyDescent="0.2">
      <c r="B28" s="49" t="s">
        <v>21</v>
      </c>
      <c r="C28" s="39" t="s">
        <v>102</v>
      </c>
      <c r="E28" s="81">
        <f>E132/E$128</f>
        <v>1.2176724137931036E-2</v>
      </c>
      <c r="F28" s="81">
        <f t="shared" ref="F28:G30" si="18">F132/F$128</f>
        <v>1.3176172577218506E-2</v>
      </c>
      <c r="G28" s="81">
        <f t="shared" si="18"/>
        <v>1.2616306517515049E-2</v>
      </c>
      <c r="H28" s="77">
        <f t="shared" ref="H28" si="19">AVERAGE(E28:G28)</f>
        <v>1.2656401077554863E-2</v>
      </c>
      <c r="I28" s="77">
        <f t="shared" ref="I28" si="20">AVERAGE(F28:H28)</f>
        <v>1.2816293390762805E-2</v>
      </c>
      <c r="J28" s="77">
        <f t="shared" ref="J28" si="21">AVERAGE(G28:I28)</f>
        <v>1.269633366194424E-2</v>
      </c>
      <c r="K28" s="77">
        <f t="shared" ref="K28" si="22">AVERAGE(H28:J28)</f>
        <v>1.2723009376753969E-2</v>
      </c>
      <c r="L28" s="77">
        <f t="shared" ref="L28" si="23">AVERAGE(I28:K28)</f>
        <v>1.274521214315367E-2</v>
      </c>
      <c r="N28" s="70" t="s">
        <v>103</v>
      </c>
    </row>
    <row r="29" spans="2:14" x14ac:dyDescent="0.2">
      <c r="B29" s="50" t="s">
        <v>22</v>
      </c>
      <c r="E29" s="80"/>
      <c r="F29" s="80"/>
      <c r="G29" s="80"/>
      <c r="N29" s="70" t="s">
        <v>106</v>
      </c>
    </row>
    <row r="30" spans="2:14" x14ac:dyDescent="0.2">
      <c r="B30" s="50" t="s">
        <v>105</v>
      </c>
      <c r="C30" s="39" t="s">
        <v>102</v>
      </c>
      <c r="E30" s="81">
        <f>E134/E$128</f>
        <v>-2.6939655172413799</v>
      </c>
      <c r="F30" s="81">
        <f t="shared" si="18"/>
        <v>0</v>
      </c>
      <c r="G30" s="81">
        <f t="shared" si="18"/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</row>
    <row r="31" spans="2:14" x14ac:dyDescent="0.2">
      <c r="E31" s="80"/>
      <c r="F31" s="80"/>
      <c r="G31" s="80"/>
    </row>
    <row r="32" spans="2:14" x14ac:dyDescent="0.2">
      <c r="B32" s="50" t="s">
        <v>25</v>
      </c>
      <c r="C32" s="39" t="s">
        <v>107</v>
      </c>
      <c r="E32" s="81">
        <f>E138/E136</f>
        <v>0.34999999999999992</v>
      </c>
      <c r="F32" s="81">
        <f t="shared" ref="F32:G32" si="24">F138/F136</f>
        <v>0</v>
      </c>
      <c r="G32" s="81">
        <f t="shared" si="24"/>
        <v>0</v>
      </c>
      <c r="H32" s="78">
        <v>0.35</v>
      </c>
      <c r="I32" s="78">
        <v>0.35</v>
      </c>
      <c r="J32" s="78">
        <v>0.35</v>
      </c>
      <c r="K32" s="78">
        <v>0.35</v>
      </c>
      <c r="L32" s="78">
        <v>0.35</v>
      </c>
    </row>
    <row r="33" spans="2:14" x14ac:dyDescent="0.2">
      <c r="B33" s="50"/>
      <c r="E33" s="85"/>
      <c r="F33" s="85"/>
      <c r="G33" s="85"/>
      <c r="H33" s="78"/>
      <c r="I33" s="78"/>
      <c r="J33" s="78"/>
      <c r="K33" s="78"/>
      <c r="L33" s="78"/>
    </row>
    <row r="34" spans="2:14" x14ac:dyDescent="0.2">
      <c r="B34" s="76" t="s">
        <v>106</v>
      </c>
      <c r="C34" s="76"/>
      <c r="D34" s="76"/>
      <c r="E34" s="76"/>
      <c r="F34" s="76"/>
      <c r="G34" s="76"/>
      <c r="H34" s="76"/>
      <c r="I34" s="76"/>
      <c r="J34" s="76"/>
      <c r="K34" s="76"/>
      <c r="L34" s="76"/>
    </row>
    <row r="35" spans="2:14" x14ac:dyDescent="0.2">
      <c r="B35" s="50"/>
      <c r="E35" s="90"/>
      <c r="F35" s="90"/>
      <c r="G35" s="90"/>
      <c r="H35" s="91"/>
      <c r="I35" s="91"/>
      <c r="J35" s="91"/>
      <c r="K35" s="91"/>
      <c r="L35" s="91"/>
    </row>
    <row r="36" spans="2:14" x14ac:dyDescent="0.2">
      <c r="B36" s="87" t="s">
        <v>108</v>
      </c>
      <c r="C36" s="88"/>
      <c r="D36" s="88"/>
      <c r="E36" s="92"/>
      <c r="F36" s="92"/>
      <c r="G36" s="92"/>
      <c r="H36" s="110">
        <f>H47</f>
        <v>113770.01523143789</v>
      </c>
      <c r="I36" s="93">
        <f>H39</f>
        <v>100216.0224122666</v>
      </c>
      <c r="J36" s="93">
        <f t="shared" ref="J36:L36" si="25">I39</f>
        <v>85848.79002394501</v>
      </c>
      <c r="K36" s="93">
        <f t="shared" si="25"/>
        <v>70619.523692324132</v>
      </c>
      <c r="L36" s="93">
        <f t="shared" si="25"/>
        <v>54476.501380806003</v>
      </c>
    </row>
    <row r="37" spans="2:14" x14ac:dyDescent="0.2">
      <c r="B37" s="86" t="s">
        <v>109</v>
      </c>
      <c r="E37" s="90"/>
      <c r="F37" s="90"/>
      <c r="G37" s="90"/>
      <c r="H37" s="102">
        <v>0</v>
      </c>
      <c r="I37" s="102">
        <v>0</v>
      </c>
      <c r="J37" s="102">
        <v>0</v>
      </c>
      <c r="K37" s="102">
        <v>0</v>
      </c>
      <c r="L37" s="102">
        <v>0</v>
      </c>
      <c r="N37" s="70" t="s">
        <v>123</v>
      </c>
    </row>
    <row r="38" spans="2:14" x14ac:dyDescent="0.2">
      <c r="B38" s="86" t="s">
        <v>110</v>
      </c>
      <c r="E38" s="90"/>
      <c r="F38" s="90"/>
      <c r="G38" s="90"/>
      <c r="H38" s="91">
        <f>SUMIFS($K$43:$K$53,$F$43:$F$53,H7)</f>
        <v>-13553.992819171302</v>
      </c>
      <c r="I38" s="91">
        <f t="shared" ref="I38:L38" si="26">SUMIFS($K$43:$K$53,$F$43:$F$53,I7)</f>
        <v>-14367.232388321579</v>
      </c>
      <c r="J38" s="91">
        <f t="shared" si="26"/>
        <v>-15229.266331620875</v>
      </c>
      <c r="K38" s="91">
        <f t="shared" si="26"/>
        <v>-16143.022311518127</v>
      </c>
      <c r="L38" s="91">
        <f t="shared" si="26"/>
        <v>-17111.603650209214</v>
      </c>
    </row>
    <row r="39" spans="2:14" x14ac:dyDescent="0.2">
      <c r="B39" s="51" t="s">
        <v>111</v>
      </c>
      <c r="C39" s="89"/>
      <c r="D39" s="89"/>
      <c r="E39" s="94"/>
      <c r="F39" s="94"/>
      <c r="G39" s="94"/>
      <c r="H39" s="95">
        <f>SUM(H36:H38)</f>
        <v>100216.0224122666</v>
      </c>
      <c r="I39" s="95">
        <f t="shared" ref="I39:L39" si="27">SUM(I36:I38)</f>
        <v>85848.79002394501</v>
      </c>
      <c r="J39" s="95">
        <f t="shared" si="27"/>
        <v>70619.523692324132</v>
      </c>
      <c r="K39" s="95">
        <f t="shared" si="27"/>
        <v>54476.501380806003</v>
      </c>
      <c r="L39" s="95">
        <f t="shared" si="27"/>
        <v>37364.897730596786</v>
      </c>
    </row>
    <row r="40" spans="2:14" x14ac:dyDescent="0.2">
      <c r="B40" s="50"/>
      <c r="E40" s="90"/>
      <c r="F40" s="90"/>
      <c r="G40" s="90"/>
      <c r="H40" s="91"/>
      <c r="I40" s="91"/>
      <c r="J40" s="91"/>
      <c r="K40" s="91"/>
      <c r="L40" s="91"/>
    </row>
    <row r="41" spans="2:14" x14ac:dyDescent="0.2">
      <c r="B41" s="51" t="s">
        <v>112</v>
      </c>
      <c r="C41" s="89"/>
      <c r="D41" s="89"/>
      <c r="E41" s="94"/>
      <c r="F41" s="94"/>
      <c r="G41" s="94"/>
      <c r="H41" s="95">
        <f>SUMIFS($J$43:$J$53,$F$43:$F$53,H7)</f>
        <v>-6826.200913886275</v>
      </c>
      <c r="I41" s="95">
        <f t="shared" ref="I41:L41" si="28">SUMIFS($J$43:$J$53,$F$43:$F$53,I7)</f>
        <v>-6012.9613447359961</v>
      </c>
      <c r="J41" s="95">
        <f t="shared" si="28"/>
        <v>-5150.9274014367029</v>
      </c>
      <c r="K41" s="95">
        <f t="shared" si="28"/>
        <v>-4237.1714215394504</v>
      </c>
      <c r="L41" s="95">
        <f t="shared" si="28"/>
        <v>-3268.5900828483623</v>
      </c>
    </row>
    <row r="42" spans="2:14" x14ac:dyDescent="0.2">
      <c r="B42" s="50"/>
      <c r="E42" s="90"/>
      <c r="F42" s="90"/>
      <c r="G42" s="90"/>
      <c r="H42" s="91"/>
      <c r="I42" s="91"/>
      <c r="J42" s="91"/>
      <c r="K42" s="91"/>
      <c r="L42" s="91"/>
    </row>
    <row r="43" spans="2:14" x14ac:dyDescent="0.2">
      <c r="B43" s="97" t="s">
        <v>113</v>
      </c>
      <c r="C43" s="98"/>
      <c r="D43" s="79"/>
      <c r="E43" s="99"/>
      <c r="F43" s="100" t="s">
        <v>117</v>
      </c>
      <c r="G43" s="100" t="s">
        <v>118</v>
      </c>
      <c r="H43" s="100" t="s">
        <v>119</v>
      </c>
      <c r="I43" s="100" t="s">
        <v>120</v>
      </c>
      <c r="J43" s="100" t="s">
        <v>22</v>
      </c>
      <c r="K43" s="100" t="s">
        <v>121</v>
      </c>
      <c r="L43" s="100" t="s">
        <v>122</v>
      </c>
    </row>
    <row r="44" spans="2:14" x14ac:dyDescent="0.2">
      <c r="B44" s="101" t="s">
        <v>114</v>
      </c>
      <c r="C44" s="102">
        <v>150000</v>
      </c>
      <c r="D44" s="79"/>
      <c r="E44" s="99"/>
      <c r="F44" s="103">
        <f>YEAR(C47)</f>
        <v>2020</v>
      </c>
      <c r="G44" s="104">
        <v>1</v>
      </c>
      <c r="H44" s="104">
        <f>C44</f>
        <v>150000</v>
      </c>
      <c r="I44" s="104">
        <f>PMT($C$45,$C$46,$C$44)</f>
        <v>-20380.193733057578</v>
      </c>
      <c r="J44" s="104">
        <f>IPMT($C$45,G44,$C$46,$C$44)</f>
        <v>-9000</v>
      </c>
      <c r="K44" s="104">
        <f>PPMT($C$45,G44,$C$46,$C$44)</f>
        <v>-11380.193733057575</v>
      </c>
      <c r="L44" s="104">
        <f>H44+K44</f>
        <v>138619.80626694241</v>
      </c>
    </row>
    <row r="45" spans="2:14" x14ac:dyDescent="0.2">
      <c r="B45" s="101" t="s">
        <v>22</v>
      </c>
      <c r="C45" s="105">
        <v>0.06</v>
      </c>
      <c r="D45" s="79"/>
      <c r="E45" s="99"/>
      <c r="F45" s="103">
        <f>F44+1</f>
        <v>2021</v>
      </c>
      <c r="G45" s="104">
        <f>G44+1</f>
        <v>2</v>
      </c>
      <c r="H45" s="104">
        <f>L44</f>
        <v>138619.80626694241</v>
      </c>
      <c r="I45" s="104">
        <f t="shared" ref="I45:I53" si="29">PMT($C$45,$C$46,$C$44)</f>
        <v>-20380.193733057578</v>
      </c>
      <c r="J45" s="104">
        <f t="shared" ref="J45:J53" si="30">IPMT($C$45,G45,$C$46,$C$44)</f>
        <v>-8317.1883760165456</v>
      </c>
      <c r="K45" s="104">
        <f t="shared" ref="K45:K53" si="31">PPMT($C$45,G45,$C$46,$C$44)</f>
        <v>-12063.005357041031</v>
      </c>
      <c r="L45" s="104">
        <f t="shared" ref="L45:L53" si="32">H45+K45</f>
        <v>126556.80090990139</v>
      </c>
    </row>
    <row r="46" spans="2:14" x14ac:dyDescent="0.2">
      <c r="B46" s="101" t="s">
        <v>115</v>
      </c>
      <c r="C46" s="106">
        <v>10</v>
      </c>
      <c r="D46" s="79"/>
      <c r="E46" s="99"/>
      <c r="F46" s="103">
        <f t="shared" ref="F46:F53" si="33">F45+1</f>
        <v>2022</v>
      </c>
      <c r="G46" s="104">
        <f t="shared" ref="G46:G53" si="34">G45+1</f>
        <v>3</v>
      </c>
      <c r="H46" s="104">
        <f t="shared" ref="H46:H53" si="35">L45</f>
        <v>126556.80090990139</v>
      </c>
      <c r="I46" s="104">
        <f t="shared" si="29"/>
        <v>-20380.193733057578</v>
      </c>
      <c r="J46" s="104">
        <f t="shared" si="30"/>
        <v>-7593.4080545940842</v>
      </c>
      <c r="K46" s="104">
        <f t="shared" si="31"/>
        <v>-12786.785678463491</v>
      </c>
      <c r="L46" s="104">
        <f t="shared" si="32"/>
        <v>113770.01523143789</v>
      </c>
    </row>
    <row r="47" spans="2:14" x14ac:dyDescent="0.2">
      <c r="B47" s="107" t="s">
        <v>116</v>
      </c>
      <c r="C47" s="108">
        <v>43831</v>
      </c>
      <c r="D47" s="79"/>
      <c r="E47" s="99"/>
      <c r="F47" s="103">
        <f t="shared" si="33"/>
        <v>2023</v>
      </c>
      <c r="G47" s="104">
        <f t="shared" si="34"/>
        <v>4</v>
      </c>
      <c r="H47" s="104">
        <f t="shared" si="35"/>
        <v>113770.01523143789</v>
      </c>
      <c r="I47" s="104">
        <f t="shared" si="29"/>
        <v>-20380.193733057578</v>
      </c>
      <c r="J47" s="104">
        <f t="shared" si="30"/>
        <v>-6826.200913886275</v>
      </c>
      <c r="K47" s="104">
        <f t="shared" si="31"/>
        <v>-13553.992819171302</v>
      </c>
      <c r="L47" s="104">
        <f t="shared" si="32"/>
        <v>100216.0224122666</v>
      </c>
    </row>
    <row r="48" spans="2:14" x14ac:dyDescent="0.2">
      <c r="B48" s="101"/>
      <c r="C48" s="79"/>
      <c r="D48" s="79"/>
      <c r="E48" s="99"/>
      <c r="F48" s="103">
        <f t="shared" si="33"/>
        <v>2024</v>
      </c>
      <c r="G48" s="104">
        <f t="shared" si="34"/>
        <v>5</v>
      </c>
      <c r="H48" s="104">
        <f t="shared" si="35"/>
        <v>100216.0224122666</v>
      </c>
      <c r="I48" s="104">
        <f t="shared" si="29"/>
        <v>-20380.193733057578</v>
      </c>
      <c r="J48" s="104">
        <f t="shared" si="30"/>
        <v>-6012.9613447359961</v>
      </c>
      <c r="K48" s="104">
        <f t="shared" si="31"/>
        <v>-14367.232388321579</v>
      </c>
      <c r="L48" s="104">
        <f t="shared" si="32"/>
        <v>85848.79002394501</v>
      </c>
    </row>
    <row r="49" spans="2:12" x14ac:dyDescent="0.2">
      <c r="B49" s="101"/>
      <c r="C49" s="79"/>
      <c r="D49" s="79"/>
      <c r="E49" s="99"/>
      <c r="F49" s="103">
        <f t="shared" si="33"/>
        <v>2025</v>
      </c>
      <c r="G49" s="104">
        <f t="shared" si="34"/>
        <v>6</v>
      </c>
      <c r="H49" s="104">
        <f t="shared" si="35"/>
        <v>85848.79002394501</v>
      </c>
      <c r="I49" s="104">
        <f t="shared" si="29"/>
        <v>-20380.193733057578</v>
      </c>
      <c r="J49" s="104">
        <f t="shared" si="30"/>
        <v>-5150.9274014367029</v>
      </c>
      <c r="K49" s="104">
        <f t="shared" si="31"/>
        <v>-15229.266331620875</v>
      </c>
      <c r="L49" s="104">
        <f t="shared" si="32"/>
        <v>70619.523692324132</v>
      </c>
    </row>
    <row r="50" spans="2:12" x14ac:dyDescent="0.2">
      <c r="B50" s="101"/>
      <c r="C50" s="79"/>
      <c r="D50" s="79"/>
      <c r="E50" s="99"/>
      <c r="F50" s="103">
        <f t="shared" si="33"/>
        <v>2026</v>
      </c>
      <c r="G50" s="104">
        <f t="shared" si="34"/>
        <v>7</v>
      </c>
      <c r="H50" s="104">
        <f t="shared" si="35"/>
        <v>70619.523692324132</v>
      </c>
      <c r="I50" s="104">
        <f t="shared" si="29"/>
        <v>-20380.193733057578</v>
      </c>
      <c r="J50" s="104">
        <f t="shared" si="30"/>
        <v>-4237.1714215394504</v>
      </c>
      <c r="K50" s="104">
        <f t="shared" si="31"/>
        <v>-16143.022311518127</v>
      </c>
      <c r="L50" s="104">
        <f t="shared" si="32"/>
        <v>54476.501380806003</v>
      </c>
    </row>
    <row r="51" spans="2:12" x14ac:dyDescent="0.2">
      <c r="B51" s="79"/>
      <c r="C51" s="79"/>
      <c r="D51" s="79"/>
      <c r="E51" s="104"/>
      <c r="F51" s="103">
        <f t="shared" si="33"/>
        <v>2027</v>
      </c>
      <c r="G51" s="104">
        <f t="shared" si="34"/>
        <v>8</v>
      </c>
      <c r="H51" s="104">
        <f t="shared" si="35"/>
        <v>54476.501380806003</v>
      </c>
      <c r="I51" s="104">
        <f t="shared" si="29"/>
        <v>-20380.193733057578</v>
      </c>
      <c r="J51" s="104">
        <f t="shared" si="30"/>
        <v>-3268.5900828483623</v>
      </c>
      <c r="K51" s="104">
        <f t="shared" si="31"/>
        <v>-17111.603650209214</v>
      </c>
      <c r="L51" s="104">
        <f t="shared" si="32"/>
        <v>37364.897730596786</v>
      </c>
    </row>
    <row r="52" spans="2:12" x14ac:dyDescent="0.2">
      <c r="B52" s="79"/>
      <c r="C52" s="79"/>
      <c r="D52" s="79"/>
      <c r="E52" s="104"/>
      <c r="F52" s="103">
        <f t="shared" si="33"/>
        <v>2028</v>
      </c>
      <c r="G52" s="104">
        <f t="shared" si="34"/>
        <v>9</v>
      </c>
      <c r="H52" s="104">
        <f t="shared" si="35"/>
        <v>37364.897730596786</v>
      </c>
      <c r="I52" s="104">
        <f t="shared" si="29"/>
        <v>-20380.193733057578</v>
      </c>
      <c r="J52" s="104">
        <f t="shared" si="30"/>
        <v>-2241.89386383581</v>
      </c>
      <c r="K52" s="104">
        <f t="shared" si="31"/>
        <v>-18138.299869221766</v>
      </c>
      <c r="L52" s="104">
        <f t="shared" si="32"/>
        <v>19226.597861375019</v>
      </c>
    </row>
    <row r="53" spans="2:12" x14ac:dyDescent="0.2">
      <c r="B53" s="79"/>
      <c r="C53" s="79"/>
      <c r="D53" s="79"/>
      <c r="E53" s="79"/>
      <c r="F53" s="109">
        <f t="shared" si="33"/>
        <v>2029</v>
      </c>
      <c r="G53" s="104">
        <f t="shared" si="34"/>
        <v>10</v>
      </c>
      <c r="H53" s="104">
        <f t="shared" si="35"/>
        <v>19226.597861375019</v>
      </c>
      <c r="I53" s="104">
        <f t="shared" si="29"/>
        <v>-20380.193733057578</v>
      </c>
      <c r="J53" s="104">
        <f t="shared" si="30"/>
        <v>-1153.5958716825041</v>
      </c>
      <c r="K53" s="104">
        <f t="shared" si="31"/>
        <v>-19226.597861375074</v>
      </c>
      <c r="L53" s="104">
        <f t="shared" si="32"/>
        <v>-5.4569682106375694E-11</v>
      </c>
    </row>
    <row r="54" spans="2:12" x14ac:dyDescent="0.2">
      <c r="F54" s="96"/>
      <c r="G54" s="96"/>
      <c r="H54" s="96"/>
      <c r="I54" s="96"/>
      <c r="J54" s="96"/>
      <c r="K54" s="96"/>
      <c r="L54" s="96"/>
    </row>
    <row r="55" spans="2:12" x14ac:dyDescent="0.2">
      <c r="B55" s="76" t="s">
        <v>126</v>
      </c>
      <c r="C55" s="76"/>
      <c r="D55" s="76"/>
      <c r="E55" s="76"/>
      <c r="F55" s="76"/>
      <c r="G55" s="76"/>
      <c r="H55" s="76"/>
      <c r="I55" s="76"/>
      <c r="J55" s="76"/>
      <c r="K55" s="76"/>
      <c r="L55" s="76"/>
    </row>
    <row r="56" spans="2:12" x14ac:dyDescent="0.2">
      <c r="B56" s="47"/>
      <c r="C56" s="47"/>
      <c r="D56" s="47"/>
      <c r="E56" s="1"/>
      <c r="F56" s="1"/>
      <c r="G56" s="1"/>
    </row>
    <row r="57" spans="2:12" x14ac:dyDescent="0.2">
      <c r="B57" s="113" t="s">
        <v>30</v>
      </c>
      <c r="C57" s="113"/>
      <c r="D57" s="113"/>
      <c r="E57" s="73"/>
      <c r="F57" s="73"/>
      <c r="G57" s="73"/>
      <c r="H57" s="73"/>
      <c r="I57" s="73"/>
      <c r="J57" s="73"/>
      <c r="K57" s="73"/>
      <c r="L57" s="73"/>
    </row>
    <row r="58" spans="2:12" x14ac:dyDescent="0.2">
      <c r="B58" s="47" t="s">
        <v>127</v>
      </c>
      <c r="C58" s="47"/>
      <c r="D58" s="47"/>
      <c r="E58" s="114">
        <v>365</v>
      </c>
      <c r="F58" s="114">
        <v>365</v>
      </c>
      <c r="G58" s="114">
        <v>365</v>
      </c>
      <c r="H58" s="114">
        <v>365</v>
      </c>
      <c r="I58" s="114">
        <v>365</v>
      </c>
      <c r="J58" s="114">
        <v>365</v>
      </c>
      <c r="K58" s="114">
        <v>365</v>
      </c>
      <c r="L58" s="114">
        <v>365</v>
      </c>
    </row>
    <row r="59" spans="2:12" x14ac:dyDescent="0.2">
      <c r="B59" s="47" t="s">
        <v>128</v>
      </c>
      <c r="C59" s="47"/>
      <c r="D59" s="47"/>
      <c r="E59" s="116">
        <f>IFERROR(E61/E60*E58,0)</f>
        <v>0</v>
      </c>
      <c r="F59" s="116">
        <f t="shared" ref="F59:G59" si="36">IFERROR(F61/F60*F58,0)</f>
        <v>0</v>
      </c>
      <c r="G59" s="116">
        <f t="shared" si="36"/>
        <v>0</v>
      </c>
      <c r="H59" s="120">
        <f>AVERAGE(E59:G59)</f>
        <v>0</v>
      </c>
      <c r="I59" s="120">
        <f t="shared" ref="I59:L59" si="37">AVERAGE(F59:H59)</f>
        <v>0</v>
      </c>
      <c r="J59" s="120">
        <f t="shared" si="37"/>
        <v>0</v>
      </c>
      <c r="K59" s="120">
        <f t="shared" si="37"/>
        <v>0</v>
      </c>
      <c r="L59" s="120">
        <f t="shared" si="37"/>
        <v>0</v>
      </c>
    </row>
    <row r="60" spans="2:12" x14ac:dyDescent="0.2">
      <c r="B60" s="47" t="s">
        <v>129</v>
      </c>
      <c r="C60" s="47"/>
      <c r="D60" s="47"/>
      <c r="E60" s="117">
        <f>E113</f>
        <v>0</v>
      </c>
      <c r="F60" s="117">
        <f t="shared" ref="F60:L60" si="38">F113</f>
        <v>0</v>
      </c>
      <c r="G60" s="117">
        <f t="shared" si="38"/>
        <v>0</v>
      </c>
      <c r="H60" s="117">
        <f t="shared" si="38"/>
        <v>0</v>
      </c>
      <c r="I60" s="117">
        <f t="shared" si="38"/>
        <v>0</v>
      </c>
      <c r="J60" s="117">
        <f t="shared" si="38"/>
        <v>0</v>
      </c>
      <c r="K60" s="117">
        <f t="shared" si="38"/>
        <v>0</v>
      </c>
      <c r="L60" s="117">
        <f t="shared" si="38"/>
        <v>0</v>
      </c>
    </row>
    <row r="61" spans="2:12" x14ac:dyDescent="0.2">
      <c r="B61" s="47" t="s">
        <v>130</v>
      </c>
      <c r="C61" s="47"/>
      <c r="D61" s="47"/>
      <c r="E61" s="116">
        <f>AVERAGE(E62:E63)</f>
        <v>0</v>
      </c>
      <c r="F61" s="116">
        <f t="shared" ref="F61:G61" si="39">AVERAGE(F62:F63)</f>
        <v>0</v>
      </c>
      <c r="G61" s="116">
        <f t="shared" si="39"/>
        <v>0</v>
      </c>
      <c r="H61" s="84">
        <f>H59/H58*H60</f>
        <v>0</v>
      </c>
      <c r="I61" s="84">
        <f t="shared" ref="I61:L61" si="40">I59/I58*I60</f>
        <v>0</v>
      </c>
      <c r="J61" s="84">
        <f t="shared" si="40"/>
        <v>0</v>
      </c>
      <c r="K61" s="84">
        <f t="shared" si="40"/>
        <v>0</v>
      </c>
      <c r="L61" s="84">
        <f t="shared" si="40"/>
        <v>0</v>
      </c>
    </row>
    <row r="62" spans="2:12" x14ac:dyDescent="0.2">
      <c r="B62" s="47" t="s">
        <v>108</v>
      </c>
      <c r="C62" s="47"/>
      <c r="D62" s="47"/>
      <c r="E62" s="118"/>
      <c r="F62" s="117">
        <f>E63</f>
        <v>0</v>
      </c>
      <c r="G62" s="117">
        <f t="shared" ref="G62:L62" si="41">F63</f>
        <v>0</v>
      </c>
      <c r="H62" s="117">
        <f t="shared" si="41"/>
        <v>0</v>
      </c>
      <c r="I62" s="117">
        <f t="shared" si="41"/>
        <v>0</v>
      </c>
      <c r="J62" s="117">
        <f t="shared" si="41"/>
        <v>0</v>
      </c>
      <c r="K62" s="117">
        <f t="shared" si="41"/>
        <v>0</v>
      </c>
      <c r="L62" s="117">
        <f t="shared" si="41"/>
        <v>0</v>
      </c>
    </row>
    <row r="63" spans="2:12" x14ac:dyDescent="0.2">
      <c r="B63" s="115" t="s">
        <v>111</v>
      </c>
      <c r="C63" s="115"/>
      <c r="D63" s="115"/>
      <c r="E63" s="119">
        <f>E145</f>
        <v>0</v>
      </c>
      <c r="F63" s="119">
        <f t="shared" ref="F63:G63" si="42">F145</f>
        <v>0</v>
      </c>
      <c r="G63" s="119">
        <f t="shared" si="42"/>
        <v>0</v>
      </c>
      <c r="H63" s="121">
        <f>H61*2-H62</f>
        <v>0</v>
      </c>
      <c r="I63" s="121">
        <f t="shared" ref="I63:L63" si="43">I61*2-I62</f>
        <v>0</v>
      </c>
      <c r="J63" s="121">
        <f t="shared" si="43"/>
        <v>0</v>
      </c>
      <c r="K63" s="121">
        <f t="shared" si="43"/>
        <v>0</v>
      </c>
      <c r="L63" s="121">
        <f t="shared" si="43"/>
        <v>0</v>
      </c>
    </row>
    <row r="64" spans="2:12" x14ac:dyDescent="0.2">
      <c r="B64" s="47"/>
      <c r="C64" s="47"/>
      <c r="D64" s="47"/>
      <c r="E64" s="1"/>
      <c r="F64" s="1"/>
      <c r="G64" s="1"/>
    </row>
    <row r="65" spans="2:12" x14ac:dyDescent="0.2">
      <c r="B65" s="113" t="s">
        <v>32</v>
      </c>
      <c r="C65" s="113"/>
      <c r="D65" s="113"/>
      <c r="E65" s="73"/>
      <c r="F65" s="73"/>
      <c r="G65" s="73"/>
      <c r="H65" s="73"/>
      <c r="I65" s="73"/>
      <c r="J65" s="73"/>
      <c r="K65" s="73"/>
      <c r="L65" s="73"/>
    </row>
    <row r="66" spans="2:12" x14ac:dyDescent="0.2">
      <c r="B66" s="47" t="s">
        <v>127</v>
      </c>
      <c r="C66" s="47"/>
      <c r="D66" s="47"/>
      <c r="E66" s="114">
        <v>365</v>
      </c>
      <c r="F66" s="114">
        <v>365</v>
      </c>
      <c r="G66" s="114">
        <v>365</v>
      </c>
      <c r="H66" s="114">
        <v>365</v>
      </c>
      <c r="I66" s="114">
        <v>365</v>
      </c>
      <c r="J66" s="114">
        <v>365</v>
      </c>
      <c r="K66" s="114">
        <v>365</v>
      </c>
      <c r="L66" s="114">
        <v>365</v>
      </c>
    </row>
    <row r="67" spans="2:12" x14ac:dyDescent="0.2">
      <c r="B67" s="47" t="s">
        <v>133</v>
      </c>
      <c r="C67" s="47"/>
      <c r="D67" s="47"/>
      <c r="E67" s="116">
        <f>IFERROR(E69/E68*E66,0)</f>
        <v>0</v>
      </c>
      <c r="F67" s="116">
        <f t="shared" ref="F67" si="44">IFERROR(F69/F68*F66,0)</f>
        <v>0</v>
      </c>
      <c r="G67" s="116">
        <f t="shared" ref="G67" si="45">IFERROR(G69/G68*G66,0)</f>
        <v>0</v>
      </c>
      <c r="H67" s="120">
        <f>AVERAGE(E67:G67)</f>
        <v>0</v>
      </c>
      <c r="I67" s="120">
        <f t="shared" ref="I67" si="46">AVERAGE(F67:H67)</f>
        <v>0</v>
      </c>
      <c r="J67" s="120">
        <f t="shared" ref="J67" si="47">AVERAGE(G67:I67)</f>
        <v>0</v>
      </c>
      <c r="K67" s="120">
        <f t="shared" ref="K67" si="48">AVERAGE(H67:J67)</f>
        <v>0</v>
      </c>
      <c r="L67" s="120">
        <f t="shared" ref="L67" si="49">AVERAGE(I67:K67)</f>
        <v>0</v>
      </c>
    </row>
    <row r="68" spans="2:12" x14ac:dyDescent="0.2">
      <c r="B68" s="47" t="s">
        <v>134</v>
      </c>
      <c r="C68" s="47"/>
      <c r="D68" s="47"/>
      <c r="E68" s="117">
        <f>E119</f>
        <v>723.84</v>
      </c>
      <c r="F68" s="117">
        <f t="shared" ref="F68:L68" si="50">F119</f>
        <v>806.72896000000003</v>
      </c>
      <c r="G68" s="117">
        <f t="shared" si="50"/>
        <v>923.6459167999999</v>
      </c>
      <c r="H68" s="117">
        <f t="shared" si="50"/>
        <v>926.22353331199997</v>
      </c>
      <c r="I68" s="117">
        <f t="shared" si="50"/>
        <v>988.84887448480015</v>
      </c>
      <c r="J68" s="117">
        <f t="shared" si="50"/>
        <v>1042.8961227070401</v>
      </c>
      <c r="K68" s="117">
        <f t="shared" si="50"/>
        <v>1085.8221102373961</v>
      </c>
      <c r="L68" s="117">
        <f t="shared" si="50"/>
        <v>1144.8741231197482</v>
      </c>
    </row>
    <row r="69" spans="2:12" x14ac:dyDescent="0.2">
      <c r="B69" s="47" t="s">
        <v>130</v>
      </c>
      <c r="C69" s="47"/>
      <c r="D69" s="47"/>
      <c r="E69" s="116">
        <f>AVERAGE(E70:E71)</f>
        <v>0</v>
      </c>
      <c r="F69" s="116">
        <f t="shared" ref="F69" si="51">AVERAGE(F70:F71)</f>
        <v>0</v>
      </c>
      <c r="G69" s="116">
        <f t="shared" ref="G69" si="52">AVERAGE(G70:G71)</f>
        <v>0</v>
      </c>
      <c r="H69" s="84">
        <f>H67/H66*H68</f>
        <v>0</v>
      </c>
      <c r="I69" s="84">
        <f t="shared" ref="I69" si="53">I67/I66*I68</f>
        <v>0</v>
      </c>
      <c r="J69" s="84">
        <f t="shared" ref="J69" si="54">J67/J66*J68</f>
        <v>0</v>
      </c>
      <c r="K69" s="84">
        <f t="shared" ref="K69" si="55">K67/K66*K68</f>
        <v>0</v>
      </c>
      <c r="L69" s="84">
        <f t="shared" ref="L69" si="56">L67/L66*L68</f>
        <v>0</v>
      </c>
    </row>
    <row r="70" spans="2:12" x14ac:dyDescent="0.2">
      <c r="B70" s="47" t="s">
        <v>108</v>
      </c>
      <c r="C70" s="47"/>
      <c r="D70" s="47"/>
      <c r="E70" s="118"/>
      <c r="F70" s="117">
        <f>E71</f>
        <v>0</v>
      </c>
      <c r="G70" s="117">
        <f t="shared" ref="G70:L70" si="57">F71</f>
        <v>0</v>
      </c>
      <c r="H70" s="117">
        <f t="shared" si="57"/>
        <v>0</v>
      </c>
      <c r="I70" s="117">
        <f t="shared" si="57"/>
        <v>0</v>
      </c>
      <c r="J70" s="117">
        <f t="shared" si="57"/>
        <v>0</v>
      </c>
      <c r="K70" s="117">
        <f t="shared" si="57"/>
        <v>0</v>
      </c>
      <c r="L70" s="117">
        <f t="shared" si="57"/>
        <v>0</v>
      </c>
    </row>
    <row r="71" spans="2:12" x14ac:dyDescent="0.2">
      <c r="B71" s="115" t="s">
        <v>111</v>
      </c>
      <c r="C71" s="115"/>
      <c r="D71" s="115"/>
      <c r="E71" s="119">
        <f>E147</f>
        <v>0</v>
      </c>
      <c r="F71" s="119">
        <f t="shared" ref="F71:G71" si="58">F147</f>
        <v>0</v>
      </c>
      <c r="G71" s="119">
        <f t="shared" si="58"/>
        <v>0</v>
      </c>
      <c r="H71" s="121">
        <f>H69*2-H70</f>
        <v>0</v>
      </c>
      <c r="I71" s="121">
        <f t="shared" ref="I71" si="59">I69*2-I70</f>
        <v>0</v>
      </c>
      <c r="J71" s="121">
        <f t="shared" ref="J71" si="60">J69*2-J70</f>
        <v>0</v>
      </c>
      <c r="K71" s="121">
        <f t="shared" ref="K71" si="61">K69*2-K70</f>
        <v>0</v>
      </c>
      <c r="L71" s="121">
        <f t="shared" ref="L71" si="62">L69*2-L70</f>
        <v>0</v>
      </c>
    </row>
    <row r="72" spans="2:12" x14ac:dyDescent="0.2">
      <c r="B72" s="47"/>
      <c r="C72" s="47"/>
      <c r="D72" s="47"/>
      <c r="E72" s="1"/>
      <c r="F72" s="1"/>
      <c r="G72" s="1"/>
    </row>
    <row r="73" spans="2:12" x14ac:dyDescent="0.2">
      <c r="B73" s="113" t="s">
        <v>36</v>
      </c>
      <c r="C73" s="113"/>
      <c r="D73" s="113"/>
      <c r="E73" s="73"/>
      <c r="F73" s="73"/>
      <c r="G73" s="73"/>
      <c r="H73" s="73"/>
      <c r="I73" s="73"/>
      <c r="J73" s="73"/>
      <c r="K73" s="73"/>
      <c r="L73" s="73"/>
    </row>
    <row r="74" spans="2:12" x14ac:dyDescent="0.2">
      <c r="B74" s="47" t="s">
        <v>127</v>
      </c>
      <c r="C74" s="47"/>
      <c r="D74" s="47"/>
      <c r="E74" s="114">
        <v>365</v>
      </c>
      <c r="F74" s="114">
        <v>365</v>
      </c>
      <c r="G74" s="114">
        <v>365</v>
      </c>
      <c r="H74" s="114">
        <v>365</v>
      </c>
      <c r="I74" s="114">
        <v>365</v>
      </c>
      <c r="J74" s="114">
        <v>365</v>
      </c>
      <c r="K74" s="114">
        <v>365</v>
      </c>
      <c r="L74" s="114">
        <v>365</v>
      </c>
    </row>
    <row r="75" spans="2:12" x14ac:dyDescent="0.2">
      <c r="B75" s="47" t="s">
        <v>131</v>
      </c>
      <c r="C75" s="47"/>
      <c r="D75" s="47"/>
      <c r="E75" s="116">
        <f>IFERROR(E77/E76*E74,0)</f>
        <v>164.25000000000003</v>
      </c>
      <c r="F75" s="116">
        <f t="shared" ref="F75" si="63">IFERROR(F77/F76*F74,0)</f>
        <v>159.96860189573465</v>
      </c>
      <c r="G75" s="116">
        <f t="shared" ref="G75" si="64">IFERROR(G77/G76*G74,0)</f>
        <v>156.98826344576122</v>
      </c>
      <c r="H75" s="120">
        <f>AVERAGE(E75:G75)</f>
        <v>160.40228844716529</v>
      </c>
      <c r="I75" s="120">
        <f t="shared" ref="I75" si="65">AVERAGE(F75:H75)</f>
        <v>159.11971792955373</v>
      </c>
      <c r="J75" s="120">
        <f t="shared" ref="J75" si="66">AVERAGE(G75:I75)</f>
        <v>158.83675660749341</v>
      </c>
      <c r="K75" s="120">
        <f t="shared" ref="K75" si="67">AVERAGE(H75:J75)</f>
        <v>159.45292099473747</v>
      </c>
      <c r="L75" s="120">
        <f t="shared" ref="L75" si="68">AVERAGE(I75:K75)</f>
        <v>159.13646517726156</v>
      </c>
    </row>
    <row r="76" spans="2:12" x14ac:dyDescent="0.2">
      <c r="B76" s="47" t="s">
        <v>132</v>
      </c>
      <c r="C76" s="47"/>
      <c r="D76" s="47"/>
      <c r="E76" s="117">
        <f>E128</f>
        <v>18559.999999999996</v>
      </c>
      <c r="F76" s="117">
        <f t="shared" ref="F76:L76" si="69">F128</f>
        <v>19580.799999999992</v>
      </c>
      <c r="G76" s="117">
        <f t="shared" si="69"/>
        <v>21480.137599999995</v>
      </c>
      <c r="H76" s="117">
        <f t="shared" si="69"/>
        <v>22554.144479999995</v>
      </c>
      <c r="I76" s="117">
        <f t="shared" si="69"/>
        <v>23681.851703999997</v>
      </c>
      <c r="J76" s="117">
        <f t="shared" si="69"/>
        <v>24865.944289199997</v>
      </c>
      <c r="K76" s="117">
        <f t="shared" si="69"/>
        <v>26109.24150366</v>
      </c>
      <c r="L76" s="117">
        <f t="shared" si="69"/>
        <v>27414.703578843</v>
      </c>
    </row>
    <row r="77" spans="2:12" x14ac:dyDescent="0.2">
      <c r="B77" s="47" t="s">
        <v>130</v>
      </c>
      <c r="C77" s="47"/>
      <c r="D77" s="47"/>
      <c r="E77" s="116">
        <f>AVERAGE(E78:E79)</f>
        <v>8352</v>
      </c>
      <c r="F77" s="116">
        <f t="shared" ref="F77" si="70">AVERAGE(F78:F79)</f>
        <v>8581.68</v>
      </c>
      <c r="G77" s="116">
        <f t="shared" ref="G77" si="71">AVERAGE(G78:G79)</f>
        <v>9238.7109600000003</v>
      </c>
      <c r="H77" s="84">
        <f>H75/H74*H76</f>
        <v>9911.6065440000002</v>
      </c>
      <c r="I77" s="84">
        <f t="shared" ref="I77" si="72">I75/I74*I76</f>
        <v>10323.971406000002</v>
      </c>
      <c r="J77" s="84">
        <f t="shared" ref="J77" si="73">J75/J74*J76</f>
        <v>10820.892988710002</v>
      </c>
      <c r="K77" s="84">
        <f t="shared" ref="K77" si="74">K75/K74*K76</f>
        <v>11406.013212919503</v>
      </c>
      <c r="L77" s="84">
        <f t="shared" ref="L77" si="75">L75/L74*L76</f>
        <v>11952.545264163005</v>
      </c>
    </row>
    <row r="78" spans="2:12" x14ac:dyDescent="0.2">
      <c r="B78" s="47" t="s">
        <v>108</v>
      </c>
      <c r="C78" s="47"/>
      <c r="D78" s="47"/>
      <c r="E78" s="118"/>
      <c r="F78" s="117">
        <f>E79</f>
        <v>8352</v>
      </c>
      <c r="G78" s="117">
        <f t="shared" ref="G78:L78" si="76">F79</f>
        <v>8811.36</v>
      </c>
      <c r="H78" s="117">
        <f t="shared" si="76"/>
        <v>9666.0619200000001</v>
      </c>
      <c r="I78" s="117">
        <f t="shared" si="76"/>
        <v>10157.151168</v>
      </c>
      <c r="J78" s="117">
        <f t="shared" si="76"/>
        <v>10490.791644000004</v>
      </c>
      <c r="K78" s="117">
        <f t="shared" si="76"/>
        <v>11150.99433342</v>
      </c>
      <c r="L78" s="117">
        <f t="shared" si="76"/>
        <v>11661.032092419005</v>
      </c>
    </row>
    <row r="79" spans="2:12" x14ac:dyDescent="0.2">
      <c r="B79" s="115" t="s">
        <v>111</v>
      </c>
      <c r="C79" s="115"/>
      <c r="D79" s="115"/>
      <c r="E79" s="119">
        <f>E154</f>
        <v>8352</v>
      </c>
      <c r="F79" s="119">
        <f t="shared" ref="F79:G79" si="77">F154</f>
        <v>8811.36</v>
      </c>
      <c r="G79" s="119">
        <f t="shared" si="77"/>
        <v>9666.0619200000001</v>
      </c>
      <c r="H79" s="121">
        <f>H77*2-H78</f>
        <v>10157.151168</v>
      </c>
      <c r="I79" s="121">
        <f t="shared" ref="I79" si="78">I77*2-I78</f>
        <v>10490.791644000004</v>
      </c>
      <c r="J79" s="121">
        <f t="shared" ref="J79" si="79">J77*2-J78</f>
        <v>11150.99433342</v>
      </c>
      <c r="K79" s="121">
        <f t="shared" ref="K79" si="80">K77*2-K78</f>
        <v>11661.032092419005</v>
      </c>
      <c r="L79" s="121">
        <f t="shared" ref="L79" si="81">L77*2-L78</f>
        <v>12244.058435907005</v>
      </c>
    </row>
    <row r="80" spans="2:12" x14ac:dyDescent="0.2">
      <c r="B80" s="47"/>
      <c r="C80" s="47"/>
      <c r="D80" s="47"/>
      <c r="E80" s="1"/>
      <c r="F80" s="1"/>
      <c r="G80" s="1"/>
    </row>
    <row r="81" spans="2:12" x14ac:dyDescent="0.2">
      <c r="B81" s="47" t="s">
        <v>135</v>
      </c>
      <c r="C81" s="47"/>
      <c r="D81" s="47"/>
      <c r="E81" s="117">
        <f>E63+E71-E79</f>
        <v>-8352</v>
      </c>
      <c r="F81" s="117">
        <f t="shared" ref="F81:L81" si="82">F63+F71-F79</f>
        <v>-8811.36</v>
      </c>
      <c r="G81" s="117">
        <f t="shared" si="82"/>
        <v>-9666.0619200000001</v>
      </c>
      <c r="H81" s="117">
        <f t="shared" si="82"/>
        <v>-10157.151168</v>
      </c>
      <c r="I81" s="117">
        <f t="shared" si="82"/>
        <v>-10490.791644000004</v>
      </c>
      <c r="J81" s="117">
        <f t="shared" si="82"/>
        <v>-11150.99433342</v>
      </c>
      <c r="K81" s="117">
        <f t="shared" si="82"/>
        <v>-11661.032092419005</v>
      </c>
      <c r="L81" s="117">
        <f t="shared" si="82"/>
        <v>-12244.058435907005</v>
      </c>
    </row>
    <row r="82" spans="2:12" ht="10.8" thickBot="1" x14ac:dyDescent="0.25">
      <c r="B82" s="122" t="s">
        <v>136</v>
      </c>
      <c r="C82" s="122"/>
      <c r="D82" s="122"/>
      <c r="E82" s="123"/>
      <c r="F82" s="124">
        <f>F81-E81</f>
        <v>-459.36000000000058</v>
      </c>
      <c r="G82" s="124">
        <f t="shared" ref="G82:L82" si="83">G81-F81</f>
        <v>-854.70191999999952</v>
      </c>
      <c r="H82" s="124">
        <f t="shared" si="83"/>
        <v>-491.08924800000023</v>
      </c>
      <c r="I82" s="124">
        <f t="shared" si="83"/>
        <v>-333.64047600000413</v>
      </c>
      <c r="J82" s="124">
        <f t="shared" si="83"/>
        <v>-660.20268941999529</v>
      </c>
      <c r="K82" s="124">
        <f t="shared" si="83"/>
        <v>-510.03775899900575</v>
      </c>
      <c r="L82" s="124">
        <f t="shared" si="83"/>
        <v>-583.02634348799984</v>
      </c>
    </row>
    <row r="83" spans="2:12" ht="10.8" thickTop="1" x14ac:dyDescent="0.2">
      <c r="B83" s="47"/>
      <c r="C83" s="47"/>
      <c r="D83" s="47"/>
      <c r="E83" s="1"/>
      <c r="F83" s="1"/>
      <c r="G83" s="1"/>
    </row>
    <row r="84" spans="2:12" x14ac:dyDescent="0.2">
      <c r="B84" s="76" t="s">
        <v>33</v>
      </c>
      <c r="C84" s="76"/>
      <c r="D84" s="76"/>
      <c r="E84" s="76"/>
      <c r="F84" s="76"/>
      <c r="G84" s="76"/>
      <c r="H84" s="76"/>
      <c r="I84" s="76"/>
      <c r="J84" s="76"/>
      <c r="K84" s="76"/>
      <c r="L84" s="76"/>
    </row>
    <row r="85" spans="2:12" x14ac:dyDescent="0.2">
      <c r="B85" s="47"/>
      <c r="C85" s="47"/>
      <c r="D85" s="47"/>
      <c r="E85" s="1"/>
      <c r="F85" s="1"/>
      <c r="G85" s="1"/>
    </row>
    <row r="86" spans="2:12" x14ac:dyDescent="0.2">
      <c r="B86" s="47" t="s">
        <v>137</v>
      </c>
      <c r="C86" s="47"/>
      <c r="D86" s="47"/>
      <c r="E86" s="1"/>
      <c r="F86" s="117">
        <f>E89</f>
        <v>1520</v>
      </c>
      <c r="G86" s="117">
        <f t="shared" ref="G86:L86" si="84">F89</f>
        <v>1798</v>
      </c>
      <c r="H86" s="117">
        <f t="shared" si="84"/>
        <v>1820</v>
      </c>
      <c r="I86" s="117">
        <f t="shared" si="84"/>
        <v>1820</v>
      </c>
      <c r="J86" s="117">
        <f t="shared" si="84"/>
        <v>1820</v>
      </c>
      <c r="K86" s="117">
        <f t="shared" si="84"/>
        <v>1820</v>
      </c>
      <c r="L86" s="117">
        <f t="shared" si="84"/>
        <v>1820</v>
      </c>
    </row>
    <row r="87" spans="2:12" x14ac:dyDescent="0.2">
      <c r="B87" s="47" t="s">
        <v>138</v>
      </c>
      <c r="C87" s="47"/>
      <c r="D87" s="47"/>
      <c r="E87" s="1"/>
      <c r="F87" s="117">
        <f>-F132</f>
        <v>-258</v>
      </c>
      <c r="G87" s="117">
        <f t="shared" ref="G87:L87" si="85">-G132</f>
        <v>-271</v>
      </c>
      <c r="H87" s="117">
        <f t="shared" si="85"/>
        <v>-285.45429849999999</v>
      </c>
      <c r="I87" s="117">
        <f t="shared" si="85"/>
        <v>-303.51355947500002</v>
      </c>
      <c r="J87" s="117">
        <f t="shared" si="85"/>
        <v>-315.70632551500006</v>
      </c>
      <c r="K87" s="117">
        <f t="shared" si="85"/>
        <v>-332.18812447100004</v>
      </c>
      <c r="L87" s="117">
        <f t="shared" si="85"/>
        <v>-349.40621295402821</v>
      </c>
    </row>
    <row r="88" spans="2:12" x14ac:dyDescent="0.2">
      <c r="B88" s="47" t="s">
        <v>139</v>
      </c>
      <c r="C88" s="47"/>
      <c r="D88" s="47"/>
      <c r="E88" s="1"/>
      <c r="F88" s="117">
        <f>-F177</f>
        <v>536</v>
      </c>
      <c r="G88" s="117">
        <f>-G177</f>
        <v>293</v>
      </c>
      <c r="H88" s="128">
        <f>-H87</f>
        <v>285.45429849999999</v>
      </c>
      <c r="I88" s="128">
        <f t="shared" ref="I88:L88" si="86">-I87</f>
        <v>303.51355947500002</v>
      </c>
      <c r="J88" s="128">
        <f t="shared" si="86"/>
        <v>315.70632551500006</v>
      </c>
      <c r="K88" s="128">
        <f t="shared" si="86"/>
        <v>332.18812447100004</v>
      </c>
      <c r="L88" s="128">
        <f t="shared" si="86"/>
        <v>349.40621295402821</v>
      </c>
    </row>
    <row r="89" spans="2:12" ht="10.8" thickBot="1" x14ac:dyDescent="0.25">
      <c r="B89" s="125" t="s">
        <v>140</v>
      </c>
      <c r="C89" s="125"/>
      <c r="D89" s="125"/>
      <c r="E89" s="126">
        <f>E148</f>
        <v>1520</v>
      </c>
      <c r="F89" s="127">
        <f>SUM(F86:F88)</f>
        <v>1798</v>
      </c>
      <c r="G89" s="127">
        <f t="shared" ref="G89:L89" si="87">SUM(G86:G88)</f>
        <v>1820</v>
      </c>
      <c r="H89" s="127">
        <f t="shared" si="87"/>
        <v>1820</v>
      </c>
      <c r="I89" s="127">
        <f t="shared" si="87"/>
        <v>1820</v>
      </c>
      <c r="J89" s="127">
        <f t="shared" si="87"/>
        <v>1820</v>
      </c>
      <c r="K89" s="127">
        <f t="shared" si="87"/>
        <v>1820</v>
      </c>
      <c r="L89" s="127">
        <f t="shared" si="87"/>
        <v>1820</v>
      </c>
    </row>
    <row r="90" spans="2:12" x14ac:dyDescent="0.2">
      <c r="B90" s="47"/>
      <c r="C90" s="47"/>
      <c r="D90" s="47"/>
      <c r="E90" s="1"/>
      <c r="F90" s="1"/>
      <c r="G90" s="1"/>
    </row>
    <row r="91" spans="2:12" x14ac:dyDescent="0.2">
      <c r="B91" s="76" t="s">
        <v>76</v>
      </c>
      <c r="C91" s="76"/>
      <c r="D91" s="76"/>
      <c r="E91" s="76"/>
      <c r="F91" s="76"/>
      <c r="G91" s="76"/>
      <c r="H91" s="76"/>
      <c r="I91" s="76"/>
      <c r="J91" s="76"/>
      <c r="K91" s="76"/>
      <c r="L91" s="76"/>
    </row>
    <row r="92" spans="2:12" x14ac:dyDescent="0.2">
      <c r="B92" s="47"/>
      <c r="C92" s="47"/>
      <c r="D92" s="47"/>
      <c r="E92" s="1"/>
      <c r="F92" s="1"/>
      <c r="G92" s="1"/>
    </row>
    <row r="93" spans="2:12" x14ac:dyDescent="0.2">
      <c r="B93" s="47" t="s">
        <v>141</v>
      </c>
      <c r="C93" s="47"/>
      <c r="D93" s="47"/>
      <c r="E93" s="1"/>
      <c r="F93" s="117">
        <f>E95</f>
        <v>125700</v>
      </c>
      <c r="G93" s="117">
        <f t="shared" ref="G93:L93" si="88">F95</f>
        <v>125700</v>
      </c>
      <c r="H93" s="117">
        <f t="shared" si="88"/>
        <v>125700</v>
      </c>
      <c r="I93" s="117">
        <f t="shared" si="88"/>
        <v>125700</v>
      </c>
      <c r="J93" s="117">
        <f t="shared" si="88"/>
        <v>125700</v>
      </c>
      <c r="K93" s="117">
        <f t="shared" si="88"/>
        <v>125700</v>
      </c>
      <c r="L93" s="117">
        <f t="shared" si="88"/>
        <v>125700</v>
      </c>
    </row>
    <row r="94" spans="2:12" x14ac:dyDescent="0.2">
      <c r="B94" s="47" t="s">
        <v>142</v>
      </c>
      <c r="C94" s="47"/>
      <c r="D94" s="47"/>
      <c r="E94" s="1"/>
      <c r="F94" s="118"/>
      <c r="G94" s="118"/>
      <c r="H94" s="129"/>
      <c r="I94" s="129"/>
      <c r="J94" s="129"/>
      <c r="K94" s="129"/>
      <c r="L94" s="129"/>
    </row>
    <row r="95" spans="2:12" ht="10.8" thickBot="1" x14ac:dyDescent="0.25">
      <c r="B95" s="125" t="s">
        <v>143</v>
      </c>
      <c r="C95" s="125"/>
      <c r="D95" s="125"/>
      <c r="E95" s="126">
        <f>E149</f>
        <v>125700</v>
      </c>
      <c r="F95" s="127">
        <f>SUM(F93:F94)</f>
        <v>125700</v>
      </c>
      <c r="G95" s="127">
        <f t="shared" ref="G95:L95" si="89">SUM(G93:G94)</f>
        <v>125700</v>
      </c>
      <c r="H95" s="127">
        <f t="shared" si="89"/>
        <v>125700</v>
      </c>
      <c r="I95" s="127">
        <f t="shared" si="89"/>
        <v>125700</v>
      </c>
      <c r="J95" s="127">
        <f t="shared" si="89"/>
        <v>125700</v>
      </c>
      <c r="K95" s="127">
        <f t="shared" si="89"/>
        <v>125700</v>
      </c>
      <c r="L95" s="127">
        <f t="shared" si="89"/>
        <v>125700</v>
      </c>
    </row>
    <row r="96" spans="2:12" x14ac:dyDescent="0.2">
      <c r="B96" s="47"/>
      <c r="C96" s="47"/>
      <c r="D96" s="47"/>
      <c r="E96" s="1"/>
      <c r="F96" s="1"/>
      <c r="G96" s="1"/>
    </row>
    <row r="97" spans="2:12" x14ac:dyDescent="0.2">
      <c r="B97" s="76" t="s">
        <v>144</v>
      </c>
      <c r="C97" s="76"/>
      <c r="D97" s="76"/>
      <c r="E97" s="76"/>
      <c r="F97" s="76"/>
      <c r="G97" s="76"/>
      <c r="H97" s="76"/>
      <c r="I97" s="76"/>
      <c r="J97" s="76"/>
      <c r="K97" s="76"/>
      <c r="L97" s="76"/>
    </row>
    <row r="98" spans="2:12" x14ac:dyDescent="0.2">
      <c r="B98" s="47"/>
      <c r="C98" s="47"/>
      <c r="D98" s="47"/>
      <c r="E98" s="1"/>
      <c r="F98" s="1"/>
      <c r="G98" s="1"/>
    </row>
    <row r="99" spans="2:12" x14ac:dyDescent="0.2">
      <c r="B99" s="47" t="s">
        <v>145</v>
      </c>
      <c r="C99" s="47"/>
      <c r="D99" s="47"/>
      <c r="E99" s="1"/>
      <c r="F99" s="117">
        <f>E101</f>
        <v>50000</v>
      </c>
      <c r="G99" s="117">
        <f t="shared" ref="G99:L99" si="90">F101</f>
        <v>50000</v>
      </c>
      <c r="H99" s="117">
        <f t="shared" si="90"/>
        <v>50000</v>
      </c>
      <c r="I99" s="117">
        <f t="shared" si="90"/>
        <v>50000</v>
      </c>
      <c r="J99" s="117">
        <f t="shared" si="90"/>
        <v>50000</v>
      </c>
      <c r="K99" s="117">
        <f t="shared" si="90"/>
        <v>50000</v>
      </c>
      <c r="L99" s="117">
        <f t="shared" si="90"/>
        <v>50000</v>
      </c>
    </row>
    <row r="100" spans="2:12" x14ac:dyDescent="0.2">
      <c r="B100" s="47" t="s">
        <v>146</v>
      </c>
      <c r="C100" s="47"/>
      <c r="D100" s="47"/>
      <c r="E100" s="1"/>
      <c r="F100" s="1"/>
      <c r="G100" s="1"/>
      <c r="H100" s="130">
        <v>0</v>
      </c>
      <c r="I100" s="130">
        <v>0</v>
      </c>
      <c r="J100" s="130">
        <v>0</v>
      </c>
      <c r="K100" s="130">
        <v>0</v>
      </c>
      <c r="L100" s="130">
        <v>0</v>
      </c>
    </row>
    <row r="101" spans="2:12" ht="10.8" thickBot="1" x14ac:dyDescent="0.25">
      <c r="B101" s="125" t="s">
        <v>147</v>
      </c>
      <c r="C101" s="125"/>
      <c r="D101" s="125"/>
      <c r="E101" s="126">
        <f>E160</f>
        <v>50000</v>
      </c>
      <c r="F101" s="127">
        <f>SUM(F99:F100)</f>
        <v>50000</v>
      </c>
      <c r="G101" s="127">
        <f t="shared" ref="G101:L101" si="91">SUM(G99:G100)</f>
        <v>50000</v>
      </c>
      <c r="H101" s="127">
        <f t="shared" si="91"/>
        <v>50000</v>
      </c>
      <c r="I101" s="127">
        <f t="shared" si="91"/>
        <v>50000</v>
      </c>
      <c r="J101" s="127">
        <f t="shared" si="91"/>
        <v>50000</v>
      </c>
      <c r="K101" s="127">
        <f t="shared" si="91"/>
        <v>50000</v>
      </c>
      <c r="L101" s="127">
        <f t="shared" si="91"/>
        <v>50000</v>
      </c>
    </row>
    <row r="102" spans="2:12" x14ac:dyDescent="0.2">
      <c r="B102" s="47"/>
      <c r="C102" s="47"/>
      <c r="D102" s="47"/>
      <c r="E102" s="1"/>
      <c r="F102" s="1"/>
      <c r="G102" s="1"/>
    </row>
    <row r="103" spans="2:12" x14ac:dyDescent="0.2">
      <c r="B103" s="47" t="s">
        <v>148</v>
      </c>
      <c r="C103" s="47"/>
      <c r="D103" s="47"/>
      <c r="E103" s="1"/>
      <c r="F103" s="117">
        <f>E106</f>
        <v>14439.1</v>
      </c>
      <c r="G103" s="117">
        <f t="shared" ref="G103:L103" si="92">F106</f>
        <v>-13716.888376016539</v>
      </c>
      <c r="H103" s="117">
        <f t="shared" si="92"/>
        <v>-43061.434030610617</v>
      </c>
      <c r="I103" s="117">
        <f t="shared" si="92"/>
        <v>-72727.233722996883</v>
      </c>
      <c r="J103" s="117">
        <f t="shared" si="92"/>
        <v>-102725.56033120787</v>
      </c>
      <c r="K103" s="117">
        <f t="shared" si="92"/>
        <v>-133058.13834735958</v>
      </c>
      <c r="L103" s="117">
        <f t="shared" si="92"/>
        <v>-163736.73939703003</v>
      </c>
    </row>
    <row r="104" spans="2:12" x14ac:dyDescent="0.2">
      <c r="B104" s="47" t="s">
        <v>149</v>
      </c>
      <c r="C104" s="47"/>
      <c r="D104" s="47"/>
      <c r="E104" s="1"/>
      <c r="F104" s="117">
        <f>F139</f>
        <v>-28155.988376016539</v>
      </c>
      <c r="G104" s="117">
        <f t="shared" ref="G104:L104" si="93">G139</f>
        <v>-29344.54565459408</v>
      </c>
      <c r="H104" s="117">
        <f t="shared" si="93"/>
        <v>-29665.79969238627</v>
      </c>
      <c r="I104" s="117">
        <f t="shared" si="93"/>
        <v>-29998.326608210991</v>
      </c>
      <c r="J104" s="117">
        <f t="shared" si="93"/>
        <v>-30332.5780161517</v>
      </c>
      <c r="K104" s="117">
        <f t="shared" si="93"/>
        <v>-30678.601049670451</v>
      </c>
      <c r="L104" s="117">
        <f t="shared" si="93"/>
        <v>-31032.69987464539</v>
      </c>
    </row>
    <row r="105" spans="2:12" x14ac:dyDescent="0.2">
      <c r="B105" s="47" t="s">
        <v>150</v>
      </c>
      <c r="C105" s="47"/>
      <c r="D105" s="47"/>
      <c r="E105" s="1"/>
      <c r="F105" s="1"/>
      <c r="G105" s="1"/>
      <c r="H105" s="130">
        <v>0</v>
      </c>
      <c r="I105" s="130">
        <v>0</v>
      </c>
      <c r="J105" s="130">
        <v>0</v>
      </c>
      <c r="K105" s="130">
        <v>0</v>
      </c>
      <c r="L105" s="130">
        <v>0</v>
      </c>
    </row>
    <row r="106" spans="2:12" ht="10.8" thickBot="1" x14ac:dyDescent="0.25">
      <c r="B106" s="125" t="s">
        <v>151</v>
      </c>
      <c r="C106" s="125"/>
      <c r="D106" s="125"/>
      <c r="E106" s="126">
        <f>E161</f>
        <v>14439.1</v>
      </c>
      <c r="F106" s="127">
        <f>SUM(F103:F105)</f>
        <v>-13716.888376016539</v>
      </c>
      <c r="G106" s="127">
        <f t="shared" ref="G106:L106" si="94">SUM(G103:G105)</f>
        <v>-43061.434030610617</v>
      </c>
      <c r="H106" s="127">
        <f t="shared" si="94"/>
        <v>-72727.233722996883</v>
      </c>
      <c r="I106" s="127">
        <f t="shared" si="94"/>
        <v>-102725.56033120787</v>
      </c>
      <c r="J106" s="127">
        <f t="shared" si="94"/>
        <v>-133058.13834735958</v>
      </c>
      <c r="K106" s="127">
        <f t="shared" si="94"/>
        <v>-163736.73939703003</v>
      </c>
      <c r="L106" s="127">
        <f t="shared" si="94"/>
        <v>-194769.43927167542</v>
      </c>
    </row>
    <row r="107" spans="2:12" x14ac:dyDescent="0.2">
      <c r="B107" s="47"/>
      <c r="C107" s="47"/>
      <c r="D107" s="47"/>
      <c r="E107" s="1"/>
      <c r="F107" s="1"/>
      <c r="G107" s="1"/>
    </row>
    <row r="108" spans="2:12" x14ac:dyDescent="0.2">
      <c r="B108" s="47"/>
      <c r="C108" s="47"/>
      <c r="D108" s="47"/>
      <c r="E108" s="1"/>
      <c r="F108" s="1"/>
      <c r="G108" s="1"/>
    </row>
    <row r="109" spans="2:12" x14ac:dyDescent="0.2">
      <c r="B109" s="47"/>
      <c r="C109" s="47"/>
      <c r="D109" s="47"/>
      <c r="E109" s="1"/>
      <c r="F109" s="1"/>
      <c r="G109" s="1"/>
    </row>
    <row r="110" spans="2:12" x14ac:dyDescent="0.2">
      <c r="B110" s="47"/>
      <c r="C110" s="47"/>
      <c r="D110" s="47"/>
      <c r="E110" s="1"/>
      <c r="F110" s="1"/>
      <c r="G110" s="1"/>
    </row>
    <row r="111" spans="2:12" x14ac:dyDescent="0.2">
      <c r="B111" s="48" t="s">
        <v>3</v>
      </c>
      <c r="C111" s="48"/>
      <c r="D111" s="48"/>
      <c r="E111" s="36">
        <f>E$7</f>
        <v>2020</v>
      </c>
      <c r="F111" s="36">
        <f t="shared" ref="F111:L111" si="95">F$7</f>
        <v>2021</v>
      </c>
      <c r="G111" s="36">
        <f t="shared" si="95"/>
        <v>2022</v>
      </c>
      <c r="H111" s="36">
        <f t="shared" si="95"/>
        <v>2023</v>
      </c>
      <c r="I111" s="36">
        <f t="shared" si="95"/>
        <v>2024</v>
      </c>
      <c r="J111" s="36">
        <f t="shared" si="95"/>
        <v>2025</v>
      </c>
      <c r="K111" s="36">
        <f t="shared" si="95"/>
        <v>2026</v>
      </c>
      <c r="L111" s="36">
        <f t="shared" si="95"/>
        <v>2027</v>
      </c>
    </row>
    <row r="112" spans="2:12" x14ac:dyDescent="0.2">
      <c r="B112" s="47"/>
      <c r="C112" s="47"/>
      <c r="D112" s="47"/>
      <c r="E112" s="1"/>
      <c r="F112" s="1"/>
      <c r="G112" s="1"/>
    </row>
    <row r="113" spans="2:12" x14ac:dyDescent="0.2">
      <c r="B113" s="49" t="s">
        <v>4</v>
      </c>
      <c r="C113" s="49"/>
      <c r="D113" s="49"/>
      <c r="E113" s="8">
        <v>0</v>
      </c>
      <c r="F113" s="8">
        <v>0</v>
      </c>
      <c r="G113" s="8">
        <v>0</v>
      </c>
    </row>
    <row r="114" spans="2:12" x14ac:dyDescent="0.2">
      <c r="B114" s="50" t="s">
        <v>5</v>
      </c>
      <c r="C114" s="50"/>
      <c r="D114" s="50"/>
      <c r="E114" s="10">
        <v>0</v>
      </c>
      <c r="F114" s="10">
        <v>0</v>
      </c>
      <c r="G114" s="10">
        <v>0</v>
      </c>
    </row>
    <row r="115" spans="2:12" x14ac:dyDescent="0.2">
      <c r="B115" s="51" t="s">
        <v>6</v>
      </c>
      <c r="C115" s="51"/>
      <c r="D115" s="51"/>
      <c r="E115" s="22">
        <f>E113-E114</f>
        <v>0</v>
      </c>
      <c r="F115" s="22">
        <f t="shared" ref="F115:L115" si="96">F113-F114</f>
        <v>0</v>
      </c>
      <c r="G115" s="22">
        <f t="shared" si="96"/>
        <v>0</v>
      </c>
      <c r="H115" s="22">
        <f t="shared" si="96"/>
        <v>0</v>
      </c>
      <c r="I115" s="22">
        <f t="shared" si="96"/>
        <v>0</v>
      </c>
      <c r="J115" s="22">
        <f t="shared" si="96"/>
        <v>0</v>
      </c>
      <c r="K115" s="22">
        <f t="shared" si="96"/>
        <v>0</v>
      </c>
      <c r="L115" s="22">
        <f t="shared" si="96"/>
        <v>0</v>
      </c>
    </row>
    <row r="116" spans="2:12" x14ac:dyDescent="0.2">
      <c r="B116" s="52"/>
      <c r="C116" s="52"/>
      <c r="D116" s="52"/>
      <c r="E116" s="14"/>
      <c r="F116" s="14"/>
      <c r="G116" s="14"/>
    </row>
    <row r="117" spans="2:12" x14ac:dyDescent="0.2">
      <c r="B117" s="52" t="s">
        <v>7</v>
      </c>
      <c r="C117" s="52"/>
      <c r="D117" s="52"/>
      <c r="E117" s="15"/>
      <c r="F117" s="15"/>
      <c r="G117" s="15"/>
    </row>
    <row r="118" spans="2:12" x14ac:dyDescent="0.2">
      <c r="B118" s="49" t="s">
        <v>8</v>
      </c>
      <c r="C118" s="49"/>
      <c r="D118" s="49"/>
      <c r="E118" s="17">
        <v>13474.56</v>
      </c>
      <c r="F118" s="17">
        <v>14098.175999999999</v>
      </c>
      <c r="G118" s="17">
        <v>15422.738796799998</v>
      </c>
      <c r="H118" s="83">
        <f t="shared" ref="H118:H127" si="97">H16*H$128</f>
        <v>16269.056218240001</v>
      </c>
      <c r="I118" s="83">
        <f t="shared" ref="I118:L118" si="98">I16*I$128</f>
        <v>17045.670593168001</v>
      </c>
      <c r="J118" s="83">
        <f t="shared" si="98"/>
        <v>17896.112201027201</v>
      </c>
      <c r="K118" s="83">
        <f t="shared" si="98"/>
        <v>18805.745281562125</v>
      </c>
      <c r="L118" s="83">
        <f t="shared" si="98"/>
        <v>19736.330222562941</v>
      </c>
    </row>
    <row r="119" spans="2:12" x14ac:dyDescent="0.2">
      <c r="B119" s="49" t="s">
        <v>9</v>
      </c>
      <c r="C119" s="49"/>
      <c r="D119" s="49"/>
      <c r="E119" s="17">
        <v>723.84</v>
      </c>
      <c r="F119" s="17">
        <v>806.72896000000003</v>
      </c>
      <c r="G119" s="17">
        <v>923.6459167999999</v>
      </c>
      <c r="H119" s="83">
        <f t="shared" si="97"/>
        <v>926.22353331199997</v>
      </c>
      <c r="I119" s="83">
        <f t="shared" ref="I119:L127" si="99">I17*I$128</f>
        <v>988.84887448480015</v>
      </c>
      <c r="J119" s="83">
        <f t="shared" si="99"/>
        <v>1042.8961227070401</v>
      </c>
      <c r="K119" s="83">
        <f t="shared" si="99"/>
        <v>1085.8221102373961</v>
      </c>
      <c r="L119" s="83">
        <f t="shared" si="99"/>
        <v>1144.8741231197482</v>
      </c>
    </row>
    <row r="120" spans="2:12" x14ac:dyDescent="0.2">
      <c r="B120" s="49" t="s">
        <v>10</v>
      </c>
      <c r="C120" s="49"/>
      <c r="D120" s="49"/>
      <c r="E120" s="17">
        <v>2895.36</v>
      </c>
      <c r="F120" s="17">
        <v>3172.0895999999998</v>
      </c>
      <c r="G120" s="17">
        <v>3415.3418783999996</v>
      </c>
      <c r="H120" s="83">
        <f t="shared" si="97"/>
        <v>3586.1089723199998</v>
      </c>
      <c r="I120" s="83">
        <f t="shared" si="99"/>
        <v>3789.0962726400003</v>
      </c>
      <c r="J120" s="83">
        <f t="shared" si="99"/>
        <v>3961.9737900792002</v>
      </c>
      <c r="K120" s="83">
        <f t="shared" si="99"/>
        <v>4162.9735064169008</v>
      </c>
      <c r="L120" s="83">
        <f t="shared" si="99"/>
        <v>4375.1836193049821</v>
      </c>
    </row>
    <row r="121" spans="2:12" x14ac:dyDescent="0.2">
      <c r="B121" s="49" t="s">
        <v>11</v>
      </c>
      <c r="C121" s="49"/>
      <c r="D121" s="49"/>
      <c r="E121" s="17">
        <v>241.28</v>
      </c>
      <c r="F121" s="17">
        <v>293.71199999999999</v>
      </c>
      <c r="G121" s="17">
        <v>236.28151359999995</v>
      </c>
      <c r="H121" s="83">
        <f t="shared" si="97"/>
        <v>293.20387824000005</v>
      </c>
      <c r="I121" s="83">
        <f t="shared" si="99"/>
        <v>307.86407215200006</v>
      </c>
      <c r="J121" s="83">
        <f t="shared" si="99"/>
        <v>306.67997956680006</v>
      </c>
      <c r="K121" s="83">
        <f t="shared" si="99"/>
        <v>333.61808588010012</v>
      </c>
      <c r="L121" s="83">
        <f t="shared" si="99"/>
        <v>348.26827139048714</v>
      </c>
    </row>
    <row r="122" spans="2:12" x14ac:dyDescent="0.2">
      <c r="B122" s="49" t="s">
        <v>12</v>
      </c>
      <c r="C122" s="49"/>
      <c r="D122" s="49"/>
      <c r="E122" s="17">
        <v>501.12</v>
      </c>
      <c r="F122" s="17">
        <v>567.84320000000002</v>
      </c>
      <c r="G122" s="17">
        <v>515.52330239999992</v>
      </c>
      <c r="H122" s="83">
        <f t="shared" si="97"/>
        <v>601.44385280000006</v>
      </c>
      <c r="I122" s="83">
        <f t="shared" si="99"/>
        <v>628.88472858400019</v>
      </c>
      <c r="J122" s="83">
        <f t="shared" si="99"/>
        <v>640.06782522200012</v>
      </c>
      <c r="K122" s="83">
        <f t="shared" si="99"/>
        <v>687.22102328152016</v>
      </c>
      <c r="L122" s="83">
        <f t="shared" si="99"/>
        <v>718.42317855996816</v>
      </c>
    </row>
    <row r="123" spans="2:12" x14ac:dyDescent="0.2">
      <c r="B123" s="49" t="s">
        <v>13</v>
      </c>
      <c r="C123" s="49"/>
      <c r="D123" s="49"/>
      <c r="E123" s="17">
        <v>92.8</v>
      </c>
      <c r="F123" s="17">
        <v>117.48479999999999</v>
      </c>
      <c r="G123" s="17">
        <v>85.920550399999996</v>
      </c>
      <c r="H123" s="83">
        <f t="shared" si="97"/>
        <v>112.7707224</v>
      </c>
      <c r="I123" s="83">
        <f t="shared" si="99"/>
        <v>118.40925852000001</v>
      </c>
      <c r="J123" s="83">
        <f t="shared" si="99"/>
        <v>116.0410733496</v>
      </c>
      <c r="K123" s="83">
        <f t="shared" si="99"/>
        <v>127.64518068456002</v>
      </c>
      <c r="L123" s="83">
        <f t="shared" si="99"/>
        <v>133.01208032697903</v>
      </c>
    </row>
    <row r="124" spans="2:12" x14ac:dyDescent="0.2">
      <c r="B124" s="49" t="s">
        <v>14</v>
      </c>
      <c r="C124" s="49"/>
      <c r="D124" s="49"/>
      <c r="E124" s="17">
        <v>129.92000000000002</v>
      </c>
      <c r="F124" s="17">
        <v>117.48479999999999</v>
      </c>
      <c r="G124" s="17">
        <v>171.84110079999999</v>
      </c>
      <c r="H124" s="83">
        <f t="shared" si="97"/>
        <v>157.87901136000002</v>
      </c>
      <c r="I124" s="83">
        <f t="shared" si="99"/>
        <v>165.77296192800003</v>
      </c>
      <c r="J124" s="83">
        <f t="shared" si="99"/>
        <v>182.35025812080002</v>
      </c>
      <c r="K124" s="83">
        <f t="shared" si="99"/>
        <v>185.66571735936006</v>
      </c>
      <c r="L124" s="83">
        <f t="shared" si="99"/>
        <v>195.96436261913706</v>
      </c>
    </row>
    <row r="125" spans="2:12" x14ac:dyDescent="0.2">
      <c r="B125" s="49" t="s">
        <v>15</v>
      </c>
      <c r="C125" s="49"/>
      <c r="D125" s="49"/>
      <c r="E125" s="17">
        <v>222.72</v>
      </c>
      <c r="F125" s="17">
        <v>215.38879999999997</v>
      </c>
      <c r="G125" s="17">
        <v>300.72192639999997</v>
      </c>
      <c r="H125" s="83">
        <f t="shared" si="97"/>
        <v>278.16778191999998</v>
      </c>
      <c r="I125" s="83">
        <f t="shared" si="99"/>
        <v>294.707487872</v>
      </c>
      <c r="J125" s="83">
        <f t="shared" si="99"/>
        <v>321.41535396040007</v>
      </c>
      <c r="K125" s="83">
        <f t="shared" si="99"/>
        <v>328.13836852748005</v>
      </c>
      <c r="L125" s="83">
        <f t="shared" si="99"/>
        <v>346.68882344767309</v>
      </c>
    </row>
    <row r="126" spans="2:12" x14ac:dyDescent="0.2">
      <c r="B126" s="49" t="s">
        <v>16</v>
      </c>
      <c r="C126" s="49"/>
      <c r="D126" s="49"/>
      <c r="E126" s="17">
        <v>74.239999999999995</v>
      </c>
      <c r="F126" s="17">
        <v>97.903999999999996</v>
      </c>
      <c r="G126" s="17">
        <v>64.44041279999999</v>
      </c>
      <c r="H126" s="83">
        <f t="shared" si="97"/>
        <v>90.216577920000006</v>
      </c>
      <c r="I126" s="83">
        <f t="shared" si="99"/>
        <v>94.727406816000013</v>
      </c>
      <c r="J126" s="83">
        <f t="shared" si="99"/>
        <v>91.17512906040001</v>
      </c>
      <c r="K126" s="83">
        <f t="shared" si="99"/>
        <v>101.53593918090002</v>
      </c>
      <c r="L126" s="83">
        <f t="shared" si="99"/>
        <v>105.59737674813603</v>
      </c>
    </row>
    <row r="127" spans="2:12" x14ac:dyDescent="0.2">
      <c r="B127" s="49" t="s">
        <v>17</v>
      </c>
      <c r="C127" s="49"/>
      <c r="D127" s="49"/>
      <c r="E127" s="17">
        <v>204.15999999999812</v>
      </c>
      <c r="F127" s="17">
        <v>93.987839999998343</v>
      </c>
      <c r="G127" s="17">
        <v>343.68220159999788</v>
      </c>
      <c r="H127" s="83">
        <f t="shared" si="97"/>
        <v>239.07393148799787</v>
      </c>
      <c r="I127" s="83">
        <f t="shared" si="99"/>
        <v>247.87004783519785</v>
      </c>
      <c r="J127" s="83">
        <f t="shared" si="99"/>
        <v>307.23255610655769</v>
      </c>
      <c r="K127" s="83">
        <f t="shared" si="99"/>
        <v>290.87629052966167</v>
      </c>
      <c r="L127" s="83">
        <f t="shared" si="99"/>
        <v>310.36152076294854</v>
      </c>
    </row>
    <row r="128" spans="2:12" x14ac:dyDescent="0.2">
      <c r="B128" s="51" t="s">
        <v>18</v>
      </c>
      <c r="C128" s="51"/>
      <c r="D128" s="51"/>
      <c r="E128" s="25">
        <f>SUM(E118:E127)</f>
        <v>18559.999999999996</v>
      </c>
      <c r="F128" s="25">
        <f t="shared" ref="F128:G128" si="100">SUM(F118:F127)</f>
        <v>19580.799999999992</v>
      </c>
      <c r="G128" s="25">
        <f t="shared" si="100"/>
        <v>21480.137599999995</v>
      </c>
      <c r="H128" s="82">
        <f>G128*(1+H13)</f>
        <v>22554.144479999995</v>
      </c>
      <c r="I128" s="82">
        <f t="shared" ref="I128:L128" si="101">H128*(1+I13)</f>
        <v>23681.851703999997</v>
      </c>
      <c r="J128" s="82">
        <f t="shared" si="101"/>
        <v>24865.944289199997</v>
      </c>
      <c r="K128" s="82">
        <f t="shared" si="101"/>
        <v>26109.24150366</v>
      </c>
      <c r="L128" s="82">
        <f t="shared" si="101"/>
        <v>27414.703578843</v>
      </c>
    </row>
    <row r="129" spans="2:14" ht="10.8" thickBot="1" x14ac:dyDescent="0.25">
      <c r="B129" s="53" t="s">
        <v>20</v>
      </c>
      <c r="C129" s="53"/>
      <c r="D129" s="53"/>
      <c r="E129" s="41">
        <f>E115-E128</f>
        <v>-18559.999999999996</v>
      </c>
      <c r="F129" s="41">
        <f t="shared" ref="F129:G129" si="102">F115-F128</f>
        <v>-19580.799999999992</v>
      </c>
      <c r="G129" s="41">
        <f t="shared" si="102"/>
        <v>-21480.137599999995</v>
      </c>
      <c r="H129" s="41">
        <f t="shared" ref="H129:L129" si="103">H115-H128</f>
        <v>-22554.144479999995</v>
      </c>
      <c r="I129" s="41">
        <f t="shared" si="103"/>
        <v>-23681.851703999997</v>
      </c>
      <c r="J129" s="41">
        <f t="shared" si="103"/>
        <v>-24865.944289199997</v>
      </c>
      <c r="K129" s="41">
        <f t="shared" si="103"/>
        <v>-26109.24150366</v>
      </c>
      <c r="L129" s="41">
        <f t="shared" si="103"/>
        <v>-27414.703578843</v>
      </c>
    </row>
    <row r="130" spans="2:14" x14ac:dyDescent="0.2">
      <c r="B130" s="54" t="s">
        <v>85</v>
      </c>
      <c r="C130" s="54"/>
      <c r="D130" s="54"/>
      <c r="E130" s="17"/>
      <c r="F130" s="17"/>
      <c r="G130" s="17"/>
    </row>
    <row r="131" spans="2:14" x14ac:dyDescent="0.2">
      <c r="B131" s="49"/>
      <c r="C131" s="49"/>
      <c r="D131" s="49"/>
      <c r="E131" s="17"/>
      <c r="F131" s="17"/>
      <c r="G131" s="17"/>
    </row>
    <row r="132" spans="2:14" x14ac:dyDescent="0.2">
      <c r="B132" s="49" t="s">
        <v>21</v>
      </c>
      <c r="C132" s="49"/>
      <c r="D132" s="49"/>
      <c r="E132" s="17">
        <v>226</v>
      </c>
      <c r="F132" s="17">
        <v>258</v>
      </c>
      <c r="G132" s="17">
        <v>271</v>
      </c>
      <c r="H132" s="83">
        <f>H28*H$128</f>
        <v>285.45429849999999</v>
      </c>
      <c r="I132" s="83">
        <f>I28*I$128</f>
        <v>303.51355947500002</v>
      </c>
      <c r="J132" s="83">
        <f>J28*J$128</f>
        <v>315.70632551500006</v>
      </c>
      <c r="K132" s="83">
        <f>K28*K$128</f>
        <v>332.18812447100004</v>
      </c>
      <c r="L132" s="83">
        <f>L28*L$128</f>
        <v>349.40621295402821</v>
      </c>
    </row>
    <row r="133" spans="2:14" x14ac:dyDescent="0.2">
      <c r="B133" s="50" t="s">
        <v>22</v>
      </c>
      <c r="C133" s="50"/>
      <c r="D133" s="50"/>
      <c r="E133" s="17">
        <v>9000</v>
      </c>
      <c r="F133" s="17">
        <v>8317.1883760165456</v>
      </c>
      <c r="G133" s="17">
        <v>7593.4080545940842</v>
      </c>
      <c r="H133" s="83">
        <f>-H41</f>
        <v>6826.200913886275</v>
      </c>
      <c r="I133" s="83">
        <f t="shared" ref="I133:L133" si="104">-I41</f>
        <v>6012.9613447359961</v>
      </c>
      <c r="J133" s="83">
        <f t="shared" si="104"/>
        <v>5150.9274014367029</v>
      </c>
      <c r="K133" s="83">
        <f t="shared" si="104"/>
        <v>4237.1714215394504</v>
      </c>
      <c r="L133" s="83">
        <f t="shared" si="104"/>
        <v>3268.5900828483623</v>
      </c>
      <c r="N133" s="70" t="s">
        <v>106</v>
      </c>
    </row>
    <row r="134" spans="2:14" x14ac:dyDescent="0.2">
      <c r="B134" s="50" t="s">
        <v>75</v>
      </c>
      <c r="C134" s="50"/>
      <c r="D134" s="50"/>
      <c r="E134" s="17">
        <v>-50000</v>
      </c>
      <c r="F134" s="17">
        <v>0</v>
      </c>
      <c r="G134" s="17">
        <v>0</v>
      </c>
      <c r="H134" s="83">
        <f>H30*H$128</f>
        <v>0</v>
      </c>
      <c r="I134" s="83">
        <f>I30*I$128</f>
        <v>0</v>
      </c>
      <c r="J134" s="83">
        <f>J30*J$128</f>
        <v>0</v>
      </c>
      <c r="K134" s="83">
        <f>K30*K$128</f>
        <v>0</v>
      </c>
      <c r="L134" s="83">
        <f>L30*L$128</f>
        <v>0</v>
      </c>
    </row>
    <row r="135" spans="2:14" x14ac:dyDescent="0.2">
      <c r="B135" s="51" t="s">
        <v>23</v>
      </c>
      <c r="C135" s="51"/>
      <c r="D135" s="51"/>
      <c r="E135" s="22">
        <f>SUM(E132:E134)</f>
        <v>-40774</v>
      </c>
      <c r="F135" s="22">
        <f t="shared" ref="F135:G135" si="105">SUM(F132:F134)</f>
        <v>8575.1883760165456</v>
      </c>
      <c r="G135" s="22">
        <f t="shared" si="105"/>
        <v>7864.4080545940842</v>
      </c>
      <c r="H135" s="22">
        <f t="shared" ref="H135:L135" si="106">SUM(H132:H134)</f>
        <v>7111.6552123862748</v>
      </c>
      <c r="I135" s="22">
        <f t="shared" si="106"/>
        <v>6316.4749042109961</v>
      </c>
      <c r="J135" s="22">
        <f t="shared" si="106"/>
        <v>5466.6337269517026</v>
      </c>
      <c r="K135" s="22">
        <f t="shared" si="106"/>
        <v>4569.3595460104507</v>
      </c>
      <c r="L135" s="22">
        <f t="shared" si="106"/>
        <v>3617.9962958023907</v>
      </c>
    </row>
    <row r="136" spans="2:14" x14ac:dyDescent="0.2">
      <c r="B136" s="55" t="s">
        <v>24</v>
      </c>
      <c r="C136" s="55"/>
      <c r="D136" s="55"/>
      <c r="E136" s="12">
        <f>E129-E135</f>
        <v>22214.000000000004</v>
      </c>
      <c r="F136" s="12">
        <f t="shared" ref="F136:G136" si="107">F129-F135</f>
        <v>-28155.988376016539</v>
      </c>
      <c r="G136" s="12">
        <f t="shared" si="107"/>
        <v>-29344.54565459408</v>
      </c>
      <c r="H136" s="12">
        <f t="shared" ref="H136:L136" si="108">H129-H135</f>
        <v>-29665.79969238627</v>
      </c>
      <c r="I136" s="12">
        <f t="shared" si="108"/>
        <v>-29998.326608210991</v>
      </c>
      <c r="J136" s="12">
        <f t="shared" si="108"/>
        <v>-30332.5780161517</v>
      </c>
      <c r="K136" s="12">
        <f t="shared" si="108"/>
        <v>-30678.601049670451</v>
      </c>
      <c r="L136" s="12">
        <f t="shared" si="108"/>
        <v>-31032.69987464539</v>
      </c>
    </row>
    <row r="137" spans="2:14" x14ac:dyDescent="0.2">
      <c r="B137" s="52"/>
      <c r="C137" s="52"/>
      <c r="D137" s="52"/>
      <c r="E137" s="15"/>
      <c r="F137" s="15"/>
      <c r="G137" s="15"/>
    </row>
    <row r="138" spans="2:14" x14ac:dyDescent="0.2">
      <c r="B138" s="50" t="s">
        <v>25</v>
      </c>
      <c r="C138" s="50"/>
      <c r="D138" s="50"/>
      <c r="E138" s="17">
        <v>7774.9</v>
      </c>
      <c r="F138" s="17">
        <v>0</v>
      </c>
      <c r="G138" s="17">
        <v>0</v>
      </c>
      <c r="H138" s="84">
        <f>IF(H136&gt;0,H136*H32,0)</f>
        <v>0</v>
      </c>
      <c r="I138" s="84">
        <f t="shared" ref="I138:L138" si="109">IF(I136&gt;0,I136*I32,0)</f>
        <v>0</v>
      </c>
      <c r="J138" s="84">
        <f t="shared" si="109"/>
        <v>0</v>
      </c>
      <c r="K138" s="84">
        <f t="shared" si="109"/>
        <v>0</v>
      </c>
      <c r="L138" s="84">
        <f t="shared" si="109"/>
        <v>0</v>
      </c>
    </row>
    <row r="139" spans="2:14" ht="10.8" thickBot="1" x14ac:dyDescent="0.25">
      <c r="B139" s="56" t="s">
        <v>26</v>
      </c>
      <c r="C139" s="56"/>
      <c r="D139" s="56"/>
      <c r="E139" s="24">
        <f>E136-E138</f>
        <v>14439.100000000004</v>
      </c>
      <c r="F139" s="24">
        <f t="shared" ref="F139:L139" si="110">F136-F138</f>
        <v>-28155.988376016539</v>
      </c>
      <c r="G139" s="24">
        <f t="shared" si="110"/>
        <v>-29344.54565459408</v>
      </c>
      <c r="H139" s="24">
        <f t="shared" si="110"/>
        <v>-29665.79969238627</v>
      </c>
      <c r="I139" s="24">
        <f t="shared" si="110"/>
        <v>-29998.326608210991</v>
      </c>
      <c r="J139" s="24">
        <f t="shared" si="110"/>
        <v>-30332.5780161517</v>
      </c>
      <c r="K139" s="24">
        <f t="shared" si="110"/>
        <v>-30678.601049670451</v>
      </c>
      <c r="L139" s="24">
        <f t="shared" si="110"/>
        <v>-31032.69987464539</v>
      </c>
    </row>
    <row r="140" spans="2:14" ht="10.8" thickTop="1" x14ac:dyDescent="0.2">
      <c r="B140" s="54" t="s">
        <v>86</v>
      </c>
      <c r="C140" s="54"/>
      <c r="D140" s="54"/>
      <c r="E140" s="4"/>
      <c r="F140" s="4"/>
      <c r="G140" s="4"/>
    </row>
    <row r="141" spans="2:14" x14ac:dyDescent="0.2">
      <c r="B141" s="57"/>
      <c r="C141" s="57"/>
      <c r="D141" s="57"/>
      <c r="E141" s="4"/>
      <c r="F141" s="4"/>
      <c r="G141" s="4"/>
    </row>
    <row r="142" spans="2:14" x14ac:dyDescent="0.2">
      <c r="B142" s="48" t="s">
        <v>27</v>
      </c>
      <c r="C142" s="48"/>
      <c r="D142" s="48"/>
      <c r="E142" s="36">
        <f>E$7</f>
        <v>2020</v>
      </c>
      <c r="F142" s="36">
        <f t="shared" ref="F142:L142" si="111">F$7</f>
        <v>2021</v>
      </c>
      <c r="G142" s="36">
        <f t="shared" si="111"/>
        <v>2022</v>
      </c>
      <c r="H142" s="36">
        <f t="shared" si="111"/>
        <v>2023</v>
      </c>
      <c r="I142" s="36">
        <f t="shared" si="111"/>
        <v>2024</v>
      </c>
      <c r="J142" s="36">
        <f t="shared" si="111"/>
        <v>2025</v>
      </c>
      <c r="K142" s="36">
        <f t="shared" si="111"/>
        <v>2026</v>
      </c>
      <c r="L142" s="36">
        <f t="shared" si="111"/>
        <v>2027</v>
      </c>
    </row>
    <row r="143" spans="2:14" x14ac:dyDescent="0.2">
      <c r="B143" s="58" t="s">
        <v>28</v>
      </c>
      <c r="C143" s="58"/>
      <c r="D143" s="58"/>
      <c r="E143" s="26"/>
      <c r="F143" s="26"/>
      <c r="G143" s="26"/>
    </row>
    <row r="144" spans="2:14" x14ac:dyDescent="0.2">
      <c r="B144" s="49" t="s">
        <v>29</v>
      </c>
      <c r="C144" s="49"/>
      <c r="D144" s="49"/>
      <c r="E144" s="17">
        <v>17790.906266942431</v>
      </c>
      <c r="F144" s="17">
        <v>-22246.727466115146</v>
      </c>
      <c r="G144" s="17">
        <v>-63545.356879172716</v>
      </c>
      <c r="H144" s="83">
        <f>H190</f>
        <v>-106274.06014273029</v>
      </c>
      <c r="I144" s="83">
        <f t="shared" ref="I144:L144" si="112">I190</f>
        <v>-150305.97866326285</v>
      </c>
      <c r="J144" s="83">
        <f t="shared" si="112"/>
        <v>-195207.62032161542</v>
      </c>
      <c r="K144" s="83">
        <f t="shared" si="112"/>
        <v>-241519.20592380501</v>
      </c>
      <c r="L144" s="83">
        <f t="shared" si="112"/>
        <v>-289080.48310517159</v>
      </c>
      <c r="N144" s="39" t="s">
        <v>45</v>
      </c>
    </row>
    <row r="145" spans="2:14" x14ac:dyDescent="0.2">
      <c r="B145" s="49" t="s">
        <v>30</v>
      </c>
      <c r="C145" s="49"/>
      <c r="D145" s="49"/>
      <c r="E145" s="17">
        <v>0</v>
      </c>
      <c r="F145" s="17">
        <v>0</v>
      </c>
      <c r="G145" s="17">
        <v>0</v>
      </c>
      <c r="H145" s="83">
        <f>H63</f>
        <v>0</v>
      </c>
      <c r="I145" s="83">
        <f t="shared" ref="I145:L145" si="113">I63</f>
        <v>0</v>
      </c>
      <c r="J145" s="83">
        <f t="shared" si="113"/>
        <v>0</v>
      </c>
      <c r="K145" s="83">
        <f t="shared" si="113"/>
        <v>0</v>
      </c>
      <c r="L145" s="83">
        <f t="shared" si="113"/>
        <v>0</v>
      </c>
      <c r="N145" s="39" t="s">
        <v>126</v>
      </c>
    </row>
    <row r="146" spans="2:14" x14ac:dyDescent="0.2">
      <c r="B146" s="49" t="s">
        <v>31</v>
      </c>
      <c r="C146" s="49"/>
      <c r="D146" s="49"/>
      <c r="E146" s="17">
        <v>51400</v>
      </c>
      <c r="F146" s="17">
        <v>51400</v>
      </c>
      <c r="G146" s="17">
        <v>51400</v>
      </c>
      <c r="H146" s="83">
        <f>G146</f>
        <v>51400</v>
      </c>
      <c r="I146" s="83">
        <f t="shared" ref="I146:L146" si="114">H146</f>
        <v>51400</v>
      </c>
      <c r="J146" s="83">
        <f t="shared" si="114"/>
        <v>51400</v>
      </c>
      <c r="K146" s="83">
        <f t="shared" si="114"/>
        <v>51400</v>
      </c>
      <c r="L146" s="83">
        <f t="shared" si="114"/>
        <v>51400</v>
      </c>
      <c r="N146" s="39" t="s">
        <v>152</v>
      </c>
    </row>
    <row r="147" spans="2:14" x14ac:dyDescent="0.2">
      <c r="B147" s="49" t="s">
        <v>32</v>
      </c>
      <c r="C147" s="49"/>
      <c r="D147" s="49"/>
      <c r="E147" s="17">
        <v>0</v>
      </c>
      <c r="F147" s="17">
        <v>0</v>
      </c>
      <c r="G147" s="17">
        <v>0</v>
      </c>
      <c r="H147" s="83">
        <f>H71</f>
        <v>0</v>
      </c>
      <c r="I147" s="83">
        <f t="shared" ref="I147:L147" si="115">I71</f>
        <v>0</v>
      </c>
      <c r="J147" s="83">
        <f t="shared" si="115"/>
        <v>0</v>
      </c>
      <c r="K147" s="83">
        <f t="shared" si="115"/>
        <v>0</v>
      </c>
      <c r="L147" s="83">
        <f t="shared" si="115"/>
        <v>0</v>
      </c>
      <c r="N147" s="39" t="s">
        <v>126</v>
      </c>
    </row>
    <row r="148" spans="2:14" x14ac:dyDescent="0.2">
      <c r="B148" s="49" t="s">
        <v>33</v>
      </c>
      <c r="C148" s="49"/>
      <c r="D148" s="49"/>
      <c r="E148" s="17">
        <v>1520</v>
      </c>
      <c r="F148" s="17">
        <v>1798</v>
      </c>
      <c r="G148" s="17">
        <v>1820</v>
      </c>
      <c r="H148" s="83">
        <f>H89</f>
        <v>1820</v>
      </c>
      <c r="I148" s="83">
        <f t="shared" ref="I148:L148" si="116">I89</f>
        <v>1820</v>
      </c>
      <c r="J148" s="83">
        <f t="shared" si="116"/>
        <v>1820</v>
      </c>
      <c r="K148" s="83">
        <f t="shared" si="116"/>
        <v>1820</v>
      </c>
      <c r="L148" s="83">
        <f t="shared" si="116"/>
        <v>1820</v>
      </c>
      <c r="N148" s="39" t="s">
        <v>153</v>
      </c>
    </row>
    <row r="149" spans="2:14" x14ac:dyDescent="0.2">
      <c r="B149" s="49" t="s">
        <v>76</v>
      </c>
      <c r="C149" s="49"/>
      <c r="D149" s="49"/>
      <c r="E149" s="17">
        <v>125700</v>
      </c>
      <c r="F149" s="17">
        <v>125700</v>
      </c>
      <c r="G149" s="17">
        <v>125700</v>
      </c>
      <c r="H149" s="83">
        <f>H95</f>
        <v>125700</v>
      </c>
      <c r="I149" s="83">
        <f t="shared" ref="I149:L149" si="117">I95</f>
        <v>125700</v>
      </c>
      <c r="J149" s="83">
        <f t="shared" si="117"/>
        <v>125700</v>
      </c>
      <c r="K149" s="83">
        <f t="shared" si="117"/>
        <v>125700</v>
      </c>
      <c r="L149" s="83">
        <f t="shared" si="117"/>
        <v>125700</v>
      </c>
      <c r="N149" s="39" t="s">
        <v>154</v>
      </c>
    </row>
    <row r="150" spans="2:14" x14ac:dyDescent="0.2">
      <c r="B150" s="49" t="s">
        <v>77</v>
      </c>
      <c r="C150" s="49"/>
      <c r="D150" s="49"/>
      <c r="E150" s="17">
        <v>15000</v>
      </c>
      <c r="F150" s="17">
        <v>15000</v>
      </c>
      <c r="G150" s="17">
        <v>15000</v>
      </c>
      <c r="H150" s="83">
        <f>G150</f>
        <v>15000</v>
      </c>
      <c r="I150" s="83">
        <f t="shared" ref="I150:L150" si="118">H150</f>
        <v>15000</v>
      </c>
      <c r="J150" s="83">
        <f t="shared" si="118"/>
        <v>15000</v>
      </c>
      <c r="K150" s="83">
        <f t="shared" si="118"/>
        <v>15000</v>
      </c>
      <c r="L150" s="83">
        <f t="shared" si="118"/>
        <v>15000</v>
      </c>
      <c r="N150" s="39" t="s">
        <v>152</v>
      </c>
    </row>
    <row r="151" spans="2:14" ht="10.8" thickBot="1" x14ac:dyDescent="0.25">
      <c r="B151" s="56" t="s">
        <v>34</v>
      </c>
      <c r="C151" s="56"/>
      <c r="D151" s="56"/>
      <c r="E151" s="24">
        <f>SUM(E144:E150)</f>
        <v>211410.90626694245</v>
      </c>
      <c r="F151" s="24">
        <f t="shared" ref="F151:L151" si="119">SUM(F144:F150)</f>
        <v>171651.27253388485</v>
      </c>
      <c r="G151" s="24">
        <f t="shared" si="119"/>
        <v>130374.64312082728</v>
      </c>
      <c r="H151" s="24">
        <f t="shared" si="119"/>
        <v>87645.93985726971</v>
      </c>
      <c r="I151" s="24">
        <f t="shared" si="119"/>
        <v>43614.021336737147</v>
      </c>
      <c r="J151" s="24">
        <f t="shared" si="119"/>
        <v>-1287.6203216154245</v>
      </c>
      <c r="K151" s="24">
        <f t="shared" si="119"/>
        <v>-47599.205923805013</v>
      </c>
      <c r="L151" s="24">
        <f t="shared" si="119"/>
        <v>-95160.483105171588</v>
      </c>
    </row>
    <row r="152" spans="2:14" ht="10.8" thickTop="1" x14ac:dyDescent="0.2">
      <c r="B152" s="52"/>
      <c r="C152" s="52"/>
      <c r="D152" s="52"/>
      <c r="E152" s="15"/>
      <c r="F152" s="15"/>
      <c r="G152" s="15"/>
    </row>
    <row r="153" spans="2:14" x14ac:dyDescent="0.2">
      <c r="B153" s="58" t="s">
        <v>35</v>
      </c>
      <c r="C153" s="58"/>
      <c r="D153" s="58"/>
      <c r="E153" s="26"/>
      <c r="F153" s="26"/>
      <c r="G153" s="26"/>
    </row>
    <row r="154" spans="2:14" x14ac:dyDescent="0.2">
      <c r="B154" s="49" t="s">
        <v>36</v>
      </c>
      <c r="C154" s="49"/>
      <c r="D154" s="49"/>
      <c r="E154" s="17">
        <v>8352</v>
      </c>
      <c r="F154" s="17">
        <v>8811.36</v>
      </c>
      <c r="G154" s="17">
        <v>9666.0619200000001</v>
      </c>
      <c r="H154" s="83">
        <f>H79</f>
        <v>10157.151168</v>
      </c>
      <c r="I154" s="83">
        <f t="shared" ref="I154:L154" si="120">I79</f>
        <v>10490.791644000004</v>
      </c>
      <c r="J154" s="83">
        <f t="shared" si="120"/>
        <v>11150.99433342</v>
      </c>
      <c r="K154" s="83">
        <f t="shared" si="120"/>
        <v>11661.032092419005</v>
      </c>
      <c r="L154" s="83">
        <f t="shared" si="120"/>
        <v>12244.058435907005</v>
      </c>
      <c r="N154" s="39" t="s">
        <v>126</v>
      </c>
    </row>
    <row r="155" spans="2:14" x14ac:dyDescent="0.2">
      <c r="B155" s="49" t="s">
        <v>37</v>
      </c>
      <c r="C155" s="49"/>
      <c r="D155" s="49"/>
      <c r="E155" s="17">
        <v>0</v>
      </c>
      <c r="F155" s="17">
        <v>0</v>
      </c>
      <c r="G155" s="17">
        <v>0</v>
      </c>
      <c r="H155" s="83">
        <f>G155</f>
        <v>0</v>
      </c>
      <c r="I155" s="83">
        <f t="shared" ref="I155:L155" si="121">H155</f>
        <v>0</v>
      </c>
      <c r="J155" s="83">
        <f t="shared" si="121"/>
        <v>0</v>
      </c>
      <c r="K155" s="83">
        <f t="shared" si="121"/>
        <v>0</v>
      </c>
      <c r="L155" s="83">
        <f t="shared" si="121"/>
        <v>0</v>
      </c>
      <c r="N155" s="39" t="s">
        <v>152</v>
      </c>
    </row>
    <row r="156" spans="2:14" x14ac:dyDescent="0.2">
      <c r="B156" s="49" t="s">
        <v>38</v>
      </c>
      <c r="C156" s="49"/>
      <c r="D156" s="49"/>
      <c r="E156" s="17">
        <v>138619.80626694241</v>
      </c>
      <c r="F156" s="17">
        <v>126556.80090990139</v>
      </c>
      <c r="G156" s="17">
        <v>113770.01523143789</v>
      </c>
      <c r="H156" s="83">
        <f>H39</f>
        <v>100216.0224122666</v>
      </c>
      <c r="I156" s="83">
        <f t="shared" ref="I156:L156" si="122">I39</f>
        <v>85848.79002394501</v>
      </c>
      <c r="J156" s="83">
        <f t="shared" si="122"/>
        <v>70619.523692324132</v>
      </c>
      <c r="K156" s="83">
        <f t="shared" si="122"/>
        <v>54476.501380806003</v>
      </c>
      <c r="L156" s="83">
        <f t="shared" si="122"/>
        <v>37364.897730596786</v>
      </c>
      <c r="N156" s="39" t="s">
        <v>106</v>
      </c>
    </row>
    <row r="157" spans="2:14" x14ac:dyDescent="0.2">
      <c r="B157" s="44" t="s">
        <v>87</v>
      </c>
      <c r="C157" s="44"/>
      <c r="D157" s="44"/>
      <c r="E157" s="17">
        <v>0</v>
      </c>
      <c r="F157" s="17">
        <v>0</v>
      </c>
      <c r="G157" s="17">
        <v>0</v>
      </c>
      <c r="H157" s="83">
        <f>G157</f>
        <v>0</v>
      </c>
      <c r="I157" s="83">
        <f t="shared" ref="I157:L157" si="123">H157</f>
        <v>0</v>
      </c>
      <c r="J157" s="83">
        <f t="shared" si="123"/>
        <v>0</v>
      </c>
      <c r="K157" s="83">
        <f t="shared" si="123"/>
        <v>0</v>
      </c>
      <c r="L157" s="83">
        <f t="shared" si="123"/>
        <v>0</v>
      </c>
      <c r="N157" s="39" t="s">
        <v>152</v>
      </c>
    </row>
    <row r="158" spans="2:14" x14ac:dyDescent="0.2">
      <c r="B158" s="55" t="s">
        <v>39</v>
      </c>
      <c r="C158" s="55"/>
      <c r="D158" s="55"/>
      <c r="E158" s="12">
        <f>SUM(E154:E157)</f>
        <v>146971.80626694241</v>
      </c>
      <c r="F158" s="12">
        <f t="shared" ref="F158:L158" si="124">SUM(F154:F157)</f>
        <v>135368.16090990137</v>
      </c>
      <c r="G158" s="12">
        <f t="shared" si="124"/>
        <v>123436.0771514379</v>
      </c>
      <c r="H158" s="12">
        <f t="shared" si="124"/>
        <v>110373.17358026659</v>
      </c>
      <c r="I158" s="12">
        <f t="shared" si="124"/>
        <v>96339.581667945022</v>
      </c>
      <c r="J158" s="12">
        <f t="shared" si="124"/>
        <v>81770.518025744124</v>
      </c>
      <c r="K158" s="12">
        <f t="shared" si="124"/>
        <v>66137.533473225005</v>
      </c>
      <c r="L158" s="12">
        <f t="shared" si="124"/>
        <v>49608.956166503791</v>
      </c>
    </row>
    <row r="159" spans="2:14" x14ac:dyDescent="0.2">
      <c r="B159" s="58" t="s">
        <v>40</v>
      </c>
      <c r="C159" s="58"/>
      <c r="D159" s="58"/>
      <c r="E159" s="26"/>
      <c r="F159" s="26"/>
      <c r="G159" s="26"/>
    </row>
    <row r="160" spans="2:14" x14ac:dyDescent="0.2">
      <c r="B160" s="49" t="s">
        <v>41</v>
      </c>
      <c r="C160" s="49"/>
      <c r="D160" s="49"/>
      <c r="E160" s="17">
        <v>50000</v>
      </c>
      <c r="F160" s="17">
        <v>50000</v>
      </c>
      <c r="G160" s="17">
        <v>50000</v>
      </c>
      <c r="H160" s="83">
        <f>H101</f>
        <v>50000</v>
      </c>
      <c r="I160" s="83">
        <f t="shared" ref="I160:L160" si="125">I101</f>
        <v>50000</v>
      </c>
      <c r="J160" s="83">
        <f t="shared" si="125"/>
        <v>50000</v>
      </c>
      <c r="K160" s="83">
        <f t="shared" si="125"/>
        <v>50000</v>
      </c>
      <c r="L160" s="83">
        <f t="shared" si="125"/>
        <v>50000</v>
      </c>
      <c r="N160" s="39" t="s">
        <v>144</v>
      </c>
    </row>
    <row r="161" spans="2:14" x14ac:dyDescent="0.2">
      <c r="B161" s="49" t="s">
        <v>42</v>
      </c>
      <c r="C161" s="49"/>
      <c r="D161" s="49"/>
      <c r="E161" s="17">
        <v>14439.1</v>
      </c>
      <c r="F161" s="17">
        <v>-13716.888376016546</v>
      </c>
      <c r="G161" s="17">
        <v>-43061.434030610631</v>
      </c>
      <c r="H161" s="83">
        <f>H106</f>
        <v>-72727.233722996883</v>
      </c>
      <c r="I161" s="83">
        <f t="shared" ref="I161:L161" si="126">I106</f>
        <v>-102725.56033120787</v>
      </c>
      <c r="J161" s="83">
        <f t="shared" si="126"/>
        <v>-133058.13834735958</v>
      </c>
      <c r="K161" s="83">
        <f t="shared" si="126"/>
        <v>-163736.73939703003</v>
      </c>
      <c r="L161" s="83">
        <f t="shared" si="126"/>
        <v>-194769.43927167542</v>
      </c>
      <c r="N161" s="39" t="s">
        <v>144</v>
      </c>
    </row>
    <row r="162" spans="2:14" x14ac:dyDescent="0.2">
      <c r="B162" s="51" t="s">
        <v>40</v>
      </c>
      <c r="C162" s="51"/>
      <c r="D162" s="51"/>
      <c r="E162" s="22">
        <f>SUM(E160:E161)</f>
        <v>64439.1</v>
      </c>
      <c r="F162" s="22">
        <f t="shared" ref="F162:G162" si="127">SUM(F160:F161)</f>
        <v>36283.111623983452</v>
      </c>
      <c r="G162" s="22">
        <f t="shared" si="127"/>
        <v>6938.5659693893685</v>
      </c>
      <c r="H162" s="22">
        <f t="shared" ref="H162:L162" si="128">SUM(H160:H161)</f>
        <v>-22727.233722996883</v>
      </c>
      <c r="I162" s="22">
        <f t="shared" si="128"/>
        <v>-52725.560331207875</v>
      </c>
      <c r="J162" s="22">
        <f t="shared" si="128"/>
        <v>-83058.138347359578</v>
      </c>
      <c r="K162" s="22">
        <f t="shared" si="128"/>
        <v>-113736.73939703003</v>
      </c>
      <c r="L162" s="22">
        <f t="shared" si="128"/>
        <v>-144769.43927167542</v>
      </c>
    </row>
    <row r="163" spans="2:14" ht="10.8" thickBot="1" x14ac:dyDescent="0.25">
      <c r="B163" s="56" t="s">
        <v>43</v>
      </c>
      <c r="C163" s="56"/>
      <c r="D163" s="56"/>
      <c r="E163" s="24">
        <f>E158+E162</f>
        <v>211410.90626694242</v>
      </c>
      <c r="F163" s="24">
        <f t="shared" ref="F163:G163" si="129">F158+F162</f>
        <v>171651.27253388482</v>
      </c>
      <c r="G163" s="24">
        <f t="shared" si="129"/>
        <v>130374.64312082727</v>
      </c>
      <c r="H163" s="24">
        <f t="shared" ref="H163:L163" si="130">H158+H162</f>
        <v>87645.93985726971</v>
      </c>
      <c r="I163" s="24">
        <f t="shared" si="130"/>
        <v>43614.021336737147</v>
      </c>
      <c r="J163" s="24">
        <f t="shared" si="130"/>
        <v>-1287.6203216154536</v>
      </c>
      <c r="K163" s="24">
        <f t="shared" si="130"/>
        <v>-47599.205923805028</v>
      </c>
      <c r="L163" s="24">
        <f t="shared" si="130"/>
        <v>-95160.483105171632</v>
      </c>
    </row>
    <row r="164" spans="2:14" ht="10.8" thickTop="1" x14ac:dyDescent="0.2">
      <c r="B164" s="49"/>
      <c r="C164" s="49"/>
      <c r="D164" s="49"/>
      <c r="E164" s="26"/>
      <c r="F164" s="26"/>
      <c r="G164" s="26"/>
      <c r="H164" s="26"/>
      <c r="I164" s="26"/>
      <c r="J164" s="26"/>
      <c r="K164" s="26"/>
      <c r="L164" s="26"/>
    </row>
    <row r="165" spans="2:14" x14ac:dyDescent="0.2">
      <c r="B165" s="59" t="s">
        <v>44</v>
      </c>
      <c r="C165" s="59"/>
      <c r="D165" s="59"/>
      <c r="E165" s="5">
        <f>E163-E151</f>
        <v>0</v>
      </c>
      <c r="F165" s="5">
        <f>F163-F151</f>
        <v>0</v>
      </c>
      <c r="G165" s="5">
        <f>G163-G151</f>
        <v>0</v>
      </c>
      <c r="H165" s="5">
        <f t="shared" ref="H165:L165" si="131">H163-H151</f>
        <v>0</v>
      </c>
      <c r="I165" s="5">
        <f t="shared" si="131"/>
        <v>0</v>
      </c>
      <c r="J165" s="5">
        <f t="shared" si="131"/>
        <v>-2.9103830456733704E-11</v>
      </c>
      <c r="K165" s="5">
        <f t="shared" si="131"/>
        <v>0</v>
      </c>
      <c r="L165" s="5">
        <f t="shared" si="131"/>
        <v>0</v>
      </c>
    </row>
    <row r="166" spans="2:14" x14ac:dyDescent="0.2">
      <c r="B166" s="59"/>
      <c r="C166" s="59"/>
      <c r="D166" s="59"/>
      <c r="E166" s="5"/>
      <c r="F166" s="5"/>
      <c r="G166" s="5"/>
    </row>
    <row r="167" spans="2:14" x14ac:dyDescent="0.2">
      <c r="B167" s="59"/>
      <c r="C167" s="59"/>
      <c r="D167" s="59"/>
      <c r="E167" s="5"/>
      <c r="F167" s="5"/>
      <c r="G167" s="5"/>
    </row>
    <row r="168" spans="2:14" x14ac:dyDescent="0.2">
      <c r="B168" s="60" t="s">
        <v>45</v>
      </c>
      <c r="C168" s="60"/>
      <c r="D168" s="60"/>
      <c r="E168" s="36">
        <f>E$7</f>
        <v>2020</v>
      </c>
      <c r="F168" s="36">
        <f t="shared" ref="F168:L168" si="132">F$7</f>
        <v>2021</v>
      </c>
      <c r="G168" s="36">
        <f t="shared" si="132"/>
        <v>2022</v>
      </c>
      <c r="H168" s="36">
        <f t="shared" si="132"/>
        <v>2023</v>
      </c>
      <c r="I168" s="36">
        <f t="shared" si="132"/>
        <v>2024</v>
      </c>
      <c r="J168" s="36">
        <f t="shared" si="132"/>
        <v>2025</v>
      </c>
      <c r="K168" s="36">
        <f t="shared" si="132"/>
        <v>2026</v>
      </c>
      <c r="L168" s="36">
        <f t="shared" si="132"/>
        <v>2027</v>
      </c>
    </row>
    <row r="169" spans="2:14" x14ac:dyDescent="0.2">
      <c r="B169" s="58" t="s">
        <v>46</v>
      </c>
      <c r="C169" s="58"/>
      <c r="D169" s="58"/>
      <c r="E169" s="26"/>
      <c r="F169" s="26"/>
      <c r="G169" s="26"/>
    </row>
    <row r="170" spans="2:14" x14ac:dyDescent="0.2">
      <c r="B170" s="49" t="s">
        <v>26</v>
      </c>
      <c r="C170" s="49"/>
      <c r="D170" s="49"/>
      <c r="E170" s="17">
        <v>14439.1</v>
      </c>
      <c r="F170" s="17">
        <v>-28155.988376016547</v>
      </c>
      <c r="G170" s="17">
        <v>-29344.545654594083</v>
      </c>
      <c r="H170" s="83">
        <f>H139</f>
        <v>-29665.79969238627</v>
      </c>
      <c r="I170" s="83">
        <f t="shared" ref="I170:L170" si="133">I139</f>
        <v>-29998.326608210991</v>
      </c>
      <c r="J170" s="83">
        <f t="shared" si="133"/>
        <v>-30332.5780161517</v>
      </c>
      <c r="K170" s="83">
        <f t="shared" si="133"/>
        <v>-30678.601049670451</v>
      </c>
      <c r="L170" s="83">
        <f t="shared" si="133"/>
        <v>-31032.69987464539</v>
      </c>
    </row>
    <row r="171" spans="2:14" x14ac:dyDescent="0.2">
      <c r="B171" s="49" t="s">
        <v>47</v>
      </c>
      <c r="C171" s="49"/>
      <c r="D171" s="49"/>
      <c r="E171" s="17">
        <v>226</v>
      </c>
      <c r="F171" s="17">
        <v>258</v>
      </c>
      <c r="G171" s="17">
        <v>271</v>
      </c>
      <c r="H171" s="83">
        <f>H132</f>
        <v>285.45429849999999</v>
      </c>
      <c r="I171" s="83">
        <f t="shared" ref="I171:L171" si="134">I132</f>
        <v>303.51355947500002</v>
      </c>
      <c r="J171" s="83">
        <f t="shared" si="134"/>
        <v>315.70632551500006</v>
      </c>
      <c r="K171" s="83">
        <f t="shared" si="134"/>
        <v>332.18812447100004</v>
      </c>
      <c r="L171" s="83">
        <f t="shared" si="134"/>
        <v>349.40621295402821</v>
      </c>
    </row>
    <row r="172" spans="2:14" x14ac:dyDescent="0.2">
      <c r="B172" s="49" t="s">
        <v>48</v>
      </c>
      <c r="C172" s="49"/>
      <c r="D172" s="49"/>
      <c r="E172" s="17">
        <v>9000</v>
      </c>
      <c r="F172" s="17">
        <v>8317.1883760165456</v>
      </c>
      <c r="G172" s="17">
        <v>7593.4080545940842</v>
      </c>
      <c r="H172" s="83">
        <f>H133</f>
        <v>6826.200913886275</v>
      </c>
      <c r="I172" s="83">
        <f t="shared" ref="I172:L172" si="135">I133</f>
        <v>6012.9613447359961</v>
      </c>
      <c r="J172" s="83">
        <f t="shared" si="135"/>
        <v>5150.9274014367029</v>
      </c>
      <c r="K172" s="83">
        <f t="shared" si="135"/>
        <v>4237.1714215394504</v>
      </c>
      <c r="L172" s="83">
        <f t="shared" si="135"/>
        <v>3268.5900828483623</v>
      </c>
    </row>
    <row r="173" spans="2:14" x14ac:dyDescent="0.2">
      <c r="B173" s="49" t="s">
        <v>49</v>
      </c>
      <c r="C173" s="49"/>
      <c r="D173" s="49"/>
      <c r="E173" s="17">
        <v>43048</v>
      </c>
      <c r="F173" s="17">
        <v>-459.36000000000058</v>
      </c>
      <c r="G173" s="17">
        <v>-854.70191999999952</v>
      </c>
      <c r="H173" s="83">
        <f>H82</f>
        <v>-491.08924800000023</v>
      </c>
      <c r="I173" s="83">
        <f t="shared" ref="I173:L173" si="136">I82</f>
        <v>-333.64047600000413</v>
      </c>
      <c r="J173" s="83">
        <f t="shared" si="136"/>
        <v>-660.20268941999529</v>
      </c>
      <c r="K173" s="83">
        <f t="shared" si="136"/>
        <v>-510.03775899900575</v>
      </c>
      <c r="L173" s="83">
        <f t="shared" si="136"/>
        <v>-583.02634348799984</v>
      </c>
    </row>
    <row r="174" spans="2:14" x14ac:dyDescent="0.2">
      <c r="B174" s="51" t="s">
        <v>50</v>
      </c>
      <c r="C174" s="51"/>
      <c r="D174" s="51"/>
      <c r="E174" s="22">
        <f>E170+E171+E172-E173</f>
        <v>-19382.900000000001</v>
      </c>
      <c r="F174" s="22">
        <f t="shared" ref="F174:L174" si="137">F170+F171+F172-F173</f>
        <v>-19121.440000000002</v>
      </c>
      <c r="G174" s="22">
        <f t="shared" si="137"/>
        <v>-20625.435679999999</v>
      </c>
      <c r="H174" s="22">
        <f t="shared" si="137"/>
        <v>-22063.055231999995</v>
      </c>
      <c r="I174" s="22">
        <f t="shared" si="137"/>
        <v>-23348.211227999993</v>
      </c>
      <c r="J174" s="22">
        <f t="shared" si="137"/>
        <v>-24205.741599780002</v>
      </c>
      <c r="K174" s="22">
        <f t="shared" si="137"/>
        <v>-25599.203744660997</v>
      </c>
      <c r="L174" s="22">
        <f t="shared" si="137"/>
        <v>-26831.677235355</v>
      </c>
    </row>
    <row r="175" spans="2:14" x14ac:dyDescent="0.2">
      <c r="B175" s="52"/>
      <c r="C175" s="52"/>
      <c r="D175" s="52"/>
      <c r="E175" s="15"/>
      <c r="F175" s="15"/>
      <c r="G175" s="15"/>
    </row>
    <row r="176" spans="2:14" x14ac:dyDescent="0.2">
      <c r="B176" s="58" t="s">
        <v>51</v>
      </c>
      <c r="C176" s="58"/>
      <c r="D176" s="58"/>
      <c r="E176" s="31"/>
      <c r="F176" s="31"/>
      <c r="G176" s="31"/>
    </row>
    <row r="177" spans="2:12" x14ac:dyDescent="0.2">
      <c r="B177" s="49" t="s">
        <v>52</v>
      </c>
      <c r="C177" s="49"/>
      <c r="D177" s="49"/>
      <c r="E177" s="10">
        <v>-1746</v>
      </c>
      <c r="F177" s="10">
        <v>-536</v>
      </c>
      <c r="G177" s="10">
        <v>-293</v>
      </c>
      <c r="H177" s="83">
        <f>-H88</f>
        <v>-285.45429849999999</v>
      </c>
      <c r="I177" s="83">
        <f t="shared" ref="I177:L177" si="138">-I88</f>
        <v>-303.51355947500002</v>
      </c>
      <c r="J177" s="83">
        <f t="shared" si="138"/>
        <v>-315.70632551500006</v>
      </c>
      <c r="K177" s="83">
        <f t="shared" si="138"/>
        <v>-332.18812447100004</v>
      </c>
      <c r="L177" s="83">
        <f t="shared" si="138"/>
        <v>-349.40621295402821</v>
      </c>
    </row>
    <row r="178" spans="2:12" x14ac:dyDescent="0.2">
      <c r="B178" s="49" t="s">
        <v>78</v>
      </c>
      <c r="C178" s="49"/>
      <c r="D178" s="49"/>
      <c r="E178" s="10">
        <v>-125700</v>
      </c>
      <c r="F178" s="10">
        <v>0</v>
      </c>
      <c r="G178" s="10">
        <v>0</v>
      </c>
      <c r="H178" s="84">
        <f>-H94</f>
        <v>0</v>
      </c>
      <c r="I178" s="84">
        <f t="shared" ref="I178:L178" si="139">-I94</f>
        <v>0</v>
      </c>
      <c r="J178" s="84">
        <f t="shared" si="139"/>
        <v>0</v>
      </c>
      <c r="K178" s="84">
        <f t="shared" si="139"/>
        <v>0</v>
      </c>
      <c r="L178" s="84">
        <f t="shared" si="139"/>
        <v>0</v>
      </c>
    </row>
    <row r="179" spans="2:12" x14ac:dyDescent="0.2">
      <c r="B179" s="49" t="s">
        <v>79</v>
      </c>
      <c r="C179" s="49"/>
      <c r="D179" s="49"/>
      <c r="E179" s="10">
        <v>-15000</v>
      </c>
      <c r="F179" s="10">
        <v>0</v>
      </c>
      <c r="G179" s="10">
        <v>0</v>
      </c>
      <c r="H179" s="129"/>
      <c r="I179" s="129"/>
      <c r="J179" s="129"/>
      <c r="K179" s="129"/>
      <c r="L179" s="129"/>
    </row>
    <row r="180" spans="2:12" x14ac:dyDescent="0.2">
      <c r="B180" s="49" t="s">
        <v>88</v>
      </c>
      <c r="C180" s="49"/>
      <c r="D180" s="49"/>
      <c r="E180" s="10">
        <v>50000</v>
      </c>
      <c r="F180" s="10">
        <v>0</v>
      </c>
      <c r="G180" s="10">
        <v>0</v>
      </c>
      <c r="H180" s="83">
        <f>-H105</f>
        <v>0</v>
      </c>
      <c r="I180" s="83">
        <f t="shared" ref="I180:L180" si="140">-I105</f>
        <v>0</v>
      </c>
      <c r="J180" s="83">
        <f t="shared" si="140"/>
        <v>0</v>
      </c>
      <c r="K180" s="83">
        <f t="shared" si="140"/>
        <v>0</v>
      </c>
      <c r="L180" s="83">
        <f t="shared" si="140"/>
        <v>0</v>
      </c>
    </row>
    <row r="181" spans="2:12" x14ac:dyDescent="0.2">
      <c r="B181" s="61" t="s">
        <v>54</v>
      </c>
      <c r="C181" s="61"/>
      <c r="D181" s="61"/>
      <c r="E181" s="22">
        <f>SUM(E177:E180)</f>
        <v>-92446</v>
      </c>
      <c r="F181" s="22">
        <f t="shared" ref="F181:L181" si="141">SUM(F177:F180)</f>
        <v>-536</v>
      </c>
      <c r="G181" s="22">
        <f t="shared" si="141"/>
        <v>-293</v>
      </c>
      <c r="H181" s="22">
        <f t="shared" si="141"/>
        <v>-285.45429849999999</v>
      </c>
      <c r="I181" s="22">
        <f t="shared" si="141"/>
        <v>-303.51355947500002</v>
      </c>
      <c r="J181" s="22">
        <f t="shared" si="141"/>
        <v>-315.70632551500006</v>
      </c>
      <c r="K181" s="22">
        <f t="shared" si="141"/>
        <v>-332.18812447100004</v>
      </c>
      <c r="L181" s="22">
        <f t="shared" si="141"/>
        <v>-349.40621295402821</v>
      </c>
    </row>
    <row r="182" spans="2:12" x14ac:dyDescent="0.2">
      <c r="B182" s="52"/>
      <c r="C182" s="52"/>
      <c r="D182" s="52"/>
      <c r="E182" s="15"/>
      <c r="F182" s="15"/>
      <c r="G182" s="15"/>
    </row>
    <row r="183" spans="2:12" x14ac:dyDescent="0.2">
      <c r="B183" s="58" t="s">
        <v>55</v>
      </c>
      <c r="C183" s="58"/>
      <c r="D183" s="58"/>
      <c r="E183" s="31"/>
      <c r="F183" s="31"/>
      <c r="G183" s="31"/>
    </row>
    <row r="184" spans="2:12" x14ac:dyDescent="0.2">
      <c r="B184" s="49" t="s">
        <v>56</v>
      </c>
      <c r="C184" s="49"/>
      <c r="D184" s="49"/>
      <c r="E184" s="10">
        <v>129619.80626694243</v>
      </c>
      <c r="F184" s="10">
        <v>-20380.193733057575</v>
      </c>
      <c r="G184" s="10">
        <v>-20380.193733057575</v>
      </c>
      <c r="H184" s="83">
        <f>H38+H41</f>
        <v>-20380.193733057578</v>
      </c>
      <c r="I184" s="83">
        <f t="shared" ref="I184:L184" si="142">I38+I41</f>
        <v>-20380.193733057575</v>
      </c>
      <c r="J184" s="83">
        <f t="shared" si="142"/>
        <v>-20380.193733057578</v>
      </c>
      <c r="K184" s="83">
        <f t="shared" si="142"/>
        <v>-20380.193733057578</v>
      </c>
      <c r="L184" s="83">
        <f t="shared" si="142"/>
        <v>-20380.193733057575</v>
      </c>
    </row>
    <row r="185" spans="2:12" x14ac:dyDescent="0.2">
      <c r="B185" s="49" t="s">
        <v>57</v>
      </c>
      <c r="C185" s="49"/>
      <c r="D185" s="49"/>
      <c r="E185" s="10">
        <v>0</v>
      </c>
      <c r="F185" s="10">
        <v>0</v>
      </c>
      <c r="G185" s="10">
        <v>0</v>
      </c>
      <c r="H185" s="83">
        <f>H100</f>
        <v>0</v>
      </c>
      <c r="I185" s="83">
        <f t="shared" ref="I185:L185" si="143">I100</f>
        <v>0</v>
      </c>
      <c r="J185" s="83">
        <f t="shared" si="143"/>
        <v>0</v>
      </c>
      <c r="K185" s="83">
        <f t="shared" si="143"/>
        <v>0</v>
      </c>
      <c r="L185" s="83">
        <f t="shared" si="143"/>
        <v>0</v>
      </c>
    </row>
    <row r="186" spans="2:12" x14ac:dyDescent="0.2">
      <c r="B186" s="61" t="s">
        <v>58</v>
      </c>
      <c r="C186" s="61"/>
      <c r="D186" s="61"/>
      <c r="E186" s="22">
        <f>SUM(E184:E185)</f>
        <v>129619.80626694243</v>
      </c>
      <c r="F186" s="22">
        <f t="shared" ref="F186:G186" si="144">SUM(F184:F185)</f>
        <v>-20380.193733057575</v>
      </c>
      <c r="G186" s="22">
        <f t="shared" si="144"/>
        <v>-20380.193733057575</v>
      </c>
      <c r="H186" s="22">
        <f t="shared" ref="H186:L186" si="145">SUM(H184:H185)</f>
        <v>-20380.193733057578</v>
      </c>
      <c r="I186" s="22">
        <f t="shared" si="145"/>
        <v>-20380.193733057575</v>
      </c>
      <c r="J186" s="22">
        <f t="shared" si="145"/>
        <v>-20380.193733057578</v>
      </c>
      <c r="K186" s="22">
        <f t="shared" si="145"/>
        <v>-20380.193733057578</v>
      </c>
      <c r="L186" s="22">
        <f t="shared" si="145"/>
        <v>-20380.193733057575</v>
      </c>
    </row>
    <row r="187" spans="2:12" x14ac:dyDescent="0.2">
      <c r="B187" s="52"/>
      <c r="C187" s="52"/>
      <c r="D187" s="52"/>
      <c r="E187" s="15"/>
      <c r="F187" s="15"/>
      <c r="G187" s="15"/>
      <c r="H187" s="15"/>
      <c r="I187" s="15"/>
      <c r="J187" s="15"/>
      <c r="K187" s="15"/>
      <c r="L187" s="15"/>
    </row>
    <row r="188" spans="2:12" x14ac:dyDescent="0.2">
      <c r="B188" s="51" t="s">
        <v>59</v>
      </c>
      <c r="C188" s="51"/>
      <c r="D188" s="51"/>
      <c r="E188" s="22">
        <f>E174+E181+E186</f>
        <v>17790.906266942431</v>
      </c>
      <c r="F188" s="22">
        <f t="shared" ref="F188:G188" si="146">F174+F181+F186</f>
        <v>-40037.633733057577</v>
      </c>
      <c r="G188" s="22">
        <f t="shared" si="146"/>
        <v>-41298.62941305757</v>
      </c>
      <c r="H188" s="22">
        <f t="shared" ref="H188:L188" si="147">H174+H181+H186</f>
        <v>-42728.703263557574</v>
      </c>
      <c r="I188" s="22">
        <f t="shared" si="147"/>
        <v>-44031.918520532563</v>
      </c>
      <c r="J188" s="22">
        <f t="shared" si="147"/>
        <v>-44901.641658352579</v>
      </c>
      <c r="K188" s="22">
        <f t="shared" si="147"/>
        <v>-46311.585602189574</v>
      </c>
      <c r="L188" s="22">
        <f t="shared" si="147"/>
        <v>-47561.277181366604</v>
      </c>
    </row>
    <row r="189" spans="2:12" x14ac:dyDescent="0.2">
      <c r="B189" s="49" t="s">
        <v>60</v>
      </c>
      <c r="C189" s="49"/>
      <c r="D189" s="49"/>
      <c r="E189" s="10">
        <v>0</v>
      </c>
      <c r="F189" s="32">
        <f>E190</f>
        <v>17790.906266942431</v>
      </c>
      <c r="G189" s="32">
        <f>F190</f>
        <v>-22246.727466115146</v>
      </c>
      <c r="H189" s="32">
        <f t="shared" ref="H189:L189" si="148">G190</f>
        <v>-63545.356879172716</v>
      </c>
      <c r="I189" s="32">
        <f t="shared" si="148"/>
        <v>-106274.06014273029</v>
      </c>
      <c r="J189" s="32">
        <f t="shared" si="148"/>
        <v>-150305.97866326285</v>
      </c>
      <c r="K189" s="32">
        <f t="shared" si="148"/>
        <v>-195207.62032161542</v>
      </c>
      <c r="L189" s="32">
        <f t="shared" si="148"/>
        <v>-241519.20592380501</v>
      </c>
    </row>
    <row r="190" spans="2:12" ht="10.8" thickBot="1" x14ac:dyDescent="0.25">
      <c r="B190" s="53" t="s">
        <v>61</v>
      </c>
      <c r="C190" s="53"/>
      <c r="D190" s="53"/>
      <c r="E190" s="41">
        <f>SUM(E188:E189)</f>
        <v>17790.906266942431</v>
      </c>
      <c r="F190" s="41">
        <f t="shared" ref="F190:G190" si="149">SUM(F188:F189)</f>
        <v>-22246.727466115146</v>
      </c>
      <c r="G190" s="41">
        <f t="shared" si="149"/>
        <v>-63545.356879172716</v>
      </c>
      <c r="H190" s="41">
        <f t="shared" ref="H190:L190" si="150">SUM(H188:H189)</f>
        <v>-106274.06014273029</v>
      </c>
      <c r="I190" s="41">
        <f t="shared" si="150"/>
        <v>-150305.97866326285</v>
      </c>
      <c r="J190" s="41">
        <f t="shared" si="150"/>
        <v>-195207.62032161542</v>
      </c>
      <c r="K190" s="41">
        <f t="shared" si="150"/>
        <v>-241519.20592380501</v>
      </c>
      <c r="L190" s="41">
        <f t="shared" si="150"/>
        <v>-289080.48310517159</v>
      </c>
    </row>
    <row r="191" spans="2:12" x14ac:dyDescent="0.2">
      <c r="B191" s="58"/>
      <c r="C191" s="58"/>
      <c r="D191" s="58"/>
      <c r="E191" s="15"/>
      <c r="F191" s="26"/>
      <c r="G191" s="26"/>
      <c r="H191" s="26"/>
      <c r="I191" s="26"/>
      <c r="J191" s="26"/>
      <c r="K191" s="26"/>
      <c r="L191" s="26"/>
    </row>
    <row r="192" spans="2:12" x14ac:dyDescent="0.2">
      <c r="B192" s="131" t="s">
        <v>62</v>
      </c>
      <c r="C192" s="131"/>
      <c r="D192" s="131"/>
      <c r="E192" s="28">
        <f>E190-E144</f>
        <v>0</v>
      </c>
      <c r="F192" s="28">
        <f>F190-F144</f>
        <v>0</v>
      </c>
      <c r="G192" s="28">
        <f>G190-G144</f>
        <v>0</v>
      </c>
      <c r="H192" s="28">
        <f t="shared" ref="H192:L192" si="151">H190-H144</f>
        <v>0</v>
      </c>
      <c r="I192" s="28">
        <f t="shared" si="151"/>
        <v>0</v>
      </c>
      <c r="J192" s="28">
        <f t="shared" si="151"/>
        <v>0</v>
      </c>
      <c r="K192" s="28">
        <f t="shared" si="151"/>
        <v>0</v>
      </c>
      <c r="L192" s="28">
        <f t="shared" si="151"/>
        <v>0</v>
      </c>
    </row>
    <row r="193" spans="2:12" x14ac:dyDescent="0.2">
      <c r="B193" s="131" t="s">
        <v>63</v>
      </c>
      <c r="C193" s="131"/>
      <c r="D193" s="131"/>
      <c r="E193" s="28">
        <f>E170-E139</f>
        <v>0</v>
      </c>
      <c r="F193" s="28">
        <f>F170-F139</f>
        <v>0</v>
      </c>
      <c r="G193" s="28">
        <f>G170-G139</f>
        <v>0</v>
      </c>
      <c r="H193" s="28">
        <f t="shared" ref="H193:L193" si="152">H170-H139</f>
        <v>0</v>
      </c>
      <c r="I193" s="28">
        <f t="shared" si="152"/>
        <v>0</v>
      </c>
      <c r="J193" s="28">
        <f t="shared" si="152"/>
        <v>0</v>
      </c>
      <c r="K193" s="28">
        <f t="shared" si="152"/>
        <v>0</v>
      </c>
      <c r="L193" s="28">
        <f t="shared" si="152"/>
        <v>0</v>
      </c>
    </row>
    <row r="194" spans="2:12" x14ac:dyDescent="0.2">
      <c r="B194" s="131" t="s">
        <v>64</v>
      </c>
      <c r="C194" s="131"/>
      <c r="D194" s="131"/>
      <c r="E194" s="28">
        <f t="shared" ref="E194:G195" si="153">E171-E132</f>
        <v>0</v>
      </c>
      <c r="F194" s="28">
        <f t="shared" si="153"/>
        <v>0</v>
      </c>
      <c r="G194" s="28">
        <f t="shared" si="153"/>
        <v>0</v>
      </c>
      <c r="H194" s="28">
        <f t="shared" ref="H194:L194" si="154">H171-H132</f>
        <v>0</v>
      </c>
      <c r="I194" s="28">
        <f t="shared" si="154"/>
        <v>0</v>
      </c>
      <c r="J194" s="28">
        <f t="shared" si="154"/>
        <v>0</v>
      </c>
      <c r="K194" s="28">
        <f t="shared" si="154"/>
        <v>0</v>
      </c>
      <c r="L194" s="28">
        <f t="shared" si="154"/>
        <v>0</v>
      </c>
    </row>
    <row r="195" spans="2:12" x14ac:dyDescent="0.2">
      <c r="B195" s="131" t="s">
        <v>65</v>
      </c>
      <c r="C195" s="131"/>
      <c r="D195" s="131"/>
      <c r="E195" s="28">
        <f t="shared" si="153"/>
        <v>0</v>
      </c>
      <c r="F195" s="28">
        <f t="shared" si="153"/>
        <v>0</v>
      </c>
      <c r="G195" s="28">
        <f t="shared" si="153"/>
        <v>0</v>
      </c>
      <c r="H195" s="28">
        <f t="shared" ref="H195:L195" si="155">H172-H133</f>
        <v>0</v>
      </c>
      <c r="I195" s="28">
        <f t="shared" si="155"/>
        <v>0</v>
      </c>
      <c r="J195" s="28">
        <f t="shared" si="155"/>
        <v>0</v>
      </c>
      <c r="K195" s="28">
        <f t="shared" si="155"/>
        <v>0</v>
      </c>
      <c r="L195" s="28">
        <f t="shared" si="155"/>
        <v>0</v>
      </c>
    </row>
  </sheetData>
  <hyperlinks>
    <hyperlink ref="B1" location="'TOC'!A1" display="Table of Contents" xr:uid="{B44086FB-7058-4C63-A0A4-EA357348518F}"/>
  </hyperlinks>
  <pageMargins left="0.7" right="0.7" top="0.75" bottom="0.75" header="0.3" footer="0.3"/>
  <pageSetup orientation="portrait" r:id="rId1"/>
  <ignoredErrors>
    <ignoredError sqref="H133:L133 H156:L156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B79C-D7AF-41D6-8C86-A8EC4837C53A}">
  <sheetPr>
    <tabColor rgb="FF92D050"/>
  </sheetPr>
  <dimension ref="B1:N196"/>
  <sheetViews>
    <sheetView showGridLines="0" zoomScaleNormal="100" workbookViewId="0">
      <pane ySplit="7" topLeftCell="A8" activePane="bottomLeft" state="frozen"/>
      <selection pane="bottomLef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6384" width="9.109375" style="39"/>
  </cols>
  <sheetData>
    <row r="1" spans="2:14" x14ac:dyDescent="0.2">
      <c r="B1" s="256" t="s">
        <v>343</v>
      </c>
    </row>
    <row r="2" spans="2:14" ht="15.6" x14ac:dyDescent="0.3">
      <c r="B2" s="37" t="s">
        <v>84</v>
      </c>
      <c r="C2" s="37"/>
      <c r="D2" s="37"/>
    </row>
    <row r="3" spans="2:14" x14ac:dyDescent="0.2">
      <c r="B3" s="38" t="s">
        <v>94</v>
      </c>
      <c r="C3" s="38"/>
      <c r="D3" s="38"/>
    </row>
    <row r="5" spans="2:14" x14ac:dyDescent="0.2">
      <c r="B5" s="40" t="s">
        <v>80</v>
      </c>
      <c r="C5" s="40"/>
      <c r="D5" s="40"/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48" t="s">
        <v>98</v>
      </c>
      <c r="C9" s="48"/>
      <c r="D9" s="48"/>
      <c r="E9" s="36">
        <f>E$7</f>
        <v>2020</v>
      </c>
      <c r="F9" s="36">
        <f t="shared" ref="F9:L9" si="1">F$7</f>
        <v>2021</v>
      </c>
      <c r="G9" s="36">
        <f t="shared" si="1"/>
        <v>2022</v>
      </c>
      <c r="H9" s="36">
        <f t="shared" si="1"/>
        <v>2023</v>
      </c>
      <c r="I9" s="36">
        <f t="shared" si="1"/>
        <v>2024</v>
      </c>
      <c r="J9" s="36">
        <f t="shared" si="1"/>
        <v>2025</v>
      </c>
      <c r="K9" s="36">
        <f t="shared" si="1"/>
        <v>2026</v>
      </c>
      <c r="L9" s="36">
        <f t="shared" si="1"/>
        <v>2027</v>
      </c>
    </row>
    <row r="11" spans="2:14" x14ac:dyDescent="0.2">
      <c r="B11" s="76" t="s">
        <v>99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</row>
    <row r="13" spans="2:14" x14ac:dyDescent="0.2">
      <c r="B13" s="39" t="s">
        <v>129</v>
      </c>
      <c r="C13" s="39" t="s">
        <v>101</v>
      </c>
      <c r="E13" s="80"/>
      <c r="F13" s="81">
        <f>F114/E114-1</f>
        <v>0.15762643740135496</v>
      </c>
      <c r="G13" s="81">
        <f>G114/F114-1</f>
        <v>0.11228257371745998</v>
      </c>
      <c r="H13" s="78">
        <v>0.05</v>
      </c>
      <c r="I13" s="78">
        <v>0.05</v>
      </c>
      <c r="J13" s="78">
        <v>0.05</v>
      </c>
      <c r="K13" s="78">
        <v>0.05</v>
      </c>
      <c r="L13" s="78">
        <v>0.05</v>
      </c>
    </row>
    <row r="14" spans="2:14" x14ac:dyDescent="0.2">
      <c r="B14" s="39" t="s">
        <v>5</v>
      </c>
      <c r="C14" s="39" t="s">
        <v>156</v>
      </c>
      <c r="E14" s="81">
        <f>E115/E114</f>
        <v>0.38255217779172018</v>
      </c>
      <c r="F14" s="81">
        <f t="shared" ref="F14:G14" si="2">F115/F114</f>
        <v>0.40651728401334619</v>
      </c>
      <c r="G14" s="81">
        <f t="shared" si="2"/>
        <v>0.39326897330040417</v>
      </c>
      <c r="H14" s="77">
        <f>AVERAGE(E14:G14)</f>
        <v>0.39411281170182355</v>
      </c>
      <c r="I14" s="77">
        <f t="shared" ref="I14" si="3">AVERAGE(F14:H14)</f>
        <v>0.39796635633852467</v>
      </c>
      <c r="J14" s="77">
        <f t="shared" ref="J14" si="4">AVERAGE(G14:I14)</f>
        <v>0.39511604711358417</v>
      </c>
      <c r="K14" s="77">
        <f t="shared" ref="K14" si="5">AVERAGE(H14:J14)</f>
        <v>0.39573173838464415</v>
      </c>
      <c r="L14" s="77">
        <f t="shared" ref="L14" si="6">AVERAGE(I14:K14)</f>
        <v>0.39627138061225103</v>
      </c>
      <c r="N14" s="70" t="s">
        <v>103</v>
      </c>
    </row>
    <row r="15" spans="2:14" x14ac:dyDescent="0.2">
      <c r="E15" s="80"/>
      <c r="F15" s="80"/>
      <c r="G15" s="80"/>
    </row>
    <row r="16" spans="2:14" x14ac:dyDescent="0.2">
      <c r="B16" s="75" t="s">
        <v>100</v>
      </c>
      <c r="E16" s="80"/>
      <c r="F16" s="80"/>
      <c r="G16" s="80"/>
    </row>
    <row r="17" spans="2:14" x14ac:dyDescent="0.2">
      <c r="B17" s="49" t="s">
        <v>8</v>
      </c>
      <c r="C17" s="39" t="s">
        <v>156</v>
      </c>
      <c r="E17" s="81">
        <f>E119/E$114</f>
        <v>0.21299328465122733</v>
      </c>
      <c r="F17" s="81">
        <f t="shared" ref="F17:G17" si="7">F119/F$114</f>
        <v>0.19187710651559034</v>
      </c>
      <c r="G17" s="81">
        <f t="shared" si="7"/>
        <v>0.18175035212608015</v>
      </c>
      <c r="H17" s="77">
        <f>AVERAGE(E17:G17)</f>
        <v>0.19554024776429926</v>
      </c>
      <c r="I17" s="77">
        <f t="shared" ref="I17:L26" si="8">AVERAGE(F17:H17)</f>
        <v>0.1897225688019899</v>
      </c>
      <c r="J17" s="77">
        <f t="shared" si="8"/>
        <v>0.1890043895641231</v>
      </c>
      <c r="K17" s="77">
        <f t="shared" si="8"/>
        <v>0.19142240204347075</v>
      </c>
      <c r="L17" s="77">
        <f t="shared" si="8"/>
        <v>0.19004978680319459</v>
      </c>
      <c r="N17" s="70" t="s">
        <v>103</v>
      </c>
    </row>
    <row r="18" spans="2:14" x14ac:dyDescent="0.2">
      <c r="B18" s="49" t="s">
        <v>9</v>
      </c>
      <c r="C18" s="39" t="s">
        <v>156</v>
      </c>
      <c r="E18" s="81">
        <f t="shared" ref="E18:G18" si="9">E120/E$114</f>
        <v>3.8100358952379336E-2</v>
      </c>
      <c r="F18" s="81">
        <f t="shared" si="9"/>
        <v>3.6307815863462684E-2</v>
      </c>
      <c r="G18" s="81">
        <f t="shared" si="9"/>
        <v>4.0239348138479111E-2</v>
      </c>
      <c r="H18" s="77">
        <f t="shared" ref="H18:H26" si="10">AVERAGE(E18:G18)</f>
        <v>3.8215840984773715E-2</v>
      </c>
      <c r="I18" s="77">
        <f t="shared" si="8"/>
        <v>3.8254334995571841E-2</v>
      </c>
      <c r="J18" s="77">
        <f t="shared" si="8"/>
        <v>3.8903174706274891E-2</v>
      </c>
      <c r="K18" s="77">
        <f t="shared" si="8"/>
        <v>3.8457783562206811E-2</v>
      </c>
      <c r="L18" s="77">
        <f t="shared" si="8"/>
        <v>3.8538431088017848E-2</v>
      </c>
      <c r="N18" s="70" t="s">
        <v>103</v>
      </c>
    </row>
    <row r="19" spans="2:14" x14ac:dyDescent="0.2">
      <c r="B19" s="49" t="s">
        <v>10</v>
      </c>
      <c r="C19" s="39" t="s">
        <v>156</v>
      </c>
      <c r="E19" s="81">
        <f t="shared" ref="E19:G19" si="11">E121/E$114</f>
        <v>8.6145177962327124E-2</v>
      </c>
      <c r="F19" s="81">
        <f t="shared" si="11"/>
        <v>8.209222550608207E-2</v>
      </c>
      <c r="G19" s="81">
        <f t="shared" si="11"/>
        <v>9.0981447466411472E-2</v>
      </c>
      <c r="H19" s="77">
        <f t="shared" si="10"/>
        <v>8.6406283644940227E-2</v>
      </c>
      <c r="I19" s="77">
        <f t="shared" si="8"/>
        <v>8.6493318872477923E-2</v>
      </c>
      <c r="J19" s="77">
        <f t="shared" si="8"/>
        <v>8.7960349994609874E-2</v>
      </c>
      <c r="K19" s="77">
        <f t="shared" si="8"/>
        <v>8.695331750400935E-2</v>
      </c>
      <c r="L19" s="77">
        <f t="shared" si="8"/>
        <v>8.7135662123699054E-2</v>
      </c>
      <c r="N19" s="70" t="s">
        <v>103</v>
      </c>
    </row>
    <row r="20" spans="2:14" x14ac:dyDescent="0.2">
      <c r="B20" s="49" t="s">
        <v>11</v>
      </c>
      <c r="C20" s="39" t="s">
        <v>156</v>
      </c>
      <c r="E20" s="81">
        <f t="shared" ref="E20:G20" si="12">E122/E$114</f>
        <v>2.0544403023805387E-2</v>
      </c>
      <c r="F20" s="81">
        <f t="shared" si="12"/>
        <v>1.957783135180961E-2</v>
      </c>
      <c r="G20" s="81">
        <f t="shared" si="12"/>
        <v>2.1697784700805335E-2</v>
      </c>
      <c r="H20" s="77">
        <f t="shared" si="10"/>
        <v>2.0606673025473445E-2</v>
      </c>
      <c r="I20" s="77">
        <f t="shared" si="8"/>
        <v>2.0627429692696129E-2</v>
      </c>
      <c r="J20" s="77">
        <f t="shared" si="8"/>
        <v>2.0977295806324969E-2</v>
      </c>
      <c r="K20" s="77">
        <f t="shared" si="8"/>
        <v>2.0737132841498182E-2</v>
      </c>
      <c r="L20" s="77">
        <f t="shared" si="8"/>
        <v>2.078061944683976E-2</v>
      </c>
      <c r="N20" s="70" t="s">
        <v>103</v>
      </c>
    </row>
    <row r="21" spans="2:14" x14ac:dyDescent="0.2">
      <c r="B21" s="49" t="s">
        <v>12</v>
      </c>
      <c r="C21" s="39" t="s">
        <v>156</v>
      </c>
      <c r="E21" s="81">
        <f t="shared" ref="E21:G21" si="13">E123/E$114</f>
        <v>3.0000322498781547E-2</v>
      </c>
      <c r="F21" s="81">
        <f t="shared" si="13"/>
        <v>2.8588869372377253E-2</v>
      </c>
      <c r="G21" s="81">
        <f t="shared" si="13"/>
        <v>3.1684568190130664E-2</v>
      </c>
      <c r="H21" s="77">
        <f t="shared" si="10"/>
        <v>3.0091253353763153E-2</v>
      </c>
      <c r="I21" s="77">
        <f t="shared" si="8"/>
        <v>3.0121563638757023E-2</v>
      </c>
      <c r="J21" s="77">
        <f t="shared" si="8"/>
        <v>3.063246172755028E-2</v>
      </c>
      <c r="K21" s="77">
        <f t="shared" si="8"/>
        <v>3.0281759573356822E-2</v>
      </c>
      <c r="L21" s="77">
        <f t="shared" si="8"/>
        <v>3.0345261646554711E-2</v>
      </c>
      <c r="N21" s="70" t="s">
        <v>103</v>
      </c>
    </row>
    <row r="22" spans="2:14" x14ac:dyDescent="0.2">
      <c r="B22" s="49" t="s">
        <v>13</v>
      </c>
      <c r="C22" s="39" t="s">
        <v>156</v>
      </c>
      <c r="E22" s="81">
        <f t="shared" ref="E22:G22" si="14">E124/E$114</f>
        <v>1.5660133172546165E-3</v>
      </c>
      <c r="F22" s="81">
        <f t="shared" si="14"/>
        <v>1.4923356295324409E-3</v>
      </c>
      <c r="G22" s="81">
        <f t="shared" si="14"/>
        <v>1.6539307448852208E-3</v>
      </c>
      <c r="H22" s="77">
        <f t="shared" si="10"/>
        <v>1.5707598972240927E-3</v>
      </c>
      <c r="I22" s="77">
        <f t="shared" si="8"/>
        <v>1.5723420905472513E-3</v>
      </c>
      <c r="J22" s="77">
        <f t="shared" si="8"/>
        <v>1.5990109108855214E-3</v>
      </c>
      <c r="K22" s="77">
        <f t="shared" si="8"/>
        <v>1.5807042995522886E-3</v>
      </c>
      <c r="L22" s="77">
        <f t="shared" si="8"/>
        <v>1.5840191003283538E-3</v>
      </c>
      <c r="N22" s="70" t="s">
        <v>103</v>
      </c>
    </row>
    <row r="23" spans="2:14" x14ac:dyDescent="0.2">
      <c r="B23" s="49" t="s">
        <v>14</v>
      </c>
      <c r="C23" s="39" t="s">
        <v>156</v>
      </c>
      <c r="E23" s="81">
        <f t="shared" ref="E23:G23" si="15">E125/E$114</f>
        <v>3.5295641591281562E-3</v>
      </c>
      <c r="F23" s="81">
        <f t="shared" si="15"/>
        <v>3.3635054653441709E-3</v>
      </c>
      <c r="G23" s="81">
        <f t="shared" si="15"/>
        <v>3.7277171365700922E-3</v>
      </c>
      <c r="H23" s="77">
        <f t="shared" si="10"/>
        <v>3.5402622536808066E-3</v>
      </c>
      <c r="I23" s="77">
        <f t="shared" si="8"/>
        <v>3.5438282851983564E-3</v>
      </c>
      <c r="J23" s="77">
        <f t="shared" si="8"/>
        <v>3.6039358918164184E-3</v>
      </c>
      <c r="K23" s="77">
        <f t="shared" si="8"/>
        <v>3.5626754768985271E-3</v>
      </c>
      <c r="L23" s="77">
        <f t="shared" si="8"/>
        <v>3.5701465513044341E-3</v>
      </c>
      <c r="N23" s="70" t="s">
        <v>103</v>
      </c>
    </row>
    <row r="24" spans="2:14" x14ac:dyDescent="0.2">
      <c r="B24" s="49" t="s">
        <v>15</v>
      </c>
      <c r="C24" s="39" t="s">
        <v>156</v>
      </c>
      <c r="E24" s="81">
        <f t="shared" ref="E24:G24" si="16">E126/E$114</f>
        <v>4.6830231325309295E-3</v>
      </c>
      <c r="F24" s="81">
        <f t="shared" si="16"/>
        <v>4.4626965796512787E-3</v>
      </c>
      <c r="G24" s="81">
        <f t="shared" si="16"/>
        <v>4.9459323573825559E-3</v>
      </c>
      <c r="H24" s="77">
        <f t="shared" si="10"/>
        <v>4.6972173565215884E-3</v>
      </c>
      <c r="I24" s="77">
        <f t="shared" si="8"/>
        <v>4.7019487645184746E-3</v>
      </c>
      <c r="J24" s="77">
        <f t="shared" si="8"/>
        <v>4.7816994928075391E-3</v>
      </c>
      <c r="K24" s="77">
        <f t="shared" si="8"/>
        <v>4.7269552046158674E-3</v>
      </c>
      <c r="L24" s="77">
        <f t="shared" si="8"/>
        <v>4.7368678206472937E-3</v>
      </c>
      <c r="N24" s="70" t="s">
        <v>103</v>
      </c>
    </row>
    <row r="25" spans="2:14" x14ac:dyDescent="0.2">
      <c r="B25" s="49" t="s">
        <v>16</v>
      </c>
      <c r="C25" s="39" t="s">
        <v>156</v>
      </c>
      <c r="E25" s="81">
        <f t="shared" ref="E25:G25" si="17">E127/E$114</f>
        <v>1.9141785749473433E-2</v>
      </c>
      <c r="F25" s="81">
        <f t="shared" si="17"/>
        <v>1.8241204319318714E-2</v>
      </c>
      <c r="G25" s="81">
        <f t="shared" si="17"/>
        <v>2.0216423202940405E-2</v>
      </c>
      <c r="H25" s="77">
        <f t="shared" si="10"/>
        <v>1.9199804423910848E-2</v>
      </c>
      <c r="I25" s="77">
        <f t="shared" si="8"/>
        <v>1.9219143982056656E-2</v>
      </c>
      <c r="J25" s="77">
        <f t="shared" si="8"/>
        <v>1.9545123869635968E-2</v>
      </c>
      <c r="K25" s="77">
        <f t="shared" si="8"/>
        <v>1.932135742520116E-2</v>
      </c>
      <c r="L25" s="77">
        <f t="shared" si="8"/>
        <v>1.936187509229793E-2</v>
      </c>
      <c r="N25" s="70" t="s">
        <v>103</v>
      </c>
    </row>
    <row r="26" spans="2:14" x14ac:dyDescent="0.2">
      <c r="B26" s="49" t="s">
        <v>17</v>
      </c>
      <c r="C26" s="39" t="s">
        <v>156</v>
      </c>
      <c r="E26" s="81">
        <f t="shared" ref="E26:G26" si="18">E128/E$114</f>
        <v>9.8573748917967826E-3</v>
      </c>
      <c r="F26" s="81">
        <f t="shared" si="18"/>
        <v>9.3936057903235975E-3</v>
      </c>
      <c r="G26" s="81">
        <f t="shared" si="18"/>
        <v>1.0410776982397509E-2</v>
      </c>
      <c r="H26" s="77">
        <f t="shared" si="10"/>
        <v>9.8872525548392969E-3</v>
      </c>
      <c r="I26" s="77">
        <f t="shared" si="8"/>
        <v>9.8972117758534678E-3</v>
      </c>
      <c r="J26" s="77">
        <f t="shared" si="8"/>
        <v>1.0065080437696758E-2</v>
      </c>
      <c r="K26" s="77">
        <f t="shared" si="8"/>
        <v>9.949848256129842E-3</v>
      </c>
      <c r="L26" s="77">
        <f t="shared" si="8"/>
        <v>9.9707134898933559E-3</v>
      </c>
      <c r="N26" s="70" t="s">
        <v>103</v>
      </c>
    </row>
    <row r="27" spans="2:14" x14ac:dyDescent="0.2">
      <c r="E27" s="80"/>
      <c r="F27" s="80"/>
      <c r="G27" s="80"/>
    </row>
    <row r="28" spans="2:14" x14ac:dyDescent="0.2">
      <c r="B28" s="75" t="s">
        <v>104</v>
      </c>
      <c r="E28" s="80"/>
      <c r="F28" s="80"/>
      <c r="G28" s="80"/>
    </row>
    <row r="29" spans="2:14" x14ac:dyDescent="0.2">
      <c r="B29" s="49" t="s">
        <v>21</v>
      </c>
      <c r="C29" s="39" t="s">
        <v>156</v>
      </c>
      <c r="E29" s="81">
        <f>E133/E$114</f>
        <v>0.11151195506190753</v>
      </c>
      <c r="F29" s="81">
        <f t="shared" ref="F29:G29" si="19">F133/F$114</f>
        <v>8.9659231407618181E-2</v>
      </c>
      <c r="G29" s="81">
        <f t="shared" si="19"/>
        <v>8.7421615399336003E-2</v>
      </c>
      <c r="H29" s="77">
        <f t="shared" ref="H29:L29" si="20">AVERAGE(E29:G29)</f>
        <v>9.6197600622953905E-2</v>
      </c>
      <c r="I29" s="77">
        <f t="shared" si="20"/>
        <v>9.1092815809969363E-2</v>
      </c>
      <c r="J29" s="77">
        <f t="shared" si="20"/>
        <v>9.1570677277419757E-2</v>
      </c>
      <c r="K29" s="77">
        <f t="shared" si="20"/>
        <v>9.2953697903447666E-2</v>
      </c>
      <c r="L29" s="77">
        <f t="shared" si="20"/>
        <v>9.1872396996945591E-2</v>
      </c>
      <c r="N29" s="70" t="s">
        <v>103</v>
      </c>
    </row>
    <row r="30" spans="2:14" x14ac:dyDescent="0.2">
      <c r="B30" s="50" t="s">
        <v>22</v>
      </c>
      <c r="E30" s="80"/>
      <c r="F30" s="80"/>
      <c r="G30" s="80"/>
      <c r="N30" s="70" t="s">
        <v>106</v>
      </c>
    </row>
    <row r="31" spans="2:14" x14ac:dyDescent="0.2">
      <c r="B31" s="50" t="s">
        <v>105</v>
      </c>
      <c r="C31" s="39" t="s">
        <v>156</v>
      </c>
      <c r="E31" s="81">
        <f>E135/E$114</f>
        <v>4.9286874458983913E-3</v>
      </c>
      <c r="F31" s="81">
        <f t="shared" ref="F31:G31" si="21">F135/F$114</f>
        <v>4.6968028951617988E-3</v>
      </c>
      <c r="G31" s="81">
        <f t="shared" si="21"/>
        <v>5.2053884911987544E-3</v>
      </c>
      <c r="H31" s="77">
        <f t="shared" ref="H31" si="22">AVERAGE(E31:G31)</f>
        <v>4.9436262774196485E-3</v>
      </c>
      <c r="I31" s="77">
        <f t="shared" ref="I31" si="23">AVERAGE(F31:H31)</f>
        <v>4.9486058879267339E-3</v>
      </c>
      <c r="J31" s="77">
        <f t="shared" ref="J31" si="24">AVERAGE(G31:I31)</f>
        <v>5.0325402188483789E-3</v>
      </c>
      <c r="K31" s="77">
        <f t="shared" ref="K31" si="25">AVERAGE(H31:J31)</f>
        <v>4.974924128064921E-3</v>
      </c>
      <c r="L31" s="77">
        <f t="shared" ref="L31" si="26">AVERAGE(I31:K31)</f>
        <v>4.9853567449466779E-3</v>
      </c>
      <c r="N31" s="70" t="s">
        <v>103</v>
      </c>
    </row>
    <row r="32" spans="2:14" x14ac:dyDescent="0.2">
      <c r="E32" s="80"/>
      <c r="F32" s="80"/>
      <c r="G32" s="80"/>
    </row>
    <row r="33" spans="2:14" x14ac:dyDescent="0.2">
      <c r="B33" s="50" t="s">
        <v>25</v>
      </c>
      <c r="C33" s="39" t="s">
        <v>107</v>
      </c>
      <c r="E33" s="81">
        <f>E139/E137</f>
        <v>0.35</v>
      </c>
      <c r="F33" s="81">
        <f t="shared" ref="F33:G33" si="27">F139/F137</f>
        <v>0.35</v>
      </c>
      <c r="G33" s="81">
        <f t="shared" si="27"/>
        <v>0.35</v>
      </c>
      <c r="H33" s="78">
        <v>0.35</v>
      </c>
      <c r="I33" s="78">
        <v>0.35</v>
      </c>
      <c r="J33" s="78">
        <v>0.35</v>
      </c>
      <c r="K33" s="78">
        <v>0.35</v>
      </c>
      <c r="L33" s="78">
        <v>0.35</v>
      </c>
    </row>
    <row r="34" spans="2:14" x14ac:dyDescent="0.2">
      <c r="B34" s="50"/>
      <c r="E34" s="85"/>
      <c r="F34" s="85"/>
      <c r="G34" s="85"/>
      <c r="H34" s="78"/>
      <c r="I34" s="78"/>
      <c r="J34" s="78"/>
      <c r="K34" s="78"/>
      <c r="L34" s="78"/>
    </row>
    <row r="35" spans="2:14" x14ac:dyDescent="0.2">
      <c r="B35" s="76" t="s">
        <v>106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</row>
    <row r="36" spans="2:14" x14ac:dyDescent="0.2">
      <c r="B36" s="50"/>
      <c r="E36" s="90"/>
      <c r="F36" s="90"/>
      <c r="G36" s="90"/>
      <c r="H36" s="91"/>
      <c r="I36" s="91"/>
      <c r="J36" s="91"/>
      <c r="K36" s="91"/>
      <c r="L36" s="91"/>
    </row>
    <row r="37" spans="2:14" x14ac:dyDescent="0.2">
      <c r="B37" s="87" t="s">
        <v>108</v>
      </c>
      <c r="C37" s="88"/>
      <c r="D37" s="88"/>
      <c r="E37" s="92"/>
      <c r="F37" s="92"/>
      <c r="G37" s="92"/>
      <c r="H37" s="110">
        <f>H48</f>
        <v>0</v>
      </c>
      <c r="I37" s="93">
        <f>H40</f>
        <v>0</v>
      </c>
      <c r="J37" s="93">
        <f t="shared" ref="J37:L37" si="28">I40</f>
        <v>0</v>
      </c>
      <c r="K37" s="93">
        <f t="shared" si="28"/>
        <v>0</v>
      </c>
      <c r="L37" s="93">
        <f t="shared" si="28"/>
        <v>0</v>
      </c>
    </row>
    <row r="38" spans="2:14" x14ac:dyDescent="0.2">
      <c r="B38" s="86" t="s">
        <v>109</v>
      </c>
      <c r="E38" s="90"/>
      <c r="F38" s="90"/>
      <c r="G38" s="90"/>
      <c r="H38" s="102">
        <v>0</v>
      </c>
      <c r="I38" s="102">
        <v>0</v>
      </c>
      <c r="J38" s="102">
        <v>0</v>
      </c>
      <c r="K38" s="102">
        <v>0</v>
      </c>
      <c r="L38" s="102">
        <v>0</v>
      </c>
      <c r="N38" s="70" t="s">
        <v>123</v>
      </c>
    </row>
    <row r="39" spans="2:14" x14ac:dyDescent="0.2">
      <c r="B39" s="86" t="s">
        <v>110</v>
      </c>
      <c r="E39" s="90"/>
      <c r="F39" s="90"/>
      <c r="G39" s="90"/>
      <c r="H39" s="91">
        <f>SUMIFS($K$44:$K$54,$F$44:$F$54,H7)</f>
        <v>0</v>
      </c>
      <c r="I39" s="91">
        <f t="shared" ref="I39:L39" si="29">SUMIFS($K$44:$K$54,$F$44:$F$54,I7)</f>
        <v>0</v>
      </c>
      <c r="J39" s="91">
        <f t="shared" si="29"/>
        <v>0</v>
      </c>
      <c r="K39" s="91">
        <f t="shared" si="29"/>
        <v>0</v>
      </c>
      <c r="L39" s="91">
        <f t="shared" si="29"/>
        <v>0</v>
      </c>
    </row>
    <row r="40" spans="2:14" x14ac:dyDescent="0.2">
      <c r="B40" s="51" t="s">
        <v>111</v>
      </c>
      <c r="C40" s="89"/>
      <c r="D40" s="89"/>
      <c r="E40" s="94"/>
      <c r="F40" s="94"/>
      <c r="G40" s="94"/>
      <c r="H40" s="95">
        <f>SUM(H37:H39)</f>
        <v>0</v>
      </c>
      <c r="I40" s="95">
        <f t="shared" ref="I40:L40" si="30">SUM(I37:I39)</f>
        <v>0</v>
      </c>
      <c r="J40" s="95">
        <f t="shared" si="30"/>
        <v>0</v>
      </c>
      <c r="K40" s="95">
        <f t="shared" si="30"/>
        <v>0</v>
      </c>
      <c r="L40" s="95">
        <f t="shared" si="30"/>
        <v>0</v>
      </c>
    </row>
    <row r="41" spans="2:14" x14ac:dyDescent="0.2">
      <c r="B41" s="50"/>
      <c r="E41" s="90"/>
      <c r="F41" s="90"/>
      <c r="G41" s="90"/>
      <c r="H41" s="91"/>
      <c r="I41" s="91"/>
      <c r="J41" s="91"/>
      <c r="K41" s="91"/>
      <c r="L41" s="91"/>
    </row>
    <row r="42" spans="2:14" x14ac:dyDescent="0.2">
      <c r="B42" s="51" t="s">
        <v>112</v>
      </c>
      <c r="C42" s="89"/>
      <c r="D42" s="89"/>
      <c r="E42" s="94"/>
      <c r="F42" s="94"/>
      <c r="G42" s="94"/>
      <c r="H42" s="95">
        <f>SUMIFS($J$44:$J$54,$F$44:$F$54,H7)</f>
        <v>0</v>
      </c>
      <c r="I42" s="95">
        <f t="shared" ref="I42:L42" si="31">SUMIFS($J$44:$J$54,$F$44:$F$54,I7)</f>
        <v>0</v>
      </c>
      <c r="J42" s="95">
        <f t="shared" si="31"/>
        <v>0</v>
      </c>
      <c r="K42" s="95">
        <f t="shared" si="31"/>
        <v>0</v>
      </c>
      <c r="L42" s="95">
        <f t="shared" si="31"/>
        <v>0</v>
      </c>
    </row>
    <row r="43" spans="2:14" x14ac:dyDescent="0.2">
      <c r="B43" s="50"/>
      <c r="E43" s="90"/>
      <c r="F43" s="90"/>
      <c r="G43" s="90"/>
      <c r="H43" s="91"/>
      <c r="I43" s="91"/>
      <c r="J43" s="91"/>
      <c r="K43" s="91"/>
      <c r="L43" s="91"/>
    </row>
    <row r="44" spans="2:14" x14ac:dyDescent="0.2">
      <c r="B44" s="97" t="s">
        <v>113</v>
      </c>
      <c r="C44" s="98"/>
      <c r="D44" s="79"/>
      <c r="E44" s="99"/>
      <c r="F44" s="100" t="s">
        <v>117</v>
      </c>
      <c r="G44" s="100" t="s">
        <v>118</v>
      </c>
      <c r="H44" s="100" t="s">
        <v>119</v>
      </c>
      <c r="I44" s="100" t="s">
        <v>120</v>
      </c>
      <c r="J44" s="100" t="s">
        <v>22</v>
      </c>
      <c r="K44" s="100" t="s">
        <v>121</v>
      </c>
      <c r="L44" s="100" t="s">
        <v>122</v>
      </c>
    </row>
    <row r="45" spans="2:14" x14ac:dyDescent="0.2">
      <c r="B45" s="101" t="s">
        <v>114</v>
      </c>
      <c r="C45" s="102">
        <v>0</v>
      </c>
      <c r="D45" s="79"/>
      <c r="E45" s="99"/>
      <c r="F45" s="103">
        <f>YEAR(C48)</f>
        <v>2020</v>
      </c>
      <c r="G45" s="104">
        <v>1</v>
      </c>
      <c r="H45" s="104">
        <f>C45</f>
        <v>0</v>
      </c>
      <c r="I45" s="104">
        <f>PMT($C$46,$C$47,$C$45)</f>
        <v>0</v>
      </c>
      <c r="J45" s="104">
        <f>IPMT($C$46,G45,$C$47,$C$45)</f>
        <v>0</v>
      </c>
      <c r="K45" s="104">
        <f>PPMT($C$46,G45,$C$47,$C$45)</f>
        <v>0</v>
      </c>
      <c r="L45" s="104">
        <f>H45+K45</f>
        <v>0</v>
      </c>
    </row>
    <row r="46" spans="2:14" x14ac:dyDescent="0.2">
      <c r="B46" s="101" t="s">
        <v>22</v>
      </c>
      <c r="C46" s="105">
        <v>0.06</v>
      </c>
      <c r="D46" s="79"/>
      <c r="E46" s="99"/>
      <c r="F46" s="103">
        <f>F45+1</f>
        <v>2021</v>
      </c>
      <c r="G46" s="104">
        <f>G45+1</f>
        <v>2</v>
      </c>
      <c r="H46" s="104">
        <f>L45</f>
        <v>0</v>
      </c>
      <c r="I46" s="104">
        <f t="shared" ref="I46:I54" si="32">PMT($C$46,$C$47,$C$45)</f>
        <v>0</v>
      </c>
      <c r="J46" s="104">
        <f t="shared" ref="J46:J54" si="33">IPMT($C$46,G46,$C$47,$C$45)</f>
        <v>0</v>
      </c>
      <c r="K46" s="104">
        <f t="shared" ref="K46:K54" si="34">PPMT($C$46,G46,$C$47,$C$45)</f>
        <v>0</v>
      </c>
      <c r="L46" s="104">
        <f t="shared" ref="L46:L54" si="35">H46+K46</f>
        <v>0</v>
      </c>
    </row>
    <row r="47" spans="2:14" x14ac:dyDescent="0.2">
      <c r="B47" s="101" t="s">
        <v>115</v>
      </c>
      <c r="C47" s="106">
        <v>10</v>
      </c>
      <c r="D47" s="79"/>
      <c r="E47" s="99"/>
      <c r="F47" s="103">
        <f t="shared" ref="F47:G54" si="36">F46+1</f>
        <v>2022</v>
      </c>
      <c r="G47" s="104">
        <f t="shared" si="36"/>
        <v>3</v>
      </c>
      <c r="H47" s="104">
        <f t="shared" ref="H47:H54" si="37">L46</f>
        <v>0</v>
      </c>
      <c r="I47" s="104">
        <f t="shared" si="32"/>
        <v>0</v>
      </c>
      <c r="J47" s="104">
        <f t="shared" si="33"/>
        <v>0</v>
      </c>
      <c r="K47" s="104">
        <f t="shared" si="34"/>
        <v>0</v>
      </c>
      <c r="L47" s="104">
        <f t="shared" si="35"/>
        <v>0</v>
      </c>
    </row>
    <row r="48" spans="2:14" x14ac:dyDescent="0.2">
      <c r="B48" s="107" t="s">
        <v>116</v>
      </c>
      <c r="C48" s="108">
        <v>43831</v>
      </c>
      <c r="D48" s="79"/>
      <c r="E48" s="99"/>
      <c r="F48" s="103">
        <f t="shared" si="36"/>
        <v>2023</v>
      </c>
      <c r="G48" s="104">
        <f t="shared" si="36"/>
        <v>4</v>
      </c>
      <c r="H48" s="104">
        <f t="shared" si="37"/>
        <v>0</v>
      </c>
      <c r="I48" s="104">
        <f t="shared" si="32"/>
        <v>0</v>
      </c>
      <c r="J48" s="104">
        <f t="shared" si="33"/>
        <v>0</v>
      </c>
      <c r="K48" s="104">
        <f t="shared" si="34"/>
        <v>0</v>
      </c>
      <c r="L48" s="104">
        <f t="shared" si="35"/>
        <v>0</v>
      </c>
    </row>
    <row r="49" spans="2:12" x14ac:dyDescent="0.2">
      <c r="B49" s="101"/>
      <c r="C49" s="79"/>
      <c r="D49" s="79"/>
      <c r="E49" s="99"/>
      <c r="F49" s="103">
        <f t="shared" si="36"/>
        <v>2024</v>
      </c>
      <c r="G49" s="104">
        <f t="shared" si="36"/>
        <v>5</v>
      </c>
      <c r="H49" s="104">
        <f t="shared" si="37"/>
        <v>0</v>
      </c>
      <c r="I49" s="104">
        <f t="shared" si="32"/>
        <v>0</v>
      </c>
      <c r="J49" s="104">
        <f t="shared" si="33"/>
        <v>0</v>
      </c>
      <c r="K49" s="104">
        <f t="shared" si="34"/>
        <v>0</v>
      </c>
      <c r="L49" s="104">
        <f t="shared" si="35"/>
        <v>0</v>
      </c>
    </row>
    <row r="50" spans="2:12" x14ac:dyDescent="0.2">
      <c r="B50" s="101"/>
      <c r="C50" s="79"/>
      <c r="D50" s="79"/>
      <c r="E50" s="99"/>
      <c r="F50" s="103">
        <f t="shared" si="36"/>
        <v>2025</v>
      </c>
      <c r="G50" s="104">
        <f t="shared" si="36"/>
        <v>6</v>
      </c>
      <c r="H50" s="104">
        <f t="shared" si="37"/>
        <v>0</v>
      </c>
      <c r="I50" s="104">
        <f t="shared" si="32"/>
        <v>0</v>
      </c>
      <c r="J50" s="104">
        <f t="shared" si="33"/>
        <v>0</v>
      </c>
      <c r="K50" s="104">
        <f t="shared" si="34"/>
        <v>0</v>
      </c>
      <c r="L50" s="104">
        <f t="shared" si="35"/>
        <v>0</v>
      </c>
    </row>
    <row r="51" spans="2:12" x14ac:dyDescent="0.2">
      <c r="B51" s="101"/>
      <c r="C51" s="79"/>
      <c r="D51" s="79"/>
      <c r="E51" s="99"/>
      <c r="F51" s="103">
        <f t="shared" si="36"/>
        <v>2026</v>
      </c>
      <c r="G51" s="104">
        <f t="shared" si="36"/>
        <v>7</v>
      </c>
      <c r="H51" s="104">
        <f t="shared" si="37"/>
        <v>0</v>
      </c>
      <c r="I51" s="104">
        <f t="shared" si="32"/>
        <v>0</v>
      </c>
      <c r="J51" s="104">
        <f t="shared" si="33"/>
        <v>0</v>
      </c>
      <c r="K51" s="104">
        <f t="shared" si="34"/>
        <v>0</v>
      </c>
      <c r="L51" s="104">
        <f t="shared" si="35"/>
        <v>0</v>
      </c>
    </row>
    <row r="52" spans="2:12" x14ac:dyDescent="0.2">
      <c r="B52" s="79"/>
      <c r="C52" s="79"/>
      <c r="D52" s="79"/>
      <c r="E52" s="104"/>
      <c r="F52" s="103">
        <f t="shared" si="36"/>
        <v>2027</v>
      </c>
      <c r="G52" s="104">
        <f t="shared" si="36"/>
        <v>8</v>
      </c>
      <c r="H52" s="104">
        <f t="shared" si="37"/>
        <v>0</v>
      </c>
      <c r="I52" s="104">
        <f t="shared" si="32"/>
        <v>0</v>
      </c>
      <c r="J52" s="104">
        <f t="shared" si="33"/>
        <v>0</v>
      </c>
      <c r="K52" s="104">
        <f t="shared" si="34"/>
        <v>0</v>
      </c>
      <c r="L52" s="104">
        <f t="shared" si="35"/>
        <v>0</v>
      </c>
    </row>
    <row r="53" spans="2:12" x14ac:dyDescent="0.2">
      <c r="B53" s="79"/>
      <c r="C53" s="79"/>
      <c r="D53" s="79"/>
      <c r="E53" s="104"/>
      <c r="F53" s="103">
        <f t="shared" si="36"/>
        <v>2028</v>
      </c>
      <c r="G53" s="104">
        <f t="shared" si="36"/>
        <v>9</v>
      </c>
      <c r="H53" s="104">
        <f t="shared" si="37"/>
        <v>0</v>
      </c>
      <c r="I53" s="104">
        <f t="shared" si="32"/>
        <v>0</v>
      </c>
      <c r="J53" s="104">
        <f t="shared" si="33"/>
        <v>0</v>
      </c>
      <c r="K53" s="104">
        <f t="shared" si="34"/>
        <v>0</v>
      </c>
      <c r="L53" s="104">
        <f t="shared" si="35"/>
        <v>0</v>
      </c>
    </row>
    <row r="54" spans="2:12" x14ac:dyDescent="0.2">
      <c r="B54" s="79"/>
      <c r="C54" s="79"/>
      <c r="D54" s="79"/>
      <c r="E54" s="79"/>
      <c r="F54" s="109">
        <f t="shared" si="36"/>
        <v>2029</v>
      </c>
      <c r="G54" s="104">
        <f t="shared" si="36"/>
        <v>10</v>
      </c>
      <c r="H54" s="104">
        <f t="shared" si="37"/>
        <v>0</v>
      </c>
      <c r="I54" s="104">
        <f t="shared" si="32"/>
        <v>0</v>
      </c>
      <c r="J54" s="104">
        <f t="shared" si="33"/>
        <v>0</v>
      </c>
      <c r="K54" s="104">
        <f t="shared" si="34"/>
        <v>0</v>
      </c>
      <c r="L54" s="104">
        <f t="shared" si="35"/>
        <v>0</v>
      </c>
    </row>
    <row r="55" spans="2:12" x14ac:dyDescent="0.2">
      <c r="F55" s="96"/>
      <c r="G55" s="96"/>
      <c r="H55" s="96"/>
      <c r="I55" s="96"/>
      <c r="J55" s="96"/>
      <c r="K55" s="96"/>
      <c r="L55" s="96"/>
    </row>
    <row r="56" spans="2:12" x14ac:dyDescent="0.2">
      <c r="B56" s="76" t="s">
        <v>126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</row>
    <row r="57" spans="2:12" x14ac:dyDescent="0.2">
      <c r="B57" s="47"/>
      <c r="C57" s="47"/>
      <c r="D57" s="47"/>
      <c r="E57" s="1"/>
      <c r="F57" s="1"/>
      <c r="G57" s="1"/>
    </row>
    <row r="58" spans="2:12" x14ac:dyDescent="0.2">
      <c r="B58" s="113" t="s">
        <v>30</v>
      </c>
      <c r="C58" s="113"/>
      <c r="D58" s="113"/>
      <c r="E58" s="73"/>
      <c r="F58" s="73"/>
      <c r="G58" s="73"/>
      <c r="H58" s="73"/>
      <c r="I58" s="73"/>
      <c r="J58" s="73"/>
      <c r="K58" s="73"/>
      <c r="L58" s="73"/>
    </row>
    <row r="59" spans="2:12" x14ac:dyDescent="0.2">
      <c r="B59" s="47" t="s">
        <v>127</v>
      </c>
      <c r="C59" s="47"/>
      <c r="D59" s="47"/>
      <c r="E59" s="114">
        <v>365</v>
      </c>
      <c r="F59" s="114">
        <v>365</v>
      </c>
      <c r="G59" s="114">
        <v>365</v>
      </c>
      <c r="H59" s="114">
        <v>365</v>
      </c>
      <c r="I59" s="114">
        <v>365</v>
      </c>
      <c r="J59" s="114">
        <v>365</v>
      </c>
      <c r="K59" s="114">
        <v>365</v>
      </c>
      <c r="L59" s="114">
        <v>365</v>
      </c>
    </row>
    <row r="60" spans="2:12" x14ac:dyDescent="0.2">
      <c r="B60" s="47" t="s">
        <v>128</v>
      </c>
      <c r="C60" s="47"/>
      <c r="D60" s="47"/>
      <c r="E60" s="116">
        <f>IFERROR(E62/E61*E59,0)</f>
        <v>22.133054758400736</v>
      </c>
      <c r="F60" s="116">
        <f t="shared" ref="F60:G60" si="38">IFERROR(F62/F61*F59,0)</f>
        <v>20.361021494411048</v>
      </c>
      <c r="G60" s="116">
        <f t="shared" si="38"/>
        <v>20.845479857709389</v>
      </c>
      <c r="H60" s="120">
        <f>AVERAGE(E60:G60)</f>
        <v>21.113185370173724</v>
      </c>
      <c r="I60" s="120">
        <f t="shared" ref="I60:L60" si="39">AVERAGE(F60:H60)</f>
        <v>20.773228907431388</v>
      </c>
      <c r="J60" s="120">
        <f t="shared" si="39"/>
        <v>20.910631378438168</v>
      </c>
      <c r="K60" s="120">
        <f t="shared" si="39"/>
        <v>20.932348552014428</v>
      </c>
      <c r="L60" s="120">
        <f t="shared" si="39"/>
        <v>20.872069612627996</v>
      </c>
    </row>
    <row r="61" spans="2:12" x14ac:dyDescent="0.2">
      <c r="B61" s="47" t="s">
        <v>129</v>
      </c>
      <c r="C61" s="47"/>
      <c r="D61" s="47"/>
      <c r="E61" s="117">
        <f>E114</f>
        <v>282130.96059999999</v>
      </c>
      <c r="F61" s="117">
        <f t="shared" ref="F61:L61" si="40">F114</f>
        <v>326602.25880000001</v>
      </c>
      <c r="G61" s="117">
        <f t="shared" si="40"/>
        <v>363274.00099999999</v>
      </c>
      <c r="H61" s="117">
        <f t="shared" si="40"/>
        <v>381437.70105000003</v>
      </c>
      <c r="I61" s="117">
        <f t="shared" si="40"/>
        <v>400509.58610250003</v>
      </c>
      <c r="J61" s="117">
        <f t="shared" si="40"/>
        <v>420535.06540762505</v>
      </c>
      <c r="K61" s="117">
        <f t="shared" si="40"/>
        <v>441561.8186780063</v>
      </c>
      <c r="L61" s="117">
        <f t="shared" si="40"/>
        <v>463639.90961190662</v>
      </c>
    </row>
    <row r="62" spans="2:12" x14ac:dyDescent="0.2">
      <c r="B62" s="47" t="s">
        <v>130</v>
      </c>
      <c r="C62" s="47"/>
      <c r="D62" s="47"/>
      <c r="E62" s="116">
        <f>AVERAGE(E63:E64)</f>
        <v>17108</v>
      </c>
      <c r="F62" s="116">
        <f t="shared" ref="F62:G62" si="41">AVERAGE(F63:F64)</f>
        <v>18219.05647</v>
      </c>
      <c r="G62" s="116">
        <f t="shared" si="41"/>
        <v>20746.906494999999</v>
      </c>
      <c r="H62" s="84">
        <f>H60/H59*H61</f>
        <v>22064.013395730301</v>
      </c>
      <c r="I62" s="84">
        <f t="shared" ref="I62:L62" si="42">I60/I59*I61</f>
        <v>22794.184415692696</v>
      </c>
      <c r="J62" s="84">
        <f t="shared" si="42"/>
        <v>24092.202012181457</v>
      </c>
      <c r="K62" s="84">
        <f t="shared" si="42"/>
        <v>25323.084646108007</v>
      </c>
      <c r="L62" s="84">
        <f t="shared" si="42"/>
        <v>26512.66977701991</v>
      </c>
    </row>
    <row r="63" spans="2:12" x14ac:dyDescent="0.2">
      <c r="B63" s="47" t="s">
        <v>108</v>
      </c>
      <c r="C63" s="47"/>
      <c r="D63" s="47"/>
      <c r="E63" s="118"/>
      <c r="F63" s="117">
        <f>E64</f>
        <v>17108</v>
      </c>
      <c r="G63" s="117">
        <f t="shared" ref="G63:L63" si="43">F64</f>
        <v>19330.112939999999</v>
      </c>
      <c r="H63" s="117">
        <f t="shared" si="43"/>
        <v>22163.700049999999</v>
      </c>
      <c r="I63" s="117">
        <f t="shared" si="43"/>
        <v>21964.326741460602</v>
      </c>
      <c r="J63" s="117">
        <f t="shared" si="43"/>
        <v>23624.042089924791</v>
      </c>
      <c r="K63" s="117">
        <f t="shared" si="43"/>
        <v>24560.361934438122</v>
      </c>
      <c r="L63" s="117">
        <f t="shared" si="43"/>
        <v>26085.807357777892</v>
      </c>
    </row>
    <row r="64" spans="2:12" x14ac:dyDescent="0.2">
      <c r="B64" s="115" t="s">
        <v>111</v>
      </c>
      <c r="C64" s="115"/>
      <c r="D64" s="115"/>
      <c r="E64" s="119">
        <f>E146</f>
        <v>17108</v>
      </c>
      <c r="F64" s="119">
        <f t="shared" ref="F64:G64" si="44">F146</f>
        <v>19330.112939999999</v>
      </c>
      <c r="G64" s="119">
        <f t="shared" si="44"/>
        <v>22163.700049999999</v>
      </c>
      <c r="H64" s="121">
        <f>H62*2-H63</f>
        <v>21964.326741460602</v>
      </c>
      <c r="I64" s="121">
        <f t="shared" ref="I64:L64" si="45">I62*2-I63</f>
        <v>23624.042089924791</v>
      </c>
      <c r="J64" s="121">
        <f t="shared" si="45"/>
        <v>24560.361934438122</v>
      </c>
      <c r="K64" s="121">
        <f t="shared" si="45"/>
        <v>26085.807357777892</v>
      </c>
      <c r="L64" s="121">
        <f t="shared" si="45"/>
        <v>26939.532196261927</v>
      </c>
    </row>
    <row r="65" spans="2:12" x14ac:dyDescent="0.2">
      <c r="B65" s="47"/>
      <c r="C65" s="47"/>
      <c r="D65" s="47"/>
      <c r="E65" s="1"/>
      <c r="F65" s="1"/>
      <c r="G65" s="1"/>
    </row>
    <row r="66" spans="2:12" x14ac:dyDescent="0.2">
      <c r="B66" s="113" t="s">
        <v>32</v>
      </c>
      <c r="C66" s="113"/>
      <c r="D66" s="113"/>
      <c r="E66" s="73"/>
      <c r="F66" s="73"/>
      <c r="G66" s="73"/>
      <c r="H66" s="73"/>
      <c r="I66" s="73"/>
      <c r="J66" s="73"/>
      <c r="K66" s="73"/>
      <c r="L66" s="73"/>
    </row>
    <row r="67" spans="2:12" x14ac:dyDescent="0.2">
      <c r="B67" s="47" t="s">
        <v>127</v>
      </c>
      <c r="C67" s="47"/>
      <c r="D67" s="47"/>
      <c r="E67" s="114">
        <v>365</v>
      </c>
      <c r="F67" s="114">
        <v>365</v>
      </c>
      <c r="G67" s="114">
        <v>365</v>
      </c>
      <c r="H67" s="114">
        <v>365</v>
      </c>
      <c r="I67" s="114">
        <v>365</v>
      </c>
      <c r="J67" s="114">
        <v>365</v>
      </c>
      <c r="K67" s="114">
        <v>365</v>
      </c>
      <c r="L67" s="114">
        <v>365</v>
      </c>
    </row>
    <row r="68" spans="2:12" x14ac:dyDescent="0.2">
      <c r="B68" s="47" t="s">
        <v>133</v>
      </c>
      <c r="C68" s="47"/>
      <c r="D68" s="47"/>
      <c r="E68" s="116">
        <f>IFERROR(E70/E69*E67,0)</f>
        <v>426.75559302382175</v>
      </c>
      <c r="F68" s="116">
        <f t="shared" ref="F68:G68" si="46">IFERROR(F70/F69*F67,0)</f>
        <v>448.19267878964627</v>
      </c>
      <c r="G68" s="116">
        <f t="shared" si="46"/>
        <v>427.93757313414238</v>
      </c>
      <c r="H68" s="120">
        <f>AVERAGE(E68:G68)</f>
        <v>434.29528164920345</v>
      </c>
      <c r="I68" s="120">
        <f t="shared" ref="I68:L68" si="47">AVERAGE(F68:H68)</f>
        <v>436.80851119099731</v>
      </c>
      <c r="J68" s="120">
        <f t="shared" si="47"/>
        <v>433.01378865811438</v>
      </c>
      <c r="K68" s="120">
        <f t="shared" si="47"/>
        <v>434.70586049943836</v>
      </c>
      <c r="L68" s="120">
        <f t="shared" si="47"/>
        <v>434.84272011618333</v>
      </c>
    </row>
    <row r="69" spans="2:12" x14ac:dyDescent="0.2">
      <c r="B69" s="47" t="s">
        <v>134</v>
      </c>
      <c r="C69" s="47"/>
      <c r="D69" s="47"/>
      <c r="E69" s="117">
        <f>E120</f>
        <v>10749.29087043959</v>
      </c>
      <c r="F69" s="117">
        <f t="shared" ref="F69:L69" si="48">F120</f>
        <v>11858.214673101385</v>
      </c>
      <c r="G69" s="117">
        <f t="shared" si="48"/>
        <v>14617.908995897209</v>
      </c>
      <c r="H69" s="117">
        <f t="shared" si="48"/>
        <v>14576.962528924456</v>
      </c>
      <c r="I69" s="117">
        <f t="shared" si="48"/>
        <v>15321.22787570286</v>
      </c>
      <c r="J69" s="117">
        <f t="shared" si="48"/>
        <v>16360.149119667576</v>
      </c>
      <c r="K69" s="117">
        <f t="shared" si="48"/>
        <v>16981.488852053175</v>
      </c>
      <c r="L69" s="117">
        <f t="shared" si="48"/>
        <v>17867.954706233286</v>
      </c>
    </row>
    <row r="70" spans="2:12" x14ac:dyDescent="0.2">
      <c r="B70" s="47" t="s">
        <v>130</v>
      </c>
      <c r="C70" s="47"/>
      <c r="D70" s="47"/>
      <c r="E70" s="116">
        <f>AVERAGE(E71:E72)</f>
        <v>12568</v>
      </c>
      <c r="F70" s="116">
        <f t="shared" ref="F70:G70" si="49">AVERAGE(F71:F72)</f>
        <v>14561</v>
      </c>
      <c r="G70" s="116">
        <f t="shared" si="49"/>
        <v>17138.5</v>
      </c>
      <c r="H70" s="84">
        <f>H68/H67*H69</f>
        <v>17344.400129011319</v>
      </c>
      <c r="I70" s="84">
        <f t="shared" ref="I70:L70" si="50">I68/I67*I69</f>
        <v>18335.459556174719</v>
      </c>
      <c r="J70" s="84">
        <f t="shared" si="50"/>
        <v>19408.685351558826</v>
      </c>
      <c r="K70" s="84">
        <f t="shared" si="50"/>
        <v>20224.528010940809</v>
      </c>
      <c r="L70" s="84">
        <f t="shared" si="50"/>
        <v>21286.986376359564</v>
      </c>
    </row>
    <row r="71" spans="2:12" x14ac:dyDescent="0.2">
      <c r="B71" s="47" t="s">
        <v>108</v>
      </c>
      <c r="C71" s="47"/>
      <c r="D71" s="47"/>
      <c r="E71" s="118"/>
      <c r="F71" s="117">
        <f>E72</f>
        <v>12568</v>
      </c>
      <c r="G71" s="117">
        <f t="shared" ref="G71:L71" si="51">F72</f>
        <v>16554</v>
      </c>
      <c r="H71" s="117">
        <f t="shared" si="51"/>
        <v>17723</v>
      </c>
      <c r="I71" s="117">
        <f t="shared" si="51"/>
        <v>16965.800258022638</v>
      </c>
      <c r="J71" s="117">
        <f t="shared" si="51"/>
        <v>19705.1188543268</v>
      </c>
      <c r="K71" s="117">
        <f t="shared" si="51"/>
        <v>19112.251848790853</v>
      </c>
      <c r="L71" s="117">
        <f t="shared" si="51"/>
        <v>21336.804173090764</v>
      </c>
    </row>
    <row r="72" spans="2:12" x14ac:dyDescent="0.2">
      <c r="B72" s="115" t="s">
        <v>111</v>
      </c>
      <c r="C72" s="115"/>
      <c r="D72" s="115"/>
      <c r="E72" s="119">
        <f>E148</f>
        <v>12568</v>
      </c>
      <c r="F72" s="119">
        <f t="shared" ref="F72:G72" si="52">F148</f>
        <v>16554</v>
      </c>
      <c r="G72" s="119">
        <f t="shared" si="52"/>
        <v>17723</v>
      </c>
      <c r="H72" s="121">
        <f>H70*2-H71</f>
        <v>16965.800258022638</v>
      </c>
      <c r="I72" s="121">
        <f t="shared" ref="I72:L72" si="53">I70*2-I71</f>
        <v>19705.1188543268</v>
      </c>
      <c r="J72" s="121">
        <f t="shared" si="53"/>
        <v>19112.251848790853</v>
      </c>
      <c r="K72" s="121">
        <f t="shared" si="53"/>
        <v>21336.804173090764</v>
      </c>
      <c r="L72" s="121">
        <f t="shared" si="53"/>
        <v>21237.168579628364</v>
      </c>
    </row>
    <row r="73" spans="2:12" x14ac:dyDescent="0.2">
      <c r="B73" s="47"/>
      <c r="C73" s="47"/>
      <c r="D73" s="47"/>
      <c r="E73" s="1"/>
      <c r="F73" s="1"/>
      <c r="G73" s="1"/>
    </row>
    <row r="74" spans="2:12" x14ac:dyDescent="0.2">
      <c r="B74" s="113" t="s">
        <v>36</v>
      </c>
      <c r="C74" s="113"/>
      <c r="D74" s="113"/>
      <c r="E74" s="73"/>
      <c r="F74" s="73"/>
      <c r="G74" s="73"/>
      <c r="H74" s="73"/>
      <c r="I74" s="73"/>
      <c r="J74" s="73"/>
      <c r="K74" s="73"/>
      <c r="L74" s="73"/>
    </row>
    <row r="75" spans="2:12" x14ac:dyDescent="0.2">
      <c r="B75" s="47" t="s">
        <v>127</v>
      </c>
      <c r="C75" s="47"/>
      <c r="D75" s="47"/>
      <c r="E75" s="114">
        <v>365</v>
      </c>
      <c r="F75" s="114">
        <v>365</v>
      </c>
      <c r="G75" s="114">
        <v>365</v>
      </c>
      <c r="H75" s="114">
        <v>365</v>
      </c>
      <c r="I75" s="114">
        <v>365</v>
      </c>
      <c r="J75" s="114">
        <v>365</v>
      </c>
      <c r="K75" s="114">
        <v>365</v>
      </c>
      <c r="L75" s="114">
        <v>365</v>
      </c>
    </row>
    <row r="76" spans="2:12" x14ac:dyDescent="0.2">
      <c r="B76" s="47" t="s">
        <v>131</v>
      </c>
      <c r="C76" s="47"/>
      <c r="D76" s="47"/>
      <c r="E76" s="116">
        <f>IFERROR(E78/E77*E75,0)</f>
        <v>60.030544386881544</v>
      </c>
      <c r="F76" s="116">
        <f t="shared" ref="F76:G76" si="54">IFERROR(F78/F77*F75,0)</f>
        <v>58.040988730599139</v>
      </c>
      <c r="G76" s="116">
        <f t="shared" si="54"/>
        <v>59.03441011071817</v>
      </c>
      <c r="H76" s="120">
        <f>AVERAGE(E76:G76)</f>
        <v>59.035314409399611</v>
      </c>
      <c r="I76" s="120">
        <f t="shared" ref="I76:L76" si="55">AVERAGE(F76:H76)</f>
        <v>58.703571083572307</v>
      </c>
      <c r="J76" s="120">
        <f t="shared" si="55"/>
        <v>58.924431867896693</v>
      </c>
      <c r="K76" s="120">
        <f t="shared" si="55"/>
        <v>58.887772453622865</v>
      </c>
      <c r="L76" s="120">
        <f t="shared" si="55"/>
        <v>58.838591801697284</v>
      </c>
    </row>
    <row r="77" spans="2:12" x14ac:dyDescent="0.2">
      <c r="B77" s="47" t="s">
        <v>132</v>
      </c>
      <c r="C77" s="47"/>
      <c r="D77" s="47"/>
      <c r="E77" s="117">
        <f>E129</f>
        <v>120346.15167639151</v>
      </c>
      <c r="F77" s="117">
        <f t="shared" ref="F77:L77" si="56">F129</f>
        <v>129137.61746530174</v>
      </c>
      <c r="G77" s="117">
        <f t="shared" si="56"/>
        <v>147964.50889604283</v>
      </c>
      <c r="H77" s="117">
        <f t="shared" si="56"/>
        <v>156296.23224812991</v>
      </c>
      <c r="I77" s="117">
        <f t="shared" si="56"/>
        <v>161867.42746402341</v>
      </c>
      <c r="J77" s="117">
        <f t="shared" si="56"/>
        <v>171188.26983385644</v>
      </c>
      <c r="K77" s="117">
        <f t="shared" si="56"/>
        <v>179712.98265362548</v>
      </c>
      <c r="L77" s="117">
        <f t="shared" si="56"/>
        <v>188271.82666539121</v>
      </c>
    </row>
    <row r="78" spans="2:12" x14ac:dyDescent="0.2">
      <c r="B78" s="47" t="s">
        <v>130</v>
      </c>
      <c r="C78" s="47"/>
      <c r="D78" s="47"/>
      <c r="E78" s="116">
        <f>AVERAGE(E79:E80)</f>
        <v>19793</v>
      </c>
      <c r="F78" s="116">
        <f t="shared" ref="F78:G78" si="57">AVERAGE(F79:F80)</f>
        <v>20535</v>
      </c>
      <c r="G78" s="116">
        <f t="shared" si="57"/>
        <v>23931.5</v>
      </c>
      <c r="H78" s="84">
        <f>H76/H75*H77</f>
        <v>25279.444415816142</v>
      </c>
      <c r="I78" s="84">
        <f t="shared" ref="I78:L78" si="58">I76/I75*I77</f>
        <v>26033.413792463787</v>
      </c>
      <c r="J78" s="84">
        <f t="shared" si="58"/>
        <v>27636.086417556682</v>
      </c>
      <c r="K78" s="84">
        <f t="shared" si="58"/>
        <v>28994.2389848454</v>
      </c>
      <c r="L78" s="84">
        <f t="shared" si="58"/>
        <v>30349.723717602355</v>
      </c>
    </row>
    <row r="79" spans="2:12" x14ac:dyDescent="0.2">
      <c r="B79" s="47" t="s">
        <v>108</v>
      </c>
      <c r="C79" s="47"/>
      <c r="D79" s="47"/>
      <c r="E79" s="118"/>
      <c r="F79" s="117">
        <f>E80</f>
        <v>19793</v>
      </c>
      <c r="G79" s="117">
        <f t="shared" ref="G79:L79" si="59">F80</f>
        <v>21277</v>
      </c>
      <c r="H79" s="117">
        <f t="shared" si="59"/>
        <v>26586</v>
      </c>
      <c r="I79" s="117">
        <f t="shared" si="59"/>
        <v>23972.888831632285</v>
      </c>
      <c r="J79" s="117">
        <f t="shared" si="59"/>
        <v>28093.93875329529</v>
      </c>
      <c r="K79" s="117">
        <f t="shared" si="59"/>
        <v>27178.234081818075</v>
      </c>
      <c r="L79" s="117">
        <f t="shared" si="59"/>
        <v>30810.243887872726</v>
      </c>
    </row>
    <row r="80" spans="2:12" x14ac:dyDescent="0.2">
      <c r="B80" s="115" t="s">
        <v>111</v>
      </c>
      <c r="C80" s="115"/>
      <c r="D80" s="115"/>
      <c r="E80" s="119">
        <f>E155</f>
        <v>19793</v>
      </c>
      <c r="F80" s="119">
        <f t="shared" ref="F80:G80" si="60">F155</f>
        <v>21277</v>
      </c>
      <c r="G80" s="119">
        <f t="shared" si="60"/>
        <v>26586</v>
      </c>
      <c r="H80" s="121">
        <f>H78*2-H79</f>
        <v>23972.888831632285</v>
      </c>
      <c r="I80" s="121">
        <f t="shared" ref="I80:L80" si="61">I78*2-I79</f>
        <v>28093.93875329529</v>
      </c>
      <c r="J80" s="121">
        <f t="shared" si="61"/>
        <v>27178.234081818075</v>
      </c>
      <c r="K80" s="121">
        <f t="shared" si="61"/>
        <v>30810.243887872726</v>
      </c>
      <c r="L80" s="121">
        <f t="shared" si="61"/>
        <v>29889.203547331985</v>
      </c>
    </row>
    <row r="81" spans="2:12" x14ac:dyDescent="0.2">
      <c r="B81" s="47"/>
      <c r="C81" s="47"/>
      <c r="D81" s="47"/>
      <c r="E81" s="1"/>
      <c r="F81" s="1"/>
      <c r="G81" s="1"/>
    </row>
    <row r="82" spans="2:12" x14ac:dyDescent="0.2">
      <c r="B82" s="47" t="s">
        <v>135</v>
      </c>
      <c r="C82" s="47"/>
      <c r="D82" s="47"/>
      <c r="E82" s="117">
        <f>E64+E72-E80</f>
        <v>9883</v>
      </c>
      <c r="F82" s="117">
        <f t="shared" ref="F82:L82" si="62">F64+F72-F80</f>
        <v>14607.112939999999</v>
      </c>
      <c r="G82" s="117">
        <f t="shared" si="62"/>
        <v>13300.700049999999</v>
      </c>
      <c r="H82" s="117">
        <f t="shared" si="62"/>
        <v>14957.238167850956</v>
      </c>
      <c r="I82" s="117">
        <f t="shared" si="62"/>
        <v>15235.222190956301</v>
      </c>
      <c r="J82" s="117">
        <f t="shared" si="62"/>
        <v>16494.3797014109</v>
      </c>
      <c r="K82" s="117">
        <f t="shared" si="62"/>
        <v>16612.367642995931</v>
      </c>
      <c r="L82" s="117">
        <f t="shared" si="62"/>
        <v>18287.497228558306</v>
      </c>
    </row>
    <row r="83" spans="2:12" ht="10.8" thickBot="1" x14ac:dyDescent="0.25">
      <c r="B83" s="122" t="s">
        <v>136</v>
      </c>
      <c r="C83" s="122"/>
      <c r="D83" s="122"/>
      <c r="E83" s="123"/>
      <c r="F83" s="124">
        <f>F82-E82</f>
        <v>4724.1129399999991</v>
      </c>
      <c r="G83" s="124">
        <f t="shared" ref="G83:L83" si="63">G82-F82</f>
        <v>-1306.4128899999996</v>
      </c>
      <c r="H83" s="124">
        <f t="shared" si="63"/>
        <v>1656.538117850956</v>
      </c>
      <c r="I83" s="124">
        <f t="shared" si="63"/>
        <v>277.98402310534584</v>
      </c>
      <c r="J83" s="124">
        <f t="shared" si="63"/>
        <v>1259.1575104545991</v>
      </c>
      <c r="K83" s="124">
        <f t="shared" si="63"/>
        <v>117.98794158503006</v>
      </c>
      <c r="L83" s="124">
        <f t="shared" si="63"/>
        <v>1675.1295855623757</v>
      </c>
    </row>
    <row r="84" spans="2:12" ht="10.8" thickTop="1" x14ac:dyDescent="0.2">
      <c r="B84" s="47"/>
      <c r="C84" s="47"/>
      <c r="D84" s="47"/>
      <c r="E84" s="1"/>
      <c r="F84" s="1"/>
      <c r="G84" s="1"/>
    </row>
    <row r="85" spans="2:12" x14ac:dyDescent="0.2">
      <c r="B85" s="76" t="s">
        <v>33</v>
      </c>
      <c r="C85" s="76"/>
      <c r="D85" s="76"/>
      <c r="E85" s="76"/>
      <c r="F85" s="76"/>
      <c r="G85" s="76"/>
      <c r="H85" s="76"/>
      <c r="I85" s="76"/>
      <c r="J85" s="76"/>
      <c r="K85" s="76"/>
      <c r="L85" s="76"/>
    </row>
    <row r="86" spans="2:12" x14ac:dyDescent="0.2">
      <c r="B86" s="47"/>
      <c r="C86" s="47"/>
      <c r="D86" s="47"/>
      <c r="E86" s="1"/>
      <c r="F86" s="1"/>
      <c r="G86" s="1"/>
    </row>
    <row r="87" spans="2:12" x14ac:dyDescent="0.2">
      <c r="B87" s="47" t="s">
        <v>137</v>
      </c>
      <c r="C87" s="47"/>
      <c r="D87" s="47"/>
      <c r="E87" s="1"/>
      <c r="F87" s="117">
        <f>E90</f>
        <v>85844</v>
      </c>
      <c r="G87" s="117">
        <f t="shared" ref="G87:L87" si="64">F90</f>
        <v>98135</v>
      </c>
      <c r="H87" s="117">
        <f t="shared" si="64"/>
        <v>107349</v>
      </c>
      <c r="I87" s="117">
        <f t="shared" si="64"/>
        <v>107349</v>
      </c>
      <c r="J87" s="117">
        <f t="shared" si="64"/>
        <v>107349</v>
      </c>
      <c r="K87" s="117">
        <f t="shared" si="64"/>
        <v>107349</v>
      </c>
      <c r="L87" s="117">
        <f t="shared" si="64"/>
        <v>107349</v>
      </c>
    </row>
    <row r="88" spans="2:12" x14ac:dyDescent="0.2">
      <c r="B88" s="47" t="s">
        <v>138</v>
      </c>
      <c r="C88" s="47"/>
      <c r="D88" s="47"/>
      <c r="E88" s="1"/>
      <c r="F88" s="117">
        <f>-F133</f>
        <v>-29282.907500000001</v>
      </c>
      <c r="G88" s="117">
        <f t="shared" ref="G88:L88" si="65">-G133</f>
        <v>-31758</v>
      </c>
      <c r="H88" s="117">
        <f t="shared" si="65"/>
        <v>-36693.391628145589</v>
      </c>
      <c r="I88" s="117">
        <f t="shared" si="65"/>
        <v>-36483.545956962102</v>
      </c>
      <c r="J88" s="117">
        <f t="shared" si="65"/>
        <v>-38508.680758280243</v>
      </c>
      <c r="K88" s="117">
        <f t="shared" si="65"/>
        <v>-41044.803899092331</v>
      </c>
      <c r="L88" s="117">
        <f t="shared" si="65"/>
        <v>-42595.709839493058</v>
      </c>
    </row>
    <row r="89" spans="2:12" x14ac:dyDescent="0.2">
      <c r="B89" s="47" t="s">
        <v>139</v>
      </c>
      <c r="C89" s="47"/>
      <c r="D89" s="47"/>
      <c r="E89" s="1"/>
      <c r="F89" s="117">
        <f>-F178</f>
        <v>41573.907500000001</v>
      </c>
      <c r="G89" s="117">
        <f>-G178</f>
        <v>40972</v>
      </c>
      <c r="H89" s="128">
        <f>-H88</f>
        <v>36693.391628145589</v>
      </c>
      <c r="I89" s="128">
        <f t="shared" ref="I89:L89" si="66">-I88</f>
        <v>36483.545956962102</v>
      </c>
      <c r="J89" s="128">
        <f t="shared" si="66"/>
        <v>38508.680758280243</v>
      </c>
      <c r="K89" s="128">
        <f t="shared" si="66"/>
        <v>41044.803899092331</v>
      </c>
      <c r="L89" s="128">
        <f t="shared" si="66"/>
        <v>42595.709839493058</v>
      </c>
    </row>
    <row r="90" spans="2:12" ht="10.8" thickBot="1" x14ac:dyDescent="0.25">
      <c r="B90" s="125" t="s">
        <v>140</v>
      </c>
      <c r="C90" s="125"/>
      <c r="D90" s="125"/>
      <c r="E90" s="126">
        <f>E149</f>
        <v>85844</v>
      </c>
      <c r="F90" s="127">
        <f>SUM(F87:F89)</f>
        <v>98135</v>
      </c>
      <c r="G90" s="127">
        <f t="shared" ref="G90:L90" si="67">SUM(G87:G89)</f>
        <v>107349</v>
      </c>
      <c r="H90" s="127">
        <f t="shared" si="67"/>
        <v>107349</v>
      </c>
      <c r="I90" s="127">
        <f t="shared" si="67"/>
        <v>107349</v>
      </c>
      <c r="J90" s="127">
        <f t="shared" si="67"/>
        <v>107349</v>
      </c>
      <c r="K90" s="127">
        <f t="shared" si="67"/>
        <v>107349</v>
      </c>
      <c r="L90" s="127">
        <f t="shared" si="67"/>
        <v>107349</v>
      </c>
    </row>
    <row r="91" spans="2:12" x14ac:dyDescent="0.2">
      <c r="B91" s="47"/>
      <c r="C91" s="47"/>
      <c r="D91" s="47"/>
      <c r="E91" s="1"/>
      <c r="F91" s="1"/>
      <c r="G91" s="1"/>
    </row>
    <row r="92" spans="2:12" x14ac:dyDescent="0.2">
      <c r="B92" s="76" t="s">
        <v>76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</row>
    <row r="93" spans="2:12" x14ac:dyDescent="0.2">
      <c r="B93" s="47"/>
      <c r="C93" s="47"/>
      <c r="D93" s="47"/>
      <c r="E93" s="1"/>
      <c r="F93" s="1"/>
      <c r="G93" s="1"/>
    </row>
    <row r="94" spans="2:12" x14ac:dyDescent="0.2">
      <c r="B94" s="47" t="s">
        <v>141</v>
      </c>
      <c r="C94" s="47"/>
      <c r="D94" s="47"/>
      <c r="E94" s="1"/>
      <c r="F94" s="117">
        <f>E96</f>
        <v>0</v>
      </c>
      <c r="G94" s="117">
        <f t="shared" ref="G94:L94" si="68">F96</f>
        <v>0</v>
      </c>
      <c r="H94" s="117">
        <f t="shared" si="68"/>
        <v>0</v>
      </c>
      <c r="I94" s="117">
        <f t="shared" si="68"/>
        <v>0</v>
      </c>
      <c r="J94" s="117">
        <f t="shared" si="68"/>
        <v>0</v>
      </c>
      <c r="K94" s="117">
        <f t="shared" si="68"/>
        <v>0</v>
      </c>
      <c r="L94" s="117">
        <f t="shared" si="68"/>
        <v>0</v>
      </c>
    </row>
    <row r="95" spans="2:12" x14ac:dyDescent="0.2">
      <c r="B95" s="47" t="s">
        <v>142</v>
      </c>
      <c r="C95" s="47"/>
      <c r="D95" s="47"/>
      <c r="E95" s="1"/>
      <c r="F95" s="118"/>
      <c r="G95" s="118"/>
      <c r="H95" s="129"/>
      <c r="I95" s="129"/>
      <c r="J95" s="129"/>
      <c r="K95" s="129"/>
      <c r="L95" s="129"/>
    </row>
    <row r="96" spans="2:12" ht="10.8" thickBot="1" x14ac:dyDescent="0.25">
      <c r="B96" s="125" t="s">
        <v>143</v>
      </c>
      <c r="C96" s="125"/>
      <c r="D96" s="125"/>
      <c r="E96" s="126">
        <f>E150</f>
        <v>0</v>
      </c>
      <c r="F96" s="127">
        <f>SUM(F94:F95)</f>
        <v>0</v>
      </c>
      <c r="G96" s="127">
        <f t="shared" ref="G96:L96" si="69">SUM(G94:G95)</f>
        <v>0</v>
      </c>
      <c r="H96" s="127">
        <f t="shared" si="69"/>
        <v>0</v>
      </c>
      <c r="I96" s="127">
        <f t="shared" si="69"/>
        <v>0</v>
      </c>
      <c r="J96" s="127">
        <f t="shared" si="69"/>
        <v>0</v>
      </c>
      <c r="K96" s="127">
        <f t="shared" si="69"/>
        <v>0</v>
      </c>
      <c r="L96" s="127">
        <f t="shared" si="69"/>
        <v>0</v>
      </c>
    </row>
    <row r="97" spans="2:12" x14ac:dyDescent="0.2">
      <c r="B97" s="47"/>
      <c r="C97" s="47"/>
      <c r="D97" s="47"/>
      <c r="E97" s="1"/>
      <c r="F97" s="1"/>
      <c r="G97" s="1"/>
    </row>
    <row r="98" spans="2:12" x14ac:dyDescent="0.2">
      <c r="B98" s="76" t="s">
        <v>144</v>
      </c>
      <c r="C98" s="76"/>
      <c r="D98" s="76"/>
      <c r="E98" s="76"/>
      <c r="F98" s="76"/>
      <c r="G98" s="76"/>
      <c r="H98" s="76"/>
      <c r="I98" s="76"/>
      <c r="J98" s="76"/>
      <c r="K98" s="76"/>
      <c r="L98" s="76"/>
    </row>
    <row r="99" spans="2:12" x14ac:dyDescent="0.2">
      <c r="B99" s="47"/>
      <c r="C99" s="47"/>
      <c r="D99" s="47"/>
      <c r="E99" s="1"/>
      <c r="F99" s="1"/>
      <c r="G99" s="1"/>
    </row>
    <row r="100" spans="2:12" x14ac:dyDescent="0.2">
      <c r="B100" s="47" t="s">
        <v>145</v>
      </c>
      <c r="C100" s="47"/>
      <c r="D100" s="47"/>
      <c r="E100" s="1"/>
      <c r="F100" s="117">
        <f>E102</f>
        <v>5000</v>
      </c>
      <c r="G100" s="117">
        <f t="shared" ref="G100:L100" si="70">F102</f>
        <v>5000</v>
      </c>
      <c r="H100" s="117">
        <f t="shared" si="70"/>
        <v>5000</v>
      </c>
      <c r="I100" s="117">
        <f t="shared" si="70"/>
        <v>5000</v>
      </c>
      <c r="J100" s="117">
        <f t="shared" si="70"/>
        <v>5000</v>
      </c>
      <c r="K100" s="117">
        <f t="shared" si="70"/>
        <v>5000</v>
      </c>
      <c r="L100" s="117">
        <f t="shared" si="70"/>
        <v>5000</v>
      </c>
    </row>
    <row r="101" spans="2:12" x14ac:dyDescent="0.2">
      <c r="B101" s="47" t="s">
        <v>146</v>
      </c>
      <c r="C101" s="47"/>
      <c r="D101" s="47"/>
      <c r="E101" s="1"/>
      <c r="F101" s="1"/>
      <c r="G101" s="1"/>
      <c r="H101" s="130">
        <v>0</v>
      </c>
      <c r="I101" s="130">
        <v>0</v>
      </c>
      <c r="J101" s="130">
        <v>0</v>
      </c>
      <c r="K101" s="130">
        <v>0</v>
      </c>
      <c r="L101" s="130">
        <v>0</v>
      </c>
    </row>
    <row r="102" spans="2:12" ht="10.8" thickBot="1" x14ac:dyDescent="0.25">
      <c r="B102" s="125" t="s">
        <v>147</v>
      </c>
      <c r="C102" s="125"/>
      <c r="D102" s="125"/>
      <c r="E102" s="126">
        <f>E161</f>
        <v>5000</v>
      </c>
      <c r="F102" s="127">
        <f>SUM(F100:F101)</f>
        <v>5000</v>
      </c>
      <c r="G102" s="127">
        <f t="shared" ref="G102:L102" si="71">SUM(G100:G101)</f>
        <v>5000</v>
      </c>
      <c r="H102" s="127">
        <f t="shared" si="71"/>
        <v>5000</v>
      </c>
      <c r="I102" s="127">
        <f t="shared" si="71"/>
        <v>5000</v>
      </c>
      <c r="J102" s="127">
        <f t="shared" si="71"/>
        <v>5000</v>
      </c>
      <c r="K102" s="127">
        <f t="shared" si="71"/>
        <v>5000</v>
      </c>
      <c r="L102" s="127">
        <f t="shared" si="71"/>
        <v>5000</v>
      </c>
    </row>
    <row r="103" spans="2:12" x14ac:dyDescent="0.2">
      <c r="B103" s="47"/>
      <c r="C103" s="47"/>
      <c r="D103" s="47"/>
      <c r="E103" s="1"/>
      <c r="F103" s="1"/>
      <c r="G103" s="1"/>
    </row>
    <row r="104" spans="2:12" x14ac:dyDescent="0.2">
      <c r="B104" s="47" t="s">
        <v>148</v>
      </c>
      <c r="C104" s="47"/>
      <c r="D104" s="47"/>
      <c r="E104" s="1"/>
      <c r="F104" s="117">
        <f>E107</f>
        <v>66284</v>
      </c>
      <c r="G104" s="117">
        <f t="shared" ref="G104:L104" si="72">F107</f>
        <v>88304.884730000034</v>
      </c>
      <c r="H104" s="117">
        <f t="shared" si="72"/>
        <v>113522.36039000006</v>
      </c>
      <c r="I104" s="117">
        <f t="shared" si="72"/>
        <v>137073.74986311811</v>
      </c>
      <c r="J104" s="117">
        <f t="shared" si="72"/>
        <v>163585.50001481923</v>
      </c>
      <c r="K104" s="117">
        <f t="shared" si="72"/>
        <v>191250.54161958804</v>
      </c>
      <c r="L104" s="117">
        <f t="shared" si="72"/>
        <v>219764.26677494671</v>
      </c>
    </row>
    <row r="105" spans="2:12" x14ac:dyDescent="0.2">
      <c r="B105" s="47" t="s">
        <v>149</v>
      </c>
      <c r="C105" s="47"/>
      <c r="D105" s="47"/>
      <c r="E105" s="1"/>
      <c r="F105" s="117">
        <f>F140</f>
        <v>22020.884730000034</v>
      </c>
      <c r="G105" s="117">
        <f t="shared" ref="G105:L105" si="73">G140</f>
        <v>25217.475660000026</v>
      </c>
      <c r="H105" s="117">
        <f t="shared" si="73"/>
        <v>23551.389473118063</v>
      </c>
      <c r="I105" s="117">
        <f t="shared" si="73"/>
        <v>26511.750151701122</v>
      </c>
      <c r="J105" s="117">
        <f t="shared" si="73"/>
        <v>27665.041604768812</v>
      </c>
      <c r="K105" s="117">
        <f t="shared" si="73"/>
        <v>28513.725155358683</v>
      </c>
      <c r="L105" s="117">
        <f t="shared" si="73"/>
        <v>30376.928183915712</v>
      </c>
    </row>
    <row r="106" spans="2:12" x14ac:dyDescent="0.2">
      <c r="B106" s="47" t="s">
        <v>150</v>
      </c>
      <c r="C106" s="47"/>
      <c r="D106" s="47"/>
      <c r="E106" s="1"/>
      <c r="F106" s="1"/>
      <c r="G106" s="1"/>
      <c r="H106" s="130">
        <v>0</v>
      </c>
      <c r="I106" s="130">
        <v>0</v>
      </c>
      <c r="J106" s="130">
        <v>0</v>
      </c>
      <c r="K106" s="130">
        <v>0</v>
      </c>
      <c r="L106" s="130">
        <v>0</v>
      </c>
    </row>
    <row r="107" spans="2:12" ht="10.8" thickBot="1" x14ac:dyDescent="0.25">
      <c r="B107" s="125" t="s">
        <v>151</v>
      </c>
      <c r="C107" s="125"/>
      <c r="D107" s="125"/>
      <c r="E107" s="126">
        <f>E162</f>
        <v>66284</v>
      </c>
      <c r="F107" s="127">
        <f>SUM(F104:F106)</f>
        <v>88304.884730000034</v>
      </c>
      <c r="G107" s="127">
        <f t="shared" ref="G107:L107" si="74">SUM(G104:G106)</f>
        <v>113522.36039000006</v>
      </c>
      <c r="H107" s="127">
        <f t="shared" si="74"/>
        <v>137073.74986311811</v>
      </c>
      <c r="I107" s="127">
        <f t="shared" si="74"/>
        <v>163585.50001481923</v>
      </c>
      <c r="J107" s="127">
        <f t="shared" si="74"/>
        <v>191250.54161958804</v>
      </c>
      <c r="K107" s="127">
        <f t="shared" si="74"/>
        <v>219764.26677494671</v>
      </c>
      <c r="L107" s="127">
        <f t="shared" si="74"/>
        <v>250141.19495886241</v>
      </c>
    </row>
    <row r="108" spans="2:12" x14ac:dyDescent="0.2">
      <c r="B108" s="47"/>
      <c r="C108" s="47"/>
      <c r="D108" s="47"/>
      <c r="E108" s="1"/>
      <c r="F108" s="1"/>
      <c r="G108" s="1"/>
    </row>
    <row r="109" spans="2:12" x14ac:dyDescent="0.2">
      <c r="B109" s="47"/>
      <c r="C109" s="47"/>
      <c r="D109" s="47"/>
      <c r="E109" s="1"/>
      <c r="F109" s="1"/>
      <c r="G109" s="1"/>
    </row>
    <row r="110" spans="2:12" x14ac:dyDescent="0.2">
      <c r="B110" s="47"/>
      <c r="C110" s="47"/>
      <c r="D110" s="47"/>
      <c r="E110" s="1"/>
      <c r="F110" s="1"/>
      <c r="G110" s="1"/>
    </row>
    <row r="111" spans="2:12" x14ac:dyDescent="0.2">
      <c r="B111" s="47"/>
      <c r="C111" s="47"/>
      <c r="D111" s="47"/>
      <c r="E111" s="1"/>
      <c r="F111" s="1"/>
      <c r="G111" s="1"/>
    </row>
    <row r="112" spans="2:12" x14ac:dyDescent="0.2">
      <c r="B112" s="48" t="s">
        <v>3</v>
      </c>
      <c r="C112" s="48"/>
      <c r="D112" s="48"/>
      <c r="E112" s="36">
        <f>E$7</f>
        <v>2020</v>
      </c>
      <c r="F112" s="36">
        <f t="shared" ref="F112:L112" si="75">F$7</f>
        <v>2021</v>
      </c>
      <c r="G112" s="36">
        <f t="shared" si="75"/>
        <v>2022</v>
      </c>
      <c r="H112" s="36">
        <f t="shared" si="75"/>
        <v>2023</v>
      </c>
      <c r="I112" s="36">
        <f t="shared" si="75"/>
        <v>2024</v>
      </c>
      <c r="J112" s="36">
        <f t="shared" si="75"/>
        <v>2025</v>
      </c>
      <c r="K112" s="36">
        <f t="shared" si="75"/>
        <v>2026</v>
      </c>
      <c r="L112" s="36">
        <f t="shared" si="75"/>
        <v>2027</v>
      </c>
    </row>
    <row r="113" spans="2:12" x14ac:dyDescent="0.2">
      <c r="B113" s="47"/>
      <c r="C113" s="47"/>
      <c r="D113" s="47"/>
      <c r="E113" s="1"/>
      <c r="F113" s="1"/>
      <c r="G113" s="1"/>
    </row>
    <row r="114" spans="2:12" x14ac:dyDescent="0.2">
      <c r="B114" s="49" t="s">
        <v>4</v>
      </c>
      <c r="C114" s="49"/>
      <c r="D114" s="49"/>
      <c r="E114" s="17">
        <v>282130.96059999999</v>
      </c>
      <c r="F114" s="17">
        <v>326602.25880000001</v>
      </c>
      <c r="G114" s="17">
        <v>363274.00099999999</v>
      </c>
      <c r="H114" s="83">
        <f>G114*(1+H13)</f>
        <v>381437.70105000003</v>
      </c>
      <c r="I114" s="83">
        <f t="shared" ref="I114:L114" si="76">H114*(1+I13)</f>
        <v>400509.58610250003</v>
      </c>
      <c r="J114" s="83">
        <f t="shared" si="76"/>
        <v>420535.06540762505</v>
      </c>
      <c r="K114" s="83">
        <f t="shared" si="76"/>
        <v>441561.8186780063</v>
      </c>
      <c r="L114" s="83">
        <f t="shared" si="76"/>
        <v>463639.90961190662</v>
      </c>
    </row>
    <row r="115" spans="2:12" x14ac:dyDescent="0.2">
      <c r="B115" s="50" t="s">
        <v>5</v>
      </c>
      <c r="C115" s="50"/>
      <c r="D115" s="50"/>
      <c r="E115" s="10">
        <v>107929.8134</v>
      </c>
      <c r="F115" s="10">
        <v>132769.4632</v>
      </c>
      <c r="G115" s="10">
        <v>142864.3934</v>
      </c>
      <c r="H115" s="83">
        <f>H114*H14</f>
        <v>150329.48484989512</v>
      </c>
      <c r="I115" s="83">
        <f t="shared" ref="I115:L115" si="77">I114*I14</f>
        <v>159389.34065986256</v>
      </c>
      <c r="J115" s="83">
        <f t="shared" si="77"/>
        <v>166160.15271651337</v>
      </c>
      <c r="K115" s="83">
        <f t="shared" si="77"/>
        <v>174740.02610973245</v>
      </c>
      <c r="L115" s="83">
        <f t="shared" si="77"/>
        <v>183727.22708884953</v>
      </c>
    </row>
    <row r="116" spans="2:12" x14ac:dyDescent="0.2">
      <c r="B116" s="51" t="s">
        <v>6</v>
      </c>
      <c r="C116" s="51"/>
      <c r="D116" s="51"/>
      <c r="E116" s="22">
        <f>E114-E115</f>
        <v>174201.14720000001</v>
      </c>
      <c r="F116" s="22">
        <f t="shared" ref="F116:L116" si="78">F114-F115</f>
        <v>193832.79560000001</v>
      </c>
      <c r="G116" s="22">
        <f t="shared" si="78"/>
        <v>220409.60759999999</v>
      </c>
      <c r="H116" s="22">
        <f t="shared" si="78"/>
        <v>231108.21620010491</v>
      </c>
      <c r="I116" s="22">
        <f t="shared" si="78"/>
        <v>241120.24544263748</v>
      </c>
      <c r="J116" s="22">
        <f t="shared" si="78"/>
        <v>254374.91269111168</v>
      </c>
      <c r="K116" s="22">
        <f t="shared" si="78"/>
        <v>266821.79256827384</v>
      </c>
      <c r="L116" s="22">
        <f t="shared" si="78"/>
        <v>279912.6825230571</v>
      </c>
    </row>
    <row r="117" spans="2:12" x14ac:dyDescent="0.2">
      <c r="B117" s="52"/>
      <c r="C117" s="52"/>
      <c r="D117" s="52"/>
      <c r="E117" s="14"/>
      <c r="F117" s="14"/>
      <c r="G117" s="14"/>
    </row>
    <row r="118" spans="2:12" x14ac:dyDescent="0.2">
      <c r="B118" s="52" t="s">
        <v>7</v>
      </c>
      <c r="C118" s="52"/>
      <c r="D118" s="52"/>
      <c r="E118" s="15"/>
      <c r="F118" s="15"/>
      <c r="G118" s="15"/>
    </row>
    <row r="119" spans="2:12" x14ac:dyDescent="0.2">
      <c r="B119" s="49" t="s">
        <v>8</v>
      </c>
      <c r="C119" s="49"/>
      <c r="D119" s="49"/>
      <c r="E119" s="17">
        <v>60092</v>
      </c>
      <c r="F119" s="17">
        <v>62667.496400000004</v>
      </c>
      <c r="G119" s="17">
        <v>66025.177599999995</v>
      </c>
      <c r="H119" s="83">
        <f>H17*H$114</f>
        <v>74586.422569961724</v>
      </c>
      <c r="I119" s="83">
        <f t="shared" ref="I119:L119" si="79">I17*I$114</f>
        <v>75985.707505188067</v>
      </c>
      <c r="J119" s="83">
        <f t="shared" si="79"/>
        <v>79482.973327676751</v>
      </c>
      <c r="K119" s="83">
        <f t="shared" si="79"/>
        <v>84524.823982027447</v>
      </c>
      <c r="L119" s="83">
        <f t="shared" si="79"/>
        <v>88114.665975195268</v>
      </c>
    </row>
    <row r="120" spans="2:12" x14ac:dyDescent="0.2">
      <c r="B120" s="49" t="s">
        <v>9</v>
      </c>
      <c r="C120" s="49"/>
      <c r="D120" s="49"/>
      <c r="E120" s="17">
        <v>10749.29087043959</v>
      </c>
      <c r="F120" s="17">
        <v>11858.214673101385</v>
      </c>
      <c r="G120" s="17">
        <v>14617.908995897209</v>
      </c>
      <c r="H120" s="83">
        <f t="shared" ref="H120:L120" si="80">H18*H$114</f>
        <v>14576.962528924456</v>
      </c>
      <c r="I120" s="83">
        <f t="shared" si="80"/>
        <v>15321.22787570286</v>
      </c>
      <c r="J120" s="83">
        <f t="shared" si="80"/>
        <v>16360.149119667576</v>
      </c>
      <c r="K120" s="83">
        <f t="shared" si="80"/>
        <v>16981.488852053175</v>
      </c>
      <c r="L120" s="83">
        <f t="shared" si="80"/>
        <v>17867.954706233286</v>
      </c>
    </row>
    <row r="121" spans="2:12" x14ac:dyDescent="0.2">
      <c r="B121" s="49" t="s">
        <v>10</v>
      </c>
      <c r="C121" s="49"/>
      <c r="D121" s="49"/>
      <c r="E121" s="17">
        <v>24304.221809569302</v>
      </c>
      <c r="F121" s="17">
        <v>26811.50628020538</v>
      </c>
      <c r="G121" s="17">
        <v>33051.194437894606</v>
      </c>
      <c r="H121" s="83">
        <f t="shared" ref="H121:L121" si="81">H19*H$114</f>
        <v>32958.614189800217</v>
      </c>
      <c r="I121" s="83">
        <f t="shared" si="81"/>
        <v>34641.403342247686</v>
      </c>
      <c r="J121" s="83">
        <f t="shared" si="81"/>
        <v>36990.411538260858</v>
      </c>
      <c r="K121" s="83">
        <f t="shared" si="81"/>
        <v>38395.265017156489</v>
      </c>
      <c r="L121" s="83">
        <f t="shared" si="81"/>
        <v>40399.570511005462</v>
      </c>
    </row>
    <row r="122" spans="2:12" x14ac:dyDescent="0.2">
      <c r="B122" s="49" t="s">
        <v>11</v>
      </c>
      <c r="C122" s="49"/>
      <c r="D122" s="49"/>
      <c r="E122" s="17">
        <v>5796.2121600597584</v>
      </c>
      <c r="F122" s="17">
        <v>6394.1639419064759</v>
      </c>
      <c r="G122" s="17">
        <v>7882.2410610981424</v>
      </c>
      <c r="H122" s="83">
        <f t="shared" ref="H122:L122" si="82">H20*H$114</f>
        <v>7860.1619851256401</v>
      </c>
      <c r="I122" s="83">
        <f t="shared" si="82"/>
        <v>8261.4833285801469</v>
      </c>
      <c r="J122" s="83">
        <f t="shared" si="82"/>
        <v>8821.68846398797</v>
      </c>
      <c r="K122" s="83">
        <f t="shared" si="82"/>
        <v>9156.7260916593495</v>
      </c>
      <c r="L122" s="83">
        <f t="shared" si="82"/>
        <v>9634.7245220122149</v>
      </c>
    </row>
    <row r="123" spans="2:12" x14ac:dyDescent="0.2">
      <c r="B123" s="49" t="s">
        <v>12</v>
      </c>
      <c r="C123" s="49"/>
      <c r="D123" s="49"/>
      <c r="E123" s="17">
        <v>8464.0198048910297</v>
      </c>
      <c r="F123" s="17">
        <v>9337.1893135565497</v>
      </c>
      <c r="G123" s="17">
        <v>11510.179856386094</v>
      </c>
      <c r="H123" s="83">
        <f t="shared" ref="H123:L123" si="83">H21*H$114</f>
        <v>11477.938500972521</v>
      </c>
      <c r="I123" s="83">
        <f t="shared" si="83"/>
        <v>12063.974985718691</v>
      </c>
      <c r="J123" s="83">
        <f t="shared" si="83"/>
        <v>12882.024296191928</v>
      </c>
      <c r="K123" s="83">
        <f t="shared" si="83"/>
        <v>13371.268829981567</v>
      </c>
      <c r="L123" s="83">
        <f t="shared" si="83"/>
        <v>14069.274366958283</v>
      </c>
    </row>
    <row r="124" spans="2:12" x14ac:dyDescent="0.2">
      <c r="B124" s="49" t="s">
        <v>13</v>
      </c>
      <c r="C124" s="49"/>
      <c r="D124" s="49"/>
      <c r="E124" s="17">
        <v>441.82084150943746</v>
      </c>
      <c r="F124" s="17">
        <v>487.40018749301521</v>
      </c>
      <c r="G124" s="17">
        <v>600.83003907136447</v>
      </c>
      <c r="H124" s="83">
        <f t="shared" ref="H124:L124" si="84">H22*H$114</f>
        <v>599.14704409869228</v>
      </c>
      <c r="I124" s="83">
        <f t="shared" si="84"/>
        <v>629.7380798966193</v>
      </c>
      <c r="J124" s="83">
        <f t="shared" si="84"/>
        <v>672.44015799674889</v>
      </c>
      <c r="K124" s="83">
        <f t="shared" si="84"/>
        <v>697.97866530245267</v>
      </c>
      <c r="L124" s="83">
        <f t="shared" si="84"/>
        <v>734.41447249977159</v>
      </c>
    </row>
    <row r="125" spans="2:12" x14ac:dyDescent="0.2">
      <c r="B125" s="49" t="s">
        <v>14</v>
      </c>
      <c r="C125" s="49"/>
      <c r="D125" s="49"/>
      <c r="E125" s="17">
        <v>995.79932671415793</v>
      </c>
      <c r="F125" s="17">
        <v>1098.5284824675514</v>
      </c>
      <c r="G125" s="17">
        <v>1354.1827187980807</v>
      </c>
      <c r="H125" s="83">
        <f t="shared" ref="H125:L125" si="85">H23*H$114</f>
        <v>1350.389495158099</v>
      </c>
      <c r="I125" s="83">
        <f t="shared" si="85"/>
        <v>1419.3371997231261</v>
      </c>
      <c r="J125" s="83">
        <f t="shared" si="85"/>
        <v>1515.5814159899051</v>
      </c>
      <c r="K125" s="83">
        <f t="shared" si="85"/>
        <v>1573.1414629388471</v>
      </c>
      <c r="L125" s="83">
        <f t="shared" si="85"/>
        <v>1655.2624243480479</v>
      </c>
    </row>
    <row r="126" spans="2:12" x14ac:dyDescent="0.2">
      <c r="B126" s="49" t="s">
        <v>15</v>
      </c>
      <c r="C126" s="49"/>
      <c r="D126" s="49"/>
      <c r="E126" s="17">
        <v>1321.2258148929723</v>
      </c>
      <c r="F126" s="17">
        <v>1457.5267832531417</v>
      </c>
      <c r="G126" s="17">
        <v>1796.728636141723</v>
      </c>
      <c r="H126" s="83">
        <f t="shared" ref="H126:L126" si="86">H24*H$114</f>
        <v>1791.6957898037531</v>
      </c>
      <c r="I126" s="83">
        <f t="shared" si="86"/>
        <v>1883.1755535524558</v>
      </c>
      <c r="J126" s="83">
        <f t="shared" si="86"/>
        <v>2010.8723089674261</v>
      </c>
      <c r="K126" s="83">
        <f t="shared" si="86"/>
        <v>2087.2429369596498</v>
      </c>
      <c r="L126" s="83">
        <f t="shared" si="86"/>
        <v>2196.2009682084604</v>
      </c>
    </row>
    <row r="127" spans="2:12" x14ac:dyDescent="0.2">
      <c r="B127" s="49" t="s">
        <v>16</v>
      </c>
      <c r="C127" s="49"/>
      <c r="D127" s="49"/>
      <c r="E127" s="17">
        <v>5400.49040109833</v>
      </c>
      <c r="F127" s="17">
        <v>5957.6185339218091</v>
      </c>
      <c r="G127" s="17">
        <v>7344.1009428413954</v>
      </c>
      <c r="H127" s="83">
        <f t="shared" ref="H127:L127" si="87">H25*H$114</f>
        <v>7323.5292600661742</v>
      </c>
      <c r="I127" s="83">
        <f t="shared" si="87"/>
        <v>7697.4514014978658</v>
      </c>
      <c r="J127" s="83">
        <f t="shared" si="87"/>
        <v>8219.4099449174955</v>
      </c>
      <c r="K127" s="83">
        <f t="shared" si="87"/>
        <v>8531.5737239996251</v>
      </c>
      <c r="L127" s="83">
        <f t="shared" si="87"/>
        <v>8976.9380177100393</v>
      </c>
    </row>
    <row r="128" spans="2:12" x14ac:dyDescent="0.2">
      <c r="B128" s="49" t="s">
        <v>17</v>
      </c>
      <c r="C128" s="49"/>
      <c r="D128" s="49"/>
      <c r="E128" s="17">
        <v>2781.0706472169472</v>
      </c>
      <c r="F128" s="17">
        <v>3067.9728693964462</v>
      </c>
      <c r="G128" s="17">
        <v>3781.9646079142494</v>
      </c>
      <c r="H128" s="83">
        <f t="shared" ref="H128:L128" si="88">H26*H$114</f>
        <v>3771.3708842186406</v>
      </c>
      <c r="I128" s="83">
        <f t="shared" si="88"/>
        <v>3963.9281919158616</v>
      </c>
      <c r="J128" s="83">
        <f t="shared" si="88"/>
        <v>4232.7192601998131</v>
      </c>
      <c r="K128" s="83">
        <f t="shared" si="88"/>
        <v>4393.4730915468826</v>
      </c>
      <c r="L128" s="83">
        <f t="shared" si="88"/>
        <v>4622.8207012203738</v>
      </c>
    </row>
    <row r="129" spans="2:14" x14ac:dyDescent="0.2">
      <c r="B129" s="51" t="s">
        <v>18</v>
      </c>
      <c r="C129" s="51"/>
      <c r="D129" s="51"/>
      <c r="E129" s="25">
        <f>SUM(E119:E128)</f>
        <v>120346.15167639151</v>
      </c>
      <c r="F129" s="25">
        <f t="shared" ref="F129:L129" si="89">SUM(F119:F128)</f>
        <v>129137.61746530174</v>
      </c>
      <c r="G129" s="25">
        <f t="shared" si="89"/>
        <v>147964.50889604283</v>
      </c>
      <c r="H129" s="25">
        <f t="shared" si="89"/>
        <v>156296.23224812991</v>
      </c>
      <c r="I129" s="25">
        <f t="shared" si="89"/>
        <v>161867.42746402341</v>
      </c>
      <c r="J129" s="25">
        <f t="shared" si="89"/>
        <v>171188.26983385644</v>
      </c>
      <c r="K129" s="25">
        <f t="shared" si="89"/>
        <v>179712.98265362548</v>
      </c>
      <c r="L129" s="25">
        <f t="shared" si="89"/>
        <v>188271.82666539121</v>
      </c>
    </row>
    <row r="130" spans="2:14" ht="10.8" thickBot="1" x14ac:dyDescent="0.25">
      <c r="B130" s="53" t="s">
        <v>20</v>
      </c>
      <c r="C130" s="53"/>
      <c r="D130" s="53"/>
      <c r="E130" s="41">
        <f>E116-E129</f>
        <v>53854.995523608493</v>
      </c>
      <c r="F130" s="41">
        <f t="shared" ref="F130:L130" si="90">F116-F129</f>
        <v>64695.178134698275</v>
      </c>
      <c r="G130" s="41">
        <f t="shared" si="90"/>
        <v>72445.098703957163</v>
      </c>
      <c r="H130" s="41">
        <f t="shared" si="90"/>
        <v>74811.983951975009</v>
      </c>
      <c r="I130" s="41">
        <f t="shared" si="90"/>
        <v>79252.817978614068</v>
      </c>
      <c r="J130" s="41">
        <f t="shared" si="90"/>
        <v>83186.64285725524</v>
      </c>
      <c r="K130" s="41">
        <f t="shared" si="90"/>
        <v>87108.809914648358</v>
      </c>
      <c r="L130" s="41">
        <f t="shared" si="90"/>
        <v>91640.855857665883</v>
      </c>
    </row>
    <row r="131" spans="2:14" x14ac:dyDescent="0.2">
      <c r="B131" s="54" t="s">
        <v>85</v>
      </c>
      <c r="C131" s="54"/>
      <c r="D131" s="54"/>
      <c r="E131" s="17"/>
      <c r="F131" s="17"/>
      <c r="G131" s="17"/>
    </row>
    <row r="132" spans="2:14" x14ac:dyDescent="0.2">
      <c r="B132" s="49"/>
      <c r="C132" s="49"/>
      <c r="D132" s="49"/>
      <c r="E132" s="17"/>
      <c r="F132" s="17"/>
      <c r="G132" s="17"/>
    </row>
    <row r="133" spans="2:14" x14ac:dyDescent="0.2">
      <c r="B133" s="49" t="s">
        <v>21</v>
      </c>
      <c r="C133" s="49"/>
      <c r="D133" s="49"/>
      <c r="E133" s="17">
        <v>31460.975000000002</v>
      </c>
      <c r="F133" s="17">
        <v>29282.907500000001</v>
      </c>
      <c r="G133" s="17">
        <v>31758</v>
      </c>
      <c r="H133" s="83">
        <f>H29*H$114</f>
        <v>36693.391628145589</v>
      </c>
      <c r="I133" s="83">
        <f t="shared" ref="I133:L135" si="91">I29*I$114</f>
        <v>36483.545956962102</v>
      </c>
      <c r="J133" s="83">
        <f t="shared" si="91"/>
        <v>38508.680758280243</v>
      </c>
      <c r="K133" s="83">
        <f t="shared" si="91"/>
        <v>41044.803899092331</v>
      </c>
      <c r="L133" s="83">
        <f t="shared" si="91"/>
        <v>42595.709839493058</v>
      </c>
    </row>
    <row r="134" spans="2:14" x14ac:dyDescent="0.2">
      <c r="B134" s="50" t="s">
        <v>22</v>
      </c>
      <c r="C134" s="50"/>
      <c r="D134" s="50"/>
      <c r="E134" s="17">
        <v>0</v>
      </c>
      <c r="F134" s="17">
        <v>0</v>
      </c>
      <c r="G134" s="17">
        <v>0</v>
      </c>
      <c r="H134" s="83">
        <f>-H42</f>
        <v>0</v>
      </c>
      <c r="I134" s="83">
        <f t="shared" ref="I134:L134" si="92">-I42</f>
        <v>0</v>
      </c>
      <c r="J134" s="83">
        <f t="shared" si="92"/>
        <v>0</v>
      </c>
      <c r="K134" s="83">
        <f t="shared" si="92"/>
        <v>0</v>
      </c>
      <c r="L134" s="83">
        <f t="shared" si="92"/>
        <v>0</v>
      </c>
      <c r="N134" s="70" t="s">
        <v>106</v>
      </c>
    </row>
    <row r="135" spans="2:14" x14ac:dyDescent="0.2">
      <c r="B135" s="50" t="s">
        <v>75</v>
      </c>
      <c r="C135" s="50"/>
      <c r="D135" s="50"/>
      <c r="E135" s="17">
        <v>1390.5353236084736</v>
      </c>
      <c r="F135" s="17">
        <v>1533.9864346982231</v>
      </c>
      <c r="G135" s="17">
        <v>1890.9823039571247</v>
      </c>
      <c r="H135" s="83">
        <f>H31*H$114</f>
        <v>1885.6854421093203</v>
      </c>
      <c r="I135" s="83">
        <f t="shared" si="91"/>
        <v>1981.9640959579308</v>
      </c>
      <c r="J135" s="83">
        <f t="shared" si="91"/>
        <v>2116.3596300999066</v>
      </c>
      <c r="K135" s="83">
        <f t="shared" si="91"/>
        <v>2196.7365457734413</v>
      </c>
      <c r="L135" s="83">
        <f t="shared" si="91"/>
        <v>2311.4103506101869</v>
      </c>
    </row>
    <row r="136" spans="2:14" x14ac:dyDescent="0.2">
      <c r="B136" s="51" t="s">
        <v>23</v>
      </c>
      <c r="C136" s="51"/>
      <c r="D136" s="51"/>
      <c r="E136" s="22">
        <f>SUM(E133:E135)</f>
        <v>32851.510323608476</v>
      </c>
      <c r="F136" s="22">
        <f t="shared" ref="F136:L136" si="93">SUM(F133:F135)</f>
        <v>30816.893934698222</v>
      </c>
      <c r="G136" s="22">
        <f t="shared" si="93"/>
        <v>33648.982303957127</v>
      </c>
      <c r="H136" s="22">
        <f t="shared" si="93"/>
        <v>38579.077070254913</v>
      </c>
      <c r="I136" s="22">
        <f t="shared" si="93"/>
        <v>38465.510052920035</v>
      </c>
      <c r="J136" s="22">
        <f t="shared" si="93"/>
        <v>40625.040388380148</v>
      </c>
      <c r="K136" s="22">
        <f t="shared" si="93"/>
        <v>43241.540444865772</v>
      </c>
      <c r="L136" s="22">
        <f t="shared" si="93"/>
        <v>44907.120190103247</v>
      </c>
    </row>
    <row r="137" spans="2:14" x14ac:dyDescent="0.2">
      <c r="B137" s="55" t="s">
        <v>24</v>
      </c>
      <c r="C137" s="55"/>
      <c r="D137" s="55"/>
      <c r="E137" s="12">
        <f>E130-E136</f>
        <v>21003.485200000017</v>
      </c>
      <c r="F137" s="12">
        <f t="shared" ref="F137:L137" si="94">F130-F136</f>
        <v>33878.284200000053</v>
      </c>
      <c r="G137" s="12">
        <f t="shared" si="94"/>
        <v>38796.116400000035</v>
      </c>
      <c r="H137" s="12">
        <f t="shared" si="94"/>
        <v>36232.906881720097</v>
      </c>
      <c r="I137" s="12">
        <f t="shared" si="94"/>
        <v>40787.307925694033</v>
      </c>
      <c r="J137" s="12">
        <f t="shared" si="94"/>
        <v>42561.602468875091</v>
      </c>
      <c r="K137" s="12">
        <f t="shared" si="94"/>
        <v>43867.269469782586</v>
      </c>
      <c r="L137" s="12">
        <f t="shared" si="94"/>
        <v>46733.735667562636</v>
      </c>
    </row>
    <row r="138" spans="2:14" x14ac:dyDescent="0.2">
      <c r="B138" s="52"/>
      <c r="C138" s="52"/>
      <c r="D138" s="52"/>
      <c r="E138" s="15"/>
      <c r="F138" s="15"/>
      <c r="G138" s="15"/>
    </row>
    <row r="139" spans="2:14" x14ac:dyDescent="0.2">
      <c r="B139" s="50" t="s">
        <v>25</v>
      </c>
      <c r="C139" s="50"/>
      <c r="D139" s="50"/>
      <c r="E139" s="17">
        <v>7351.2198200000057</v>
      </c>
      <c r="F139" s="17">
        <v>11857.399470000018</v>
      </c>
      <c r="G139" s="17">
        <v>13578.640740000012</v>
      </c>
      <c r="H139" s="84">
        <f>IF(H137&gt;0,H137*H33,0)</f>
        <v>12681.517408602032</v>
      </c>
      <c r="I139" s="84">
        <f t="shared" ref="I139:L139" si="95">IF(I137&gt;0,I137*I33,0)</f>
        <v>14275.55777399291</v>
      </c>
      <c r="J139" s="84">
        <f t="shared" si="95"/>
        <v>14896.560864106281</v>
      </c>
      <c r="K139" s="84">
        <f t="shared" si="95"/>
        <v>15353.544314423903</v>
      </c>
      <c r="L139" s="84">
        <f t="shared" si="95"/>
        <v>16356.807483646922</v>
      </c>
    </row>
    <row r="140" spans="2:14" ht="10.8" thickBot="1" x14ac:dyDescent="0.25">
      <c r="B140" s="56" t="s">
        <v>26</v>
      </c>
      <c r="C140" s="56"/>
      <c r="D140" s="56"/>
      <c r="E140" s="24">
        <f>E137-E139</f>
        <v>13652.265380000012</v>
      </c>
      <c r="F140" s="24">
        <f t="shared" ref="F140:L140" si="96">F137-F139</f>
        <v>22020.884730000034</v>
      </c>
      <c r="G140" s="24">
        <f t="shared" si="96"/>
        <v>25217.475660000026</v>
      </c>
      <c r="H140" s="24">
        <f t="shared" si="96"/>
        <v>23551.389473118063</v>
      </c>
      <c r="I140" s="24">
        <f t="shared" si="96"/>
        <v>26511.750151701122</v>
      </c>
      <c r="J140" s="24">
        <f t="shared" si="96"/>
        <v>27665.041604768812</v>
      </c>
      <c r="K140" s="24">
        <f t="shared" si="96"/>
        <v>28513.725155358683</v>
      </c>
      <c r="L140" s="24">
        <f t="shared" si="96"/>
        <v>30376.928183915712</v>
      </c>
    </row>
    <row r="141" spans="2:14" ht="10.8" thickTop="1" x14ac:dyDescent="0.2">
      <c r="B141" s="54" t="s">
        <v>86</v>
      </c>
      <c r="C141" s="54"/>
      <c r="D141" s="54"/>
      <c r="E141" s="4"/>
      <c r="F141" s="4"/>
      <c r="G141" s="4"/>
    </row>
    <row r="142" spans="2:14" x14ac:dyDescent="0.2">
      <c r="B142" s="57"/>
      <c r="C142" s="57"/>
      <c r="D142" s="57"/>
      <c r="E142" s="4"/>
      <c r="F142" s="4"/>
      <c r="G142" s="4"/>
    </row>
    <row r="143" spans="2:14" x14ac:dyDescent="0.2">
      <c r="B143" s="48" t="s">
        <v>27</v>
      </c>
      <c r="C143" s="48"/>
      <c r="D143" s="48"/>
      <c r="E143" s="36">
        <f>E$7</f>
        <v>2020</v>
      </c>
      <c r="F143" s="36">
        <f t="shared" ref="F143:L143" si="97">F$7</f>
        <v>2021</v>
      </c>
      <c r="G143" s="36">
        <f t="shared" si="97"/>
        <v>2022</v>
      </c>
      <c r="H143" s="36">
        <f t="shared" si="97"/>
        <v>2023</v>
      </c>
      <c r="I143" s="36">
        <f t="shared" si="97"/>
        <v>2024</v>
      </c>
      <c r="J143" s="36">
        <f t="shared" si="97"/>
        <v>2025</v>
      </c>
      <c r="K143" s="36">
        <f t="shared" si="97"/>
        <v>2026</v>
      </c>
      <c r="L143" s="36">
        <f t="shared" si="97"/>
        <v>2027</v>
      </c>
    </row>
    <row r="144" spans="2:14" x14ac:dyDescent="0.2">
      <c r="B144" s="58" t="s">
        <v>28</v>
      </c>
      <c r="C144" s="58"/>
      <c r="D144" s="58"/>
      <c r="E144" s="26"/>
      <c r="F144" s="26"/>
      <c r="G144" s="26"/>
    </row>
    <row r="145" spans="2:14" x14ac:dyDescent="0.2">
      <c r="B145" s="49" t="s">
        <v>29</v>
      </c>
      <c r="C145" s="49"/>
      <c r="D145" s="49"/>
      <c r="E145" s="17">
        <v>11357.240380000017</v>
      </c>
      <c r="F145" s="17">
        <v>16363.012170000053</v>
      </c>
      <c r="G145" s="17">
        <v>33672.900720000078</v>
      </c>
      <c r="H145" s="83">
        <f>H191</f>
        <v>55567.752075267184</v>
      </c>
      <c r="I145" s="83">
        <f t="shared" ref="I145:L145" si="98">I191</f>
        <v>81801.518203862972</v>
      </c>
      <c r="J145" s="83">
        <f t="shared" si="98"/>
        <v>108207.40229817719</v>
      </c>
      <c r="K145" s="83">
        <f t="shared" si="98"/>
        <v>136603.13951195084</v>
      </c>
      <c r="L145" s="83">
        <f t="shared" si="98"/>
        <v>165304.93811030418</v>
      </c>
      <c r="N145" s="39" t="s">
        <v>45</v>
      </c>
    </row>
    <row r="146" spans="2:14" x14ac:dyDescent="0.2">
      <c r="B146" s="49" t="s">
        <v>30</v>
      </c>
      <c r="C146" s="49"/>
      <c r="D146" s="49"/>
      <c r="E146" s="17">
        <v>17108</v>
      </c>
      <c r="F146" s="17">
        <v>19330.112939999999</v>
      </c>
      <c r="G146" s="17">
        <v>22163.700049999999</v>
      </c>
      <c r="H146" s="83">
        <f>H64</f>
        <v>21964.326741460602</v>
      </c>
      <c r="I146" s="83">
        <f t="shared" ref="I146:L146" si="99">I64</f>
        <v>23624.042089924791</v>
      </c>
      <c r="J146" s="83">
        <f t="shared" si="99"/>
        <v>24560.361934438122</v>
      </c>
      <c r="K146" s="83">
        <f t="shared" si="99"/>
        <v>26085.807357777892</v>
      </c>
      <c r="L146" s="83">
        <f t="shared" si="99"/>
        <v>26939.532196261927</v>
      </c>
      <c r="N146" s="39" t="s">
        <v>126</v>
      </c>
    </row>
    <row r="147" spans="2:14" x14ac:dyDescent="0.2">
      <c r="B147" s="49" t="s">
        <v>31</v>
      </c>
      <c r="C147" s="49"/>
      <c r="D147" s="49"/>
      <c r="E147" s="17">
        <v>0</v>
      </c>
      <c r="F147" s="17">
        <v>0</v>
      </c>
      <c r="G147" s="17">
        <v>0</v>
      </c>
      <c r="H147" s="83">
        <f>G147</f>
        <v>0</v>
      </c>
      <c r="I147" s="83">
        <f t="shared" ref="I147:L147" si="100">H147</f>
        <v>0</v>
      </c>
      <c r="J147" s="83">
        <f t="shared" si="100"/>
        <v>0</v>
      </c>
      <c r="K147" s="83">
        <f t="shared" si="100"/>
        <v>0</v>
      </c>
      <c r="L147" s="83">
        <f t="shared" si="100"/>
        <v>0</v>
      </c>
      <c r="N147" s="39" t="s">
        <v>152</v>
      </c>
    </row>
    <row r="148" spans="2:14" x14ac:dyDescent="0.2">
      <c r="B148" s="49" t="s">
        <v>32</v>
      </c>
      <c r="C148" s="49"/>
      <c r="D148" s="49"/>
      <c r="E148" s="17">
        <v>12568</v>
      </c>
      <c r="F148" s="17">
        <v>16554</v>
      </c>
      <c r="G148" s="17">
        <v>17723</v>
      </c>
      <c r="H148" s="83">
        <f>H72</f>
        <v>16965.800258022638</v>
      </c>
      <c r="I148" s="83">
        <f t="shared" ref="I148:L148" si="101">I72</f>
        <v>19705.1188543268</v>
      </c>
      <c r="J148" s="83">
        <f t="shared" si="101"/>
        <v>19112.251848790853</v>
      </c>
      <c r="K148" s="83">
        <f t="shared" si="101"/>
        <v>21336.804173090764</v>
      </c>
      <c r="L148" s="83">
        <f t="shared" si="101"/>
        <v>21237.168579628364</v>
      </c>
      <c r="N148" s="39" t="s">
        <v>126</v>
      </c>
    </row>
    <row r="149" spans="2:14" x14ac:dyDescent="0.2">
      <c r="B149" s="49" t="s">
        <v>33</v>
      </c>
      <c r="C149" s="49"/>
      <c r="D149" s="49"/>
      <c r="E149" s="17">
        <v>85844</v>
      </c>
      <c r="F149" s="17">
        <v>98135</v>
      </c>
      <c r="G149" s="17">
        <v>107349</v>
      </c>
      <c r="H149" s="83">
        <f>H90</f>
        <v>107349</v>
      </c>
      <c r="I149" s="83">
        <f t="shared" ref="I149:L149" si="102">I90</f>
        <v>107349</v>
      </c>
      <c r="J149" s="83">
        <f t="shared" si="102"/>
        <v>107349</v>
      </c>
      <c r="K149" s="83">
        <f t="shared" si="102"/>
        <v>107349</v>
      </c>
      <c r="L149" s="83">
        <f t="shared" si="102"/>
        <v>107349</v>
      </c>
      <c r="N149" s="39" t="s">
        <v>153</v>
      </c>
    </row>
    <row r="150" spans="2:14" x14ac:dyDescent="0.2">
      <c r="B150" s="49" t="s">
        <v>76</v>
      </c>
      <c r="C150" s="49"/>
      <c r="D150" s="49"/>
      <c r="E150" s="17">
        <v>0</v>
      </c>
      <c r="F150" s="17">
        <v>0</v>
      </c>
      <c r="G150" s="17">
        <v>0</v>
      </c>
      <c r="H150" s="83">
        <f>H96</f>
        <v>0</v>
      </c>
      <c r="I150" s="83">
        <f t="shared" ref="I150:L150" si="103">I96</f>
        <v>0</v>
      </c>
      <c r="J150" s="83">
        <f t="shared" si="103"/>
        <v>0</v>
      </c>
      <c r="K150" s="83">
        <f t="shared" si="103"/>
        <v>0</v>
      </c>
      <c r="L150" s="83">
        <f t="shared" si="103"/>
        <v>0</v>
      </c>
      <c r="N150" s="39" t="s">
        <v>154</v>
      </c>
    </row>
    <row r="151" spans="2:14" x14ac:dyDescent="0.2">
      <c r="B151" s="49" t="s">
        <v>77</v>
      </c>
      <c r="C151" s="49"/>
      <c r="D151" s="49"/>
      <c r="E151" s="17">
        <v>0</v>
      </c>
      <c r="F151" s="17">
        <v>0</v>
      </c>
      <c r="G151" s="17">
        <v>0</v>
      </c>
      <c r="H151" s="83">
        <f>G151</f>
        <v>0</v>
      </c>
      <c r="I151" s="83">
        <f t="shared" ref="I151:L151" si="104">H151</f>
        <v>0</v>
      </c>
      <c r="J151" s="83">
        <f t="shared" si="104"/>
        <v>0</v>
      </c>
      <c r="K151" s="83">
        <f t="shared" si="104"/>
        <v>0</v>
      </c>
      <c r="L151" s="83">
        <f t="shared" si="104"/>
        <v>0</v>
      </c>
      <c r="N151" s="39" t="s">
        <v>152</v>
      </c>
    </row>
    <row r="152" spans="2:14" ht="10.8" thickBot="1" x14ac:dyDescent="0.25">
      <c r="B152" s="56" t="s">
        <v>34</v>
      </c>
      <c r="C152" s="56"/>
      <c r="D152" s="56"/>
      <c r="E152" s="24">
        <f>SUM(E145:E151)</f>
        <v>126877.24038000002</v>
      </c>
      <c r="F152" s="24">
        <f t="shared" ref="F152:L152" si="105">SUM(F145:F151)</f>
        <v>150382.12511000005</v>
      </c>
      <c r="G152" s="24">
        <f t="shared" si="105"/>
        <v>180908.60077000008</v>
      </c>
      <c r="H152" s="24">
        <f t="shared" si="105"/>
        <v>201846.87907475044</v>
      </c>
      <c r="I152" s="24">
        <f t="shared" si="105"/>
        <v>232479.67914811458</v>
      </c>
      <c r="J152" s="24">
        <f t="shared" si="105"/>
        <v>259229.01608140615</v>
      </c>
      <c r="K152" s="24">
        <f t="shared" si="105"/>
        <v>291374.75104281947</v>
      </c>
      <c r="L152" s="24">
        <f t="shared" si="105"/>
        <v>320830.63888619444</v>
      </c>
    </row>
    <row r="153" spans="2:14" ht="10.8" thickTop="1" x14ac:dyDescent="0.2">
      <c r="B153" s="52"/>
      <c r="C153" s="52"/>
      <c r="D153" s="52"/>
      <c r="E153" s="15"/>
      <c r="F153" s="15"/>
      <c r="G153" s="15"/>
    </row>
    <row r="154" spans="2:14" x14ac:dyDescent="0.2">
      <c r="B154" s="58" t="s">
        <v>35</v>
      </c>
      <c r="C154" s="58"/>
      <c r="D154" s="58"/>
      <c r="E154" s="26"/>
      <c r="F154" s="26"/>
      <c r="G154" s="26"/>
    </row>
    <row r="155" spans="2:14" x14ac:dyDescent="0.2">
      <c r="B155" s="49" t="s">
        <v>36</v>
      </c>
      <c r="C155" s="49"/>
      <c r="D155" s="49"/>
      <c r="E155" s="17">
        <v>19793</v>
      </c>
      <c r="F155" s="17">
        <v>21277</v>
      </c>
      <c r="G155" s="17">
        <v>26586</v>
      </c>
      <c r="H155" s="83">
        <f>H80</f>
        <v>23972.888831632285</v>
      </c>
      <c r="I155" s="83">
        <f t="shared" ref="I155:L155" si="106">I80</f>
        <v>28093.93875329529</v>
      </c>
      <c r="J155" s="83">
        <f t="shared" si="106"/>
        <v>27178.234081818075</v>
      </c>
      <c r="K155" s="83">
        <f t="shared" si="106"/>
        <v>30810.243887872726</v>
      </c>
      <c r="L155" s="83">
        <f t="shared" si="106"/>
        <v>29889.203547331985</v>
      </c>
      <c r="N155" s="39" t="s">
        <v>126</v>
      </c>
    </row>
    <row r="156" spans="2:14" x14ac:dyDescent="0.2">
      <c r="B156" s="49" t="s">
        <v>37</v>
      </c>
      <c r="C156" s="49"/>
      <c r="D156" s="49"/>
      <c r="E156" s="17">
        <v>35800</v>
      </c>
      <c r="F156" s="17">
        <v>35800</v>
      </c>
      <c r="G156" s="17">
        <v>35800</v>
      </c>
      <c r="H156" s="83">
        <f>G156</f>
        <v>35800</v>
      </c>
      <c r="I156" s="83">
        <f t="shared" ref="I156:L156" si="107">H156</f>
        <v>35800</v>
      </c>
      <c r="J156" s="83">
        <f t="shared" si="107"/>
        <v>35800</v>
      </c>
      <c r="K156" s="83">
        <f t="shared" si="107"/>
        <v>35800</v>
      </c>
      <c r="L156" s="83">
        <f t="shared" si="107"/>
        <v>35800</v>
      </c>
      <c r="N156" s="39" t="s">
        <v>152</v>
      </c>
    </row>
    <row r="157" spans="2:14" x14ac:dyDescent="0.2">
      <c r="B157" s="49" t="s">
        <v>38</v>
      </c>
      <c r="C157" s="49"/>
      <c r="D157" s="49"/>
      <c r="E157" s="17">
        <v>0</v>
      </c>
      <c r="F157" s="17">
        <v>0</v>
      </c>
      <c r="G157" s="17">
        <v>0</v>
      </c>
      <c r="H157" s="83">
        <f>H40</f>
        <v>0</v>
      </c>
      <c r="I157" s="83">
        <f t="shared" ref="I157:L157" si="108">I40</f>
        <v>0</v>
      </c>
      <c r="J157" s="83">
        <f t="shared" si="108"/>
        <v>0</v>
      </c>
      <c r="K157" s="83">
        <f t="shared" si="108"/>
        <v>0</v>
      </c>
      <c r="L157" s="83">
        <f t="shared" si="108"/>
        <v>0</v>
      </c>
      <c r="N157" s="39" t="s">
        <v>106</v>
      </c>
    </row>
    <row r="158" spans="2:14" x14ac:dyDescent="0.2">
      <c r="B158" s="44" t="s">
        <v>87</v>
      </c>
      <c r="C158" s="44"/>
      <c r="D158" s="44"/>
      <c r="E158" s="17">
        <v>0</v>
      </c>
      <c r="F158" s="17">
        <v>0</v>
      </c>
      <c r="G158" s="17">
        <v>0</v>
      </c>
      <c r="H158" s="83">
        <f>G158</f>
        <v>0</v>
      </c>
      <c r="I158" s="83">
        <f t="shared" ref="I158:L158" si="109">H158</f>
        <v>0</v>
      </c>
      <c r="J158" s="83">
        <f t="shared" si="109"/>
        <v>0</v>
      </c>
      <c r="K158" s="83">
        <f t="shared" si="109"/>
        <v>0</v>
      </c>
      <c r="L158" s="83">
        <f t="shared" si="109"/>
        <v>0</v>
      </c>
      <c r="N158" s="39" t="s">
        <v>152</v>
      </c>
    </row>
    <row r="159" spans="2:14" x14ac:dyDescent="0.2">
      <c r="B159" s="55" t="s">
        <v>39</v>
      </c>
      <c r="C159" s="55"/>
      <c r="D159" s="55"/>
      <c r="E159" s="12">
        <f>SUM(E155:E158)</f>
        <v>55593</v>
      </c>
      <c r="F159" s="12">
        <f t="shared" ref="F159:L159" si="110">SUM(F155:F158)</f>
        <v>57077</v>
      </c>
      <c r="G159" s="12">
        <f t="shared" si="110"/>
        <v>62386</v>
      </c>
      <c r="H159" s="12">
        <f t="shared" si="110"/>
        <v>59772.888831632285</v>
      </c>
      <c r="I159" s="12">
        <f t="shared" si="110"/>
        <v>63893.93875329529</v>
      </c>
      <c r="J159" s="12">
        <f t="shared" si="110"/>
        <v>62978.234081818075</v>
      </c>
      <c r="K159" s="12">
        <f t="shared" si="110"/>
        <v>66610.243887872726</v>
      </c>
      <c r="L159" s="12">
        <f t="shared" si="110"/>
        <v>65689.203547331985</v>
      </c>
    </row>
    <row r="160" spans="2:14" x14ac:dyDescent="0.2">
      <c r="B160" s="58" t="s">
        <v>40</v>
      </c>
      <c r="C160" s="58"/>
      <c r="D160" s="58"/>
      <c r="E160" s="26"/>
      <c r="F160" s="26"/>
      <c r="G160" s="26"/>
    </row>
    <row r="161" spans="2:14" x14ac:dyDescent="0.2">
      <c r="B161" s="49" t="s">
        <v>41</v>
      </c>
      <c r="C161" s="49"/>
      <c r="D161" s="49"/>
      <c r="E161" s="17">
        <v>5000</v>
      </c>
      <c r="F161" s="17">
        <v>5000</v>
      </c>
      <c r="G161" s="17">
        <v>5000</v>
      </c>
      <c r="H161" s="83">
        <f>H102</f>
        <v>5000</v>
      </c>
      <c r="I161" s="83">
        <f t="shared" ref="I161:L161" si="111">I102</f>
        <v>5000</v>
      </c>
      <c r="J161" s="83">
        <f t="shared" si="111"/>
        <v>5000</v>
      </c>
      <c r="K161" s="83">
        <f t="shared" si="111"/>
        <v>5000</v>
      </c>
      <c r="L161" s="83">
        <f t="shared" si="111"/>
        <v>5000</v>
      </c>
      <c r="N161" s="39" t="s">
        <v>144</v>
      </c>
    </row>
    <row r="162" spans="2:14" x14ac:dyDescent="0.2">
      <c r="B162" s="49" t="s">
        <v>42</v>
      </c>
      <c r="C162" s="49"/>
      <c r="D162" s="49"/>
      <c r="E162" s="17">
        <v>66284</v>
      </c>
      <c r="F162" s="17">
        <v>88304.884730000034</v>
      </c>
      <c r="G162" s="17">
        <v>113522.36039000006</v>
      </c>
      <c r="H162" s="83">
        <f>H107</f>
        <v>137073.74986311811</v>
      </c>
      <c r="I162" s="83">
        <f t="shared" ref="I162:L162" si="112">I107</f>
        <v>163585.50001481923</v>
      </c>
      <c r="J162" s="83">
        <f t="shared" si="112"/>
        <v>191250.54161958804</v>
      </c>
      <c r="K162" s="83">
        <f t="shared" si="112"/>
        <v>219764.26677494671</v>
      </c>
      <c r="L162" s="83">
        <f t="shared" si="112"/>
        <v>250141.19495886241</v>
      </c>
      <c r="N162" s="39" t="s">
        <v>144</v>
      </c>
    </row>
    <row r="163" spans="2:14" x14ac:dyDescent="0.2">
      <c r="B163" s="51" t="s">
        <v>40</v>
      </c>
      <c r="C163" s="51"/>
      <c r="D163" s="51"/>
      <c r="E163" s="22">
        <f>SUM(E161:E162)</f>
        <v>71284</v>
      </c>
      <c r="F163" s="22">
        <f t="shared" ref="F163:L163" si="113">SUM(F161:F162)</f>
        <v>93304.884730000034</v>
      </c>
      <c r="G163" s="22">
        <f t="shared" si="113"/>
        <v>118522.36039000006</v>
      </c>
      <c r="H163" s="22">
        <f t="shared" si="113"/>
        <v>142073.74986311811</v>
      </c>
      <c r="I163" s="22">
        <f t="shared" si="113"/>
        <v>168585.50001481923</v>
      </c>
      <c r="J163" s="22">
        <f t="shared" si="113"/>
        <v>196250.54161958804</v>
      </c>
      <c r="K163" s="22">
        <f t="shared" si="113"/>
        <v>224764.26677494671</v>
      </c>
      <c r="L163" s="22">
        <f t="shared" si="113"/>
        <v>255141.19495886241</v>
      </c>
    </row>
    <row r="164" spans="2:14" ht="10.8" thickBot="1" x14ac:dyDescent="0.25">
      <c r="B164" s="56" t="s">
        <v>43</v>
      </c>
      <c r="C164" s="56"/>
      <c r="D164" s="56"/>
      <c r="E164" s="24">
        <f>E159+E163</f>
        <v>126877</v>
      </c>
      <c r="F164" s="24">
        <f t="shared" ref="F164:L164" si="114">F159+F163</f>
        <v>150381.88473000005</v>
      </c>
      <c r="G164" s="24">
        <f t="shared" si="114"/>
        <v>180908.36039000005</v>
      </c>
      <c r="H164" s="24">
        <f t="shared" si="114"/>
        <v>201846.63869475038</v>
      </c>
      <c r="I164" s="24">
        <f t="shared" si="114"/>
        <v>232479.43876811452</v>
      </c>
      <c r="J164" s="24">
        <f t="shared" si="114"/>
        <v>259228.77570140612</v>
      </c>
      <c r="K164" s="24">
        <f t="shared" si="114"/>
        <v>291374.51066281943</v>
      </c>
      <c r="L164" s="24">
        <f t="shared" si="114"/>
        <v>320830.39850619441</v>
      </c>
    </row>
    <row r="165" spans="2:14" ht="10.8" thickTop="1" x14ac:dyDescent="0.2">
      <c r="B165" s="49"/>
      <c r="C165" s="49"/>
      <c r="D165" s="49"/>
      <c r="E165" s="26"/>
      <c r="F165" s="26"/>
      <c r="G165" s="26"/>
      <c r="H165" s="26"/>
      <c r="I165" s="26"/>
      <c r="J165" s="26"/>
      <c r="K165" s="26"/>
      <c r="L165" s="26"/>
    </row>
    <row r="166" spans="2:14" x14ac:dyDescent="0.2">
      <c r="B166" s="59" t="s">
        <v>44</v>
      </c>
      <c r="C166" s="59"/>
      <c r="D166" s="59"/>
      <c r="E166" s="5">
        <f>E164-E152</f>
        <v>-0.24038000001746695</v>
      </c>
      <c r="F166" s="5">
        <f>F164-F152</f>
        <v>-0.24038000000291504</v>
      </c>
      <c r="G166" s="5">
        <f>G164-G152</f>
        <v>-0.24038000003201887</v>
      </c>
      <c r="H166" s="5">
        <f t="shared" ref="H166:L166" si="115">H164-H152</f>
        <v>-0.2403800000611227</v>
      </c>
      <c r="I166" s="5">
        <f t="shared" si="115"/>
        <v>-0.2403800000611227</v>
      </c>
      <c r="J166" s="5">
        <f t="shared" si="115"/>
        <v>-0.24038000003201887</v>
      </c>
      <c r="K166" s="5">
        <f t="shared" si="115"/>
        <v>-0.24038000003201887</v>
      </c>
      <c r="L166" s="5">
        <f t="shared" si="115"/>
        <v>-0.24038000003201887</v>
      </c>
    </row>
    <row r="167" spans="2:14" x14ac:dyDescent="0.2">
      <c r="B167" s="59"/>
      <c r="C167" s="59"/>
      <c r="D167" s="59"/>
      <c r="E167" s="5"/>
      <c r="F167" s="5"/>
      <c r="G167" s="5"/>
    </row>
    <row r="168" spans="2:14" x14ac:dyDescent="0.2">
      <c r="B168" s="59"/>
      <c r="C168" s="59"/>
      <c r="D168" s="59"/>
      <c r="E168" s="5"/>
      <c r="F168" s="5"/>
      <c r="G168" s="5"/>
    </row>
    <row r="169" spans="2:14" x14ac:dyDescent="0.2">
      <c r="B169" s="60" t="s">
        <v>45</v>
      </c>
      <c r="C169" s="60"/>
      <c r="D169" s="60"/>
      <c r="E169" s="36">
        <f>E$7</f>
        <v>2020</v>
      </c>
      <c r="F169" s="36">
        <f t="shared" ref="F169:L169" si="116">F$7</f>
        <v>2021</v>
      </c>
      <c r="G169" s="36">
        <f t="shared" si="116"/>
        <v>2022</v>
      </c>
      <c r="H169" s="36">
        <f t="shared" si="116"/>
        <v>2023</v>
      </c>
      <c r="I169" s="36">
        <f t="shared" si="116"/>
        <v>2024</v>
      </c>
      <c r="J169" s="36">
        <f t="shared" si="116"/>
        <v>2025</v>
      </c>
      <c r="K169" s="36">
        <f t="shared" si="116"/>
        <v>2026</v>
      </c>
      <c r="L169" s="36">
        <f t="shared" si="116"/>
        <v>2027</v>
      </c>
    </row>
    <row r="170" spans="2:14" x14ac:dyDescent="0.2">
      <c r="B170" s="58" t="s">
        <v>46</v>
      </c>
      <c r="C170" s="58"/>
      <c r="D170" s="58"/>
      <c r="E170" s="26"/>
      <c r="F170" s="26"/>
      <c r="G170" s="26"/>
    </row>
    <row r="171" spans="2:14" x14ac:dyDescent="0.2">
      <c r="B171" s="49" t="s">
        <v>26</v>
      </c>
      <c r="C171" s="49"/>
      <c r="D171" s="49"/>
      <c r="E171" s="17">
        <v>13652.265380000012</v>
      </c>
      <c r="F171" s="17">
        <v>22020.884730000034</v>
      </c>
      <c r="G171" s="17">
        <v>25217.475660000026</v>
      </c>
      <c r="H171" s="83">
        <f>H140</f>
        <v>23551.389473118063</v>
      </c>
      <c r="I171" s="83">
        <f t="shared" ref="I171:L171" si="117">I140</f>
        <v>26511.750151701122</v>
      </c>
      <c r="J171" s="83">
        <f t="shared" si="117"/>
        <v>27665.041604768812</v>
      </c>
      <c r="K171" s="83">
        <f t="shared" si="117"/>
        <v>28513.725155358683</v>
      </c>
      <c r="L171" s="83">
        <f t="shared" si="117"/>
        <v>30376.928183915712</v>
      </c>
    </row>
    <row r="172" spans="2:14" x14ac:dyDescent="0.2">
      <c r="B172" s="49" t="s">
        <v>47</v>
      </c>
      <c r="C172" s="49"/>
      <c r="D172" s="49"/>
      <c r="E172" s="17">
        <v>31460.975000000002</v>
      </c>
      <c r="F172" s="17">
        <v>29282.907500000001</v>
      </c>
      <c r="G172" s="17">
        <v>31758</v>
      </c>
      <c r="H172" s="83">
        <f>H133</f>
        <v>36693.391628145589</v>
      </c>
      <c r="I172" s="83">
        <f t="shared" ref="I172:L173" si="118">I133</f>
        <v>36483.545956962102</v>
      </c>
      <c r="J172" s="83">
        <f t="shared" si="118"/>
        <v>38508.680758280243</v>
      </c>
      <c r="K172" s="83">
        <f t="shared" si="118"/>
        <v>41044.803899092331</v>
      </c>
      <c r="L172" s="83">
        <f t="shared" si="118"/>
        <v>42595.709839493058</v>
      </c>
    </row>
    <row r="173" spans="2:14" x14ac:dyDescent="0.2">
      <c r="B173" s="49" t="s">
        <v>48</v>
      </c>
      <c r="C173" s="49"/>
      <c r="D173" s="49"/>
      <c r="E173" s="17">
        <v>0</v>
      </c>
      <c r="F173" s="17">
        <v>0</v>
      </c>
      <c r="G173" s="17">
        <v>0</v>
      </c>
      <c r="H173" s="83">
        <f>H134</f>
        <v>0</v>
      </c>
      <c r="I173" s="83">
        <f t="shared" si="118"/>
        <v>0</v>
      </c>
      <c r="J173" s="83">
        <f t="shared" si="118"/>
        <v>0</v>
      </c>
      <c r="K173" s="83">
        <f t="shared" si="118"/>
        <v>0</v>
      </c>
      <c r="L173" s="83">
        <f t="shared" si="118"/>
        <v>0</v>
      </c>
    </row>
    <row r="174" spans="2:14" x14ac:dyDescent="0.2">
      <c r="B174" s="49" t="s">
        <v>49</v>
      </c>
      <c r="C174" s="49"/>
      <c r="D174" s="49"/>
      <c r="E174" s="17">
        <v>-46786</v>
      </c>
      <c r="F174" s="17">
        <v>4724.1129399999991</v>
      </c>
      <c r="G174" s="17">
        <v>-1306.4128899999996</v>
      </c>
      <c r="H174" s="83">
        <f>H83</f>
        <v>1656.538117850956</v>
      </c>
      <c r="I174" s="83">
        <f t="shared" ref="I174:L174" si="119">I83</f>
        <v>277.98402310534584</v>
      </c>
      <c r="J174" s="83">
        <f t="shared" si="119"/>
        <v>1259.1575104545991</v>
      </c>
      <c r="K174" s="83">
        <f t="shared" si="119"/>
        <v>117.98794158503006</v>
      </c>
      <c r="L174" s="83">
        <f t="shared" si="119"/>
        <v>1675.1295855623757</v>
      </c>
    </row>
    <row r="175" spans="2:14" x14ac:dyDescent="0.2">
      <c r="B175" s="51" t="s">
        <v>50</v>
      </c>
      <c r="C175" s="51"/>
      <c r="D175" s="51"/>
      <c r="E175" s="22">
        <f>E171+E172+E173-E174</f>
        <v>91899.240380000017</v>
      </c>
      <c r="F175" s="22">
        <f t="shared" ref="F175:L175" si="120">F171+F172+F173-F174</f>
        <v>46579.679290000036</v>
      </c>
      <c r="G175" s="22">
        <f t="shared" si="120"/>
        <v>58281.888550000025</v>
      </c>
      <c r="H175" s="22">
        <f t="shared" si="120"/>
        <v>58588.242983412696</v>
      </c>
      <c r="I175" s="22">
        <f t="shared" si="120"/>
        <v>62717.312085557882</v>
      </c>
      <c r="J175" s="22">
        <f t="shared" si="120"/>
        <v>64914.564852594449</v>
      </c>
      <c r="K175" s="22">
        <f t="shared" si="120"/>
        <v>69440.541112865976</v>
      </c>
      <c r="L175" s="22">
        <f t="shared" si="120"/>
        <v>71297.508437846394</v>
      </c>
    </row>
    <row r="176" spans="2:14" x14ac:dyDescent="0.2">
      <c r="B176" s="52"/>
      <c r="C176" s="52"/>
      <c r="D176" s="52"/>
      <c r="E176" s="15"/>
      <c r="F176" s="15"/>
      <c r="G176" s="15"/>
    </row>
    <row r="177" spans="2:12" x14ac:dyDescent="0.2">
      <c r="B177" s="58" t="s">
        <v>51</v>
      </c>
      <c r="C177" s="58"/>
      <c r="D177" s="58"/>
      <c r="E177" s="31"/>
      <c r="F177" s="31"/>
      <c r="G177" s="31"/>
    </row>
    <row r="178" spans="2:12" x14ac:dyDescent="0.2">
      <c r="B178" s="49" t="s">
        <v>52</v>
      </c>
      <c r="C178" s="49"/>
      <c r="D178" s="49"/>
      <c r="E178" s="10">
        <v>-35684</v>
      </c>
      <c r="F178" s="10">
        <v>-41573.907500000001</v>
      </c>
      <c r="G178" s="10">
        <v>-40972</v>
      </c>
      <c r="H178" s="83">
        <f>-H89</f>
        <v>-36693.391628145589</v>
      </c>
      <c r="I178" s="83">
        <f t="shared" ref="I178:L178" si="121">-I89</f>
        <v>-36483.545956962102</v>
      </c>
      <c r="J178" s="83">
        <f t="shared" si="121"/>
        <v>-38508.680758280243</v>
      </c>
      <c r="K178" s="83">
        <f t="shared" si="121"/>
        <v>-41044.803899092331</v>
      </c>
      <c r="L178" s="83">
        <f t="shared" si="121"/>
        <v>-42595.709839493058</v>
      </c>
    </row>
    <row r="179" spans="2:12" x14ac:dyDescent="0.2">
      <c r="B179" s="49" t="s">
        <v>78</v>
      </c>
      <c r="C179" s="49"/>
      <c r="D179" s="49"/>
      <c r="E179" s="17">
        <v>0</v>
      </c>
      <c r="F179" s="17">
        <v>0</v>
      </c>
      <c r="G179" s="17">
        <v>0</v>
      </c>
      <c r="H179" s="84">
        <f>-H95</f>
        <v>0</v>
      </c>
      <c r="I179" s="84">
        <f t="shared" ref="I179:L179" si="122">-I95</f>
        <v>0</v>
      </c>
      <c r="J179" s="84">
        <f t="shared" si="122"/>
        <v>0</v>
      </c>
      <c r="K179" s="84">
        <f t="shared" si="122"/>
        <v>0</v>
      </c>
      <c r="L179" s="84">
        <f t="shared" si="122"/>
        <v>0</v>
      </c>
    </row>
    <row r="180" spans="2:12" x14ac:dyDescent="0.2">
      <c r="B180" s="49" t="s">
        <v>79</v>
      </c>
      <c r="C180" s="49"/>
      <c r="D180" s="49"/>
      <c r="E180" s="17">
        <v>0</v>
      </c>
      <c r="F180" s="17">
        <v>0</v>
      </c>
      <c r="G180" s="17">
        <v>0</v>
      </c>
      <c r="H180" s="129"/>
      <c r="I180" s="129"/>
      <c r="J180" s="129"/>
      <c r="K180" s="129"/>
      <c r="L180" s="129"/>
    </row>
    <row r="181" spans="2:12" x14ac:dyDescent="0.2">
      <c r="B181" s="49" t="s">
        <v>88</v>
      </c>
      <c r="C181" s="49"/>
      <c r="D181" s="49"/>
      <c r="E181" s="10">
        <v>-50000</v>
      </c>
      <c r="F181" s="10">
        <v>0</v>
      </c>
      <c r="G181" s="10">
        <v>0</v>
      </c>
      <c r="H181" s="83">
        <f>-H106</f>
        <v>0</v>
      </c>
      <c r="I181" s="83">
        <f t="shared" ref="I181:L181" si="123">-I106</f>
        <v>0</v>
      </c>
      <c r="J181" s="83">
        <f t="shared" si="123"/>
        <v>0</v>
      </c>
      <c r="K181" s="83">
        <f t="shared" si="123"/>
        <v>0</v>
      </c>
      <c r="L181" s="83">
        <f t="shared" si="123"/>
        <v>0</v>
      </c>
    </row>
    <row r="182" spans="2:12" x14ac:dyDescent="0.2">
      <c r="B182" s="61" t="s">
        <v>54</v>
      </c>
      <c r="C182" s="61"/>
      <c r="D182" s="61"/>
      <c r="E182" s="22">
        <f>SUM(E178:E181)</f>
        <v>-85684</v>
      </c>
      <c r="F182" s="22">
        <f t="shared" ref="F182:L182" si="124">SUM(F178:F181)</f>
        <v>-41573.907500000001</v>
      </c>
      <c r="G182" s="22">
        <f t="shared" si="124"/>
        <v>-40972</v>
      </c>
      <c r="H182" s="22">
        <f t="shared" si="124"/>
        <v>-36693.391628145589</v>
      </c>
      <c r="I182" s="22">
        <f t="shared" si="124"/>
        <v>-36483.545956962102</v>
      </c>
      <c r="J182" s="22">
        <f t="shared" si="124"/>
        <v>-38508.680758280243</v>
      </c>
      <c r="K182" s="22">
        <f t="shared" si="124"/>
        <v>-41044.803899092331</v>
      </c>
      <c r="L182" s="22">
        <f t="shared" si="124"/>
        <v>-42595.709839493058</v>
      </c>
    </row>
    <row r="183" spans="2:12" x14ac:dyDescent="0.2">
      <c r="B183" s="52"/>
      <c r="C183" s="52"/>
      <c r="D183" s="52"/>
      <c r="E183" s="15"/>
      <c r="F183" s="15"/>
      <c r="G183" s="15"/>
    </row>
    <row r="184" spans="2:12" x14ac:dyDescent="0.2">
      <c r="B184" s="58" t="s">
        <v>55</v>
      </c>
      <c r="C184" s="58"/>
      <c r="D184" s="58"/>
      <c r="E184" s="31"/>
      <c r="F184" s="31"/>
      <c r="G184" s="31"/>
    </row>
    <row r="185" spans="2:12" x14ac:dyDescent="0.2">
      <c r="B185" s="49" t="s">
        <v>56</v>
      </c>
      <c r="C185" s="49"/>
      <c r="D185" s="49"/>
      <c r="E185" s="10">
        <v>0</v>
      </c>
      <c r="F185" s="10">
        <v>0</v>
      </c>
      <c r="G185" s="10">
        <v>0</v>
      </c>
      <c r="H185" s="83">
        <f>H39+H42</f>
        <v>0</v>
      </c>
      <c r="I185" s="83">
        <f t="shared" ref="I185:L185" si="125">I39+I42</f>
        <v>0</v>
      </c>
      <c r="J185" s="83">
        <f t="shared" si="125"/>
        <v>0</v>
      </c>
      <c r="K185" s="83">
        <f t="shared" si="125"/>
        <v>0</v>
      </c>
      <c r="L185" s="83">
        <f t="shared" si="125"/>
        <v>0</v>
      </c>
    </row>
    <row r="186" spans="2:12" x14ac:dyDescent="0.2">
      <c r="B186" s="49" t="s">
        <v>57</v>
      </c>
      <c r="C186" s="49"/>
      <c r="D186" s="49"/>
      <c r="E186" s="10">
        <v>0</v>
      </c>
      <c r="F186" s="10">
        <v>0</v>
      </c>
      <c r="G186" s="10">
        <v>0</v>
      </c>
      <c r="H186" s="83">
        <f>H101</f>
        <v>0</v>
      </c>
      <c r="I186" s="83">
        <f t="shared" ref="I186:L186" si="126">I101</f>
        <v>0</v>
      </c>
      <c r="J186" s="83">
        <f t="shared" si="126"/>
        <v>0</v>
      </c>
      <c r="K186" s="83">
        <f t="shared" si="126"/>
        <v>0</v>
      </c>
      <c r="L186" s="83">
        <f t="shared" si="126"/>
        <v>0</v>
      </c>
    </row>
    <row r="187" spans="2:12" x14ac:dyDescent="0.2">
      <c r="B187" s="61" t="s">
        <v>58</v>
      </c>
      <c r="C187" s="61"/>
      <c r="D187" s="61"/>
      <c r="E187" s="22">
        <f>SUM(E185:E186)</f>
        <v>0</v>
      </c>
      <c r="F187" s="22">
        <f t="shared" ref="F187:L187" si="127">SUM(F185:F186)</f>
        <v>0</v>
      </c>
      <c r="G187" s="22">
        <f t="shared" si="127"/>
        <v>0</v>
      </c>
      <c r="H187" s="22">
        <f t="shared" si="127"/>
        <v>0</v>
      </c>
      <c r="I187" s="22">
        <f t="shared" si="127"/>
        <v>0</v>
      </c>
      <c r="J187" s="22">
        <f t="shared" si="127"/>
        <v>0</v>
      </c>
      <c r="K187" s="22">
        <f t="shared" si="127"/>
        <v>0</v>
      </c>
      <c r="L187" s="22">
        <f t="shared" si="127"/>
        <v>0</v>
      </c>
    </row>
    <row r="188" spans="2:12" x14ac:dyDescent="0.2">
      <c r="B188" s="52"/>
      <c r="C188" s="52"/>
      <c r="D188" s="52"/>
      <c r="E188" s="15"/>
      <c r="F188" s="15"/>
      <c r="G188" s="15"/>
      <c r="H188" s="15"/>
      <c r="I188" s="15"/>
      <c r="J188" s="15"/>
      <c r="K188" s="15"/>
      <c r="L188" s="15"/>
    </row>
    <row r="189" spans="2:12" x14ac:dyDescent="0.2">
      <c r="B189" s="51" t="s">
        <v>59</v>
      </c>
      <c r="C189" s="51"/>
      <c r="D189" s="51"/>
      <c r="E189" s="22">
        <f>E175+E182+E187</f>
        <v>6215.2403800000175</v>
      </c>
      <c r="F189" s="22">
        <f t="shared" ref="F189:L189" si="128">F175+F182+F187</f>
        <v>5005.7717900000353</v>
      </c>
      <c r="G189" s="22">
        <f t="shared" si="128"/>
        <v>17309.888550000025</v>
      </c>
      <c r="H189" s="22">
        <f t="shared" si="128"/>
        <v>21894.851355267107</v>
      </c>
      <c r="I189" s="22">
        <f t="shared" si="128"/>
        <v>26233.76612859578</v>
      </c>
      <c r="J189" s="22">
        <f t="shared" si="128"/>
        <v>26405.884094314206</v>
      </c>
      <c r="K189" s="22">
        <f t="shared" si="128"/>
        <v>28395.737213773646</v>
      </c>
      <c r="L189" s="22">
        <f t="shared" si="128"/>
        <v>28701.798598353336</v>
      </c>
    </row>
    <row r="190" spans="2:12" x14ac:dyDescent="0.2">
      <c r="B190" s="49" t="s">
        <v>60</v>
      </c>
      <c r="C190" s="49"/>
      <c r="D190" s="49"/>
      <c r="E190" s="10">
        <v>5142</v>
      </c>
      <c r="F190" s="32">
        <f>E191</f>
        <v>11357.240380000017</v>
      </c>
      <c r="G190" s="32">
        <f>F191</f>
        <v>16363.012170000053</v>
      </c>
      <c r="H190" s="32">
        <f t="shared" ref="H190:L190" si="129">G191</f>
        <v>33672.900720000078</v>
      </c>
      <c r="I190" s="32">
        <f t="shared" si="129"/>
        <v>55567.752075267184</v>
      </c>
      <c r="J190" s="32">
        <f t="shared" si="129"/>
        <v>81801.518203862972</v>
      </c>
      <c r="K190" s="32">
        <f t="shared" si="129"/>
        <v>108207.40229817719</v>
      </c>
      <c r="L190" s="32">
        <f t="shared" si="129"/>
        <v>136603.13951195084</v>
      </c>
    </row>
    <row r="191" spans="2:12" ht="10.8" thickBot="1" x14ac:dyDescent="0.25">
      <c r="B191" s="53" t="s">
        <v>61</v>
      </c>
      <c r="C191" s="53"/>
      <c r="D191" s="53"/>
      <c r="E191" s="41">
        <f>SUM(E189:E190)</f>
        <v>11357.240380000017</v>
      </c>
      <c r="F191" s="41">
        <f t="shared" ref="F191:L191" si="130">SUM(F189:F190)</f>
        <v>16363.012170000053</v>
      </c>
      <c r="G191" s="41">
        <f t="shared" si="130"/>
        <v>33672.900720000078</v>
      </c>
      <c r="H191" s="41">
        <f t="shared" si="130"/>
        <v>55567.752075267184</v>
      </c>
      <c r="I191" s="41">
        <f t="shared" si="130"/>
        <v>81801.518203862972</v>
      </c>
      <c r="J191" s="41">
        <f t="shared" si="130"/>
        <v>108207.40229817719</v>
      </c>
      <c r="K191" s="41">
        <f t="shared" si="130"/>
        <v>136603.13951195084</v>
      </c>
      <c r="L191" s="41">
        <f t="shared" si="130"/>
        <v>165304.93811030418</v>
      </c>
    </row>
    <row r="192" spans="2:12" x14ac:dyDescent="0.2">
      <c r="B192" s="58"/>
      <c r="C192" s="58"/>
      <c r="D192" s="58"/>
      <c r="E192" s="15"/>
      <c r="F192" s="26"/>
      <c r="G192" s="26"/>
      <c r="H192" s="26"/>
      <c r="I192" s="26"/>
      <c r="J192" s="26"/>
      <c r="K192" s="26"/>
      <c r="L192" s="26"/>
    </row>
    <row r="193" spans="2:12" x14ac:dyDescent="0.2">
      <c r="B193" s="131" t="s">
        <v>62</v>
      </c>
      <c r="C193" s="131"/>
      <c r="D193" s="131"/>
      <c r="E193" s="28">
        <f>E191-E145</f>
        <v>0</v>
      </c>
      <c r="F193" s="28">
        <f>F191-F145</f>
        <v>0</v>
      </c>
      <c r="G193" s="28">
        <f>G191-G145</f>
        <v>0</v>
      </c>
      <c r="H193" s="28">
        <f t="shared" ref="H193:L193" si="131">H191-H145</f>
        <v>0</v>
      </c>
      <c r="I193" s="28">
        <f t="shared" si="131"/>
        <v>0</v>
      </c>
      <c r="J193" s="28">
        <f t="shared" si="131"/>
        <v>0</v>
      </c>
      <c r="K193" s="28">
        <f t="shared" si="131"/>
        <v>0</v>
      </c>
      <c r="L193" s="28">
        <f t="shared" si="131"/>
        <v>0</v>
      </c>
    </row>
    <row r="194" spans="2:12" x14ac:dyDescent="0.2">
      <c r="B194" s="131" t="s">
        <v>63</v>
      </c>
      <c r="C194" s="131"/>
      <c r="D194" s="131"/>
      <c r="E194" s="28">
        <f>E171-E140</f>
        <v>0</v>
      </c>
      <c r="F194" s="28">
        <f>F171-F140</f>
        <v>0</v>
      </c>
      <c r="G194" s="28">
        <f>G171-G140</f>
        <v>0</v>
      </c>
      <c r="H194" s="28">
        <f t="shared" ref="H194:L194" si="132">H171-H140</f>
        <v>0</v>
      </c>
      <c r="I194" s="28">
        <f t="shared" si="132"/>
        <v>0</v>
      </c>
      <c r="J194" s="28">
        <f t="shared" si="132"/>
        <v>0</v>
      </c>
      <c r="K194" s="28">
        <f t="shared" si="132"/>
        <v>0</v>
      </c>
      <c r="L194" s="28">
        <f t="shared" si="132"/>
        <v>0</v>
      </c>
    </row>
    <row r="195" spans="2:12" x14ac:dyDescent="0.2">
      <c r="B195" s="131" t="s">
        <v>64</v>
      </c>
      <c r="C195" s="131"/>
      <c r="D195" s="131"/>
      <c r="E195" s="28">
        <f t="shared" ref="E195:L196" si="133">E172-E133</f>
        <v>0</v>
      </c>
      <c r="F195" s="28">
        <f t="shared" si="133"/>
        <v>0</v>
      </c>
      <c r="G195" s="28">
        <f t="shared" si="133"/>
        <v>0</v>
      </c>
      <c r="H195" s="28">
        <f t="shared" si="133"/>
        <v>0</v>
      </c>
      <c r="I195" s="28">
        <f t="shared" si="133"/>
        <v>0</v>
      </c>
      <c r="J195" s="28">
        <f t="shared" si="133"/>
        <v>0</v>
      </c>
      <c r="K195" s="28">
        <f t="shared" si="133"/>
        <v>0</v>
      </c>
      <c r="L195" s="28">
        <f t="shared" si="133"/>
        <v>0</v>
      </c>
    </row>
    <row r="196" spans="2:12" x14ac:dyDescent="0.2">
      <c r="B196" s="131" t="s">
        <v>65</v>
      </c>
      <c r="C196" s="131"/>
      <c r="D196" s="131"/>
      <c r="E196" s="28">
        <f t="shared" si="133"/>
        <v>0</v>
      </c>
      <c r="F196" s="28">
        <f t="shared" si="133"/>
        <v>0</v>
      </c>
      <c r="G196" s="28">
        <f t="shared" si="133"/>
        <v>0</v>
      </c>
      <c r="H196" s="28">
        <f t="shared" si="133"/>
        <v>0</v>
      </c>
      <c r="I196" s="28">
        <f t="shared" si="133"/>
        <v>0</v>
      </c>
      <c r="J196" s="28">
        <f t="shared" si="133"/>
        <v>0</v>
      </c>
      <c r="K196" s="28">
        <f t="shared" si="133"/>
        <v>0</v>
      </c>
      <c r="L196" s="28">
        <f t="shared" si="133"/>
        <v>0</v>
      </c>
    </row>
  </sheetData>
  <hyperlinks>
    <hyperlink ref="B1" location="'TOC'!A1" display="Table of Contents" xr:uid="{4A00B3E0-749F-4D7E-8725-6C6854290912}"/>
  </hyperlinks>
  <pageMargins left="0.7" right="0.7" top="0.75" bottom="0.75" header="0.3" footer="0.3"/>
  <pageSetup orientation="portrait" r:id="rId1"/>
  <ignoredErrors>
    <ignoredError sqref="H134:L134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416A-09AB-4D4B-BF61-36C35FAAA25F}">
  <sheetPr>
    <tabColor rgb="FF92D050"/>
  </sheetPr>
  <dimension ref="B1:N196"/>
  <sheetViews>
    <sheetView showGridLines="0" zoomScaleNormal="100" workbookViewId="0">
      <pane ySplit="7" topLeftCell="A8" activePane="bottomLeft" state="frozen"/>
      <selection pane="bottomLef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6384" width="9.109375" style="39"/>
  </cols>
  <sheetData>
    <row r="1" spans="2:14" x14ac:dyDescent="0.2">
      <c r="B1" s="256" t="s">
        <v>343</v>
      </c>
    </row>
    <row r="2" spans="2:14" ht="15.6" x14ac:dyDescent="0.3">
      <c r="B2" s="37" t="s">
        <v>66</v>
      </c>
      <c r="C2" s="37"/>
      <c r="D2" s="37"/>
    </row>
    <row r="3" spans="2:14" x14ac:dyDescent="0.2">
      <c r="B3" s="38" t="s">
        <v>94</v>
      </c>
      <c r="C3" s="38"/>
      <c r="D3" s="38"/>
    </row>
    <row r="5" spans="2:14" x14ac:dyDescent="0.2">
      <c r="B5" s="40" t="s">
        <v>80</v>
      </c>
      <c r="C5" s="40"/>
      <c r="D5" s="40"/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48" t="s">
        <v>98</v>
      </c>
      <c r="C9" s="48"/>
      <c r="D9" s="48"/>
      <c r="E9" s="36">
        <f>E$7</f>
        <v>2020</v>
      </c>
      <c r="F9" s="36">
        <f t="shared" ref="F9:L9" si="1">F$7</f>
        <v>2021</v>
      </c>
      <c r="G9" s="36">
        <f t="shared" si="1"/>
        <v>2022</v>
      </c>
      <c r="H9" s="36">
        <f t="shared" si="1"/>
        <v>2023</v>
      </c>
      <c r="I9" s="36">
        <f t="shared" si="1"/>
        <v>2024</v>
      </c>
      <c r="J9" s="36">
        <f t="shared" si="1"/>
        <v>2025</v>
      </c>
      <c r="K9" s="36">
        <f t="shared" si="1"/>
        <v>2026</v>
      </c>
      <c r="L9" s="36">
        <f t="shared" si="1"/>
        <v>2027</v>
      </c>
    </row>
    <row r="11" spans="2:14" x14ac:dyDescent="0.2">
      <c r="B11" s="76" t="s">
        <v>99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</row>
    <row r="13" spans="2:14" x14ac:dyDescent="0.2">
      <c r="B13" s="39" t="s">
        <v>129</v>
      </c>
      <c r="C13" s="39" t="s">
        <v>101</v>
      </c>
      <c r="E13" s="80"/>
      <c r="F13" s="81">
        <f>F114/E114-1</f>
        <v>4.6999999999999931E-2</v>
      </c>
      <c r="G13" s="81">
        <f>G114/F114-1</f>
        <v>8.2000000000000073E-2</v>
      </c>
      <c r="H13" s="78">
        <v>0.05</v>
      </c>
      <c r="I13" s="78">
        <v>0.05</v>
      </c>
      <c r="J13" s="78">
        <v>0.05</v>
      </c>
      <c r="K13" s="78">
        <v>0.05</v>
      </c>
      <c r="L13" s="78">
        <v>0.05</v>
      </c>
    </row>
    <row r="14" spans="2:14" x14ac:dyDescent="0.2">
      <c r="B14" s="39" t="s">
        <v>5</v>
      </c>
      <c r="C14" s="39" t="s">
        <v>156</v>
      </c>
      <c r="E14" s="81">
        <f>E115/E114</f>
        <v>0.51700000000000002</v>
      </c>
      <c r="F14" s="81">
        <f t="shared" ref="F14:G14" si="2">F115/F114</f>
        <v>0.495</v>
      </c>
      <c r="G14" s="81">
        <f t="shared" si="2"/>
        <v>0.503</v>
      </c>
      <c r="H14" s="77">
        <f>AVERAGE(E14:G14)</f>
        <v>0.505</v>
      </c>
      <c r="I14" s="77">
        <f t="shared" ref="I14:L14" si="3">AVERAGE(F14:H14)</f>
        <v>0.501</v>
      </c>
      <c r="J14" s="77">
        <f t="shared" si="3"/>
        <v>0.503</v>
      </c>
      <c r="K14" s="77">
        <f t="shared" si="3"/>
        <v>0.503</v>
      </c>
      <c r="L14" s="77">
        <f t="shared" si="3"/>
        <v>0.50233333333333341</v>
      </c>
      <c r="N14" s="70" t="s">
        <v>103</v>
      </c>
    </row>
    <row r="15" spans="2:14" x14ac:dyDescent="0.2">
      <c r="E15" s="80"/>
      <c r="F15" s="80"/>
      <c r="G15" s="80"/>
    </row>
    <row r="16" spans="2:14" x14ac:dyDescent="0.2">
      <c r="B16" s="75" t="s">
        <v>100</v>
      </c>
      <c r="E16" s="80"/>
      <c r="F16" s="80"/>
      <c r="G16" s="80"/>
    </row>
    <row r="17" spans="2:14" x14ac:dyDescent="0.2">
      <c r="B17" s="49" t="s">
        <v>8</v>
      </c>
      <c r="C17" s="39" t="s">
        <v>156</v>
      </c>
      <c r="E17" s="81">
        <f>E119/E$114</f>
        <v>0.17000000000000004</v>
      </c>
      <c r="F17" s="81">
        <f t="shared" ref="F17:G17" si="4">F119/F$114</f>
        <v>0.17</v>
      </c>
      <c r="G17" s="81">
        <f t="shared" si="4"/>
        <v>0.17</v>
      </c>
      <c r="H17" s="77">
        <f>AVERAGE(E17:G17)</f>
        <v>0.17000000000000004</v>
      </c>
      <c r="I17" s="77">
        <f t="shared" ref="I17:L26" si="5">AVERAGE(F17:H17)</f>
        <v>0.17</v>
      </c>
      <c r="J17" s="77">
        <f t="shared" si="5"/>
        <v>0.17000000000000004</v>
      </c>
      <c r="K17" s="77">
        <f t="shared" si="5"/>
        <v>0.17000000000000004</v>
      </c>
      <c r="L17" s="77">
        <f t="shared" si="5"/>
        <v>0.17000000000000004</v>
      </c>
      <c r="N17" s="70" t="s">
        <v>103</v>
      </c>
    </row>
    <row r="18" spans="2:14" x14ac:dyDescent="0.2">
      <c r="B18" s="49" t="s">
        <v>9</v>
      </c>
      <c r="C18" s="39" t="s">
        <v>156</v>
      </c>
      <c r="E18" s="81">
        <f t="shared" ref="E18:G26" si="6">E120/E$114</f>
        <v>3.9E-2</v>
      </c>
      <c r="F18" s="81">
        <f t="shared" si="6"/>
        <v>3.6999999999999998E-2</v>
      </c>
      <c r="G18" s="81">
        <f t="shared" si="6"/>
        <v>3.5000000000000003E-2</v>
      </c>
      <c r="H18" s="77">
        <f t="shared" ref="H18:H26" si="7">AVERAGE(E18:G18)</f>
        <v>3.6999999999999998E-2</v>
      </c>
      <c r="I18" s="77">
        <f t="shared" si="5"/>
        <v>3.6333333333333336E-2</v>
      </c>
      <c r="J18" s="77">
        <f t="shared" si="5"/>
        <v>3.6111111111111115E-2</v>
      </c>
      <c r="K18" s="77">
        <f t="shared" si="5"/>
        <v>3.6481481481481483E-2</v>
      </c>
      <c r="L18" s="77">
        <f t="shared" si="5"/>
        <v>3.6308641975308642E-2</v>
      </c>
      <c r="N18" s="70" t="s">
        <v>103</v>
      </c>
    </row>
    <row r="19" spans="2:14" x14ac:dyDescent="0.2">
      <c r="B19" s="49" t="s">
        <v>10</v>
      </c>
      <c r="C19" s="39" t="s">
        <v>156</v>
      </c>
      <c r="E19" s="81">
        <f t="shared" si="6"/>
        <v>6.5000000000000002E-2</v>
      </c>
      <c r="F19" s="81">
        <f t="shared" si="6"/>
        <v>6.5000000000000002E-2</v>
      </c>
      <c r="G19" s="81">
        <f t="shared" si="6"/>
        <v>6.5000000000000002E-2</v>
      </c>
      <c r="H19" s="77">
        <f t="shared" si="7"/>
        <v>6.5000000000000002E-2</v>
      </c>
      <c r="I19" s="77">
        <f t="shared" si="5"/>
        <v>6.5000000000000002E-2</v>
      </c>
      <c r="J19" s="77">
        <f t="shared" si="5"/>
        <v>6.5000000000000002E-2</v>
      </c>
      <c r="K19" s="77">
        <f t="shared" si="5"/>
        <v>6.5000000000000002E-2</v>
      </c>
      <c r="L19" s="77">
        <f t="shared" si="5"/>
        <v>6.5000000000000002E-2</v>
      </c>
      <c r="N19" s="70" t="s">
        <v>103</v>
      </c>
    </row>
    <row r="20" spans="2:14" x14ac:dyDescent="0.2">
      <c r="B20" s="49" t="s">
        <v>11</v>
      </c>
      <c r="C20" s="39" t="s">
        <v>156</v>
      </c>
      <c r="E20" s="81">
        <f t="shared" si="6"/>
        <v>2.1999999999999999E-2</v>
      </c>
      <c r="F20" s="81">
        <f t="shared" si="6"/>
        <v>2.3E-2</v>
      </c>
      <c r="G20" s="81">
        <f t="shared" si="6"/>
        <v>2.1000000000000001E-2</v>
      </c>
      <c r="H20" s="77">
        <f t="shared" si="7"/>
        <v>2.2000000000000002E-2</v>
      </c>
      <c r="I20" s="77">
        <f t="shared" si="5"/>
        <v>2.2000000000000002E-2</v>
      </c>
      <c r="J20" s="77">
        <f t="shared" si="5"/>
        <v>2.1666666666666667E-2</v>
      </c>
      <c r="K20" s="77">
        <f t="shared" si="5"/>
        <v>2.1888888888888892E-2</v>
      </c>
      <c r="L20" s="77">
        <f t="shared" si="5"/>
        <v>2.1851851851851855E-2</v>
      </c>
      <c r="N20" s="70" t="s">
        <v>103</v>
      </c>
    </row>
    <row r="21" spans="2:14" x14ac:dyDescent="0.2">
      <c r="B21" s="49" t="s">
        <v>12</v>
      </c>
      <c r="C21" s="39" t="s">
        <v>156</v>
      </c>
      <c r="E21" s="81">
        <f t="shared" si="6"/>
        <v>0.04</v>
      </c>
      <c r="F21" s="81">
        <f t="shared" si="6"/>
        <v>3.9E-2</v>
      </c>
      <c r="G21" s="81">
        <f t="shared" si="6"/>
        <v>4.1000000000000002E-2</v>
      </c>
      <c r="H21" s="77">
        <f t="shared" si="7"/>
        <v>0.04</v>
      </c>
      <c r="I21" s="77">
        <f t="shared" si="5"/>
        <v>0.04</v>
      </c>
      <c r="J21" s="77">
        <f t="shared" si="5"/>
        <v>4.0333333333333332E-2</v>
      </c>
      <c r="K21" s="77">
        <f t="shared" si="5"/>
        <v>4.0111111111111111E-2</v>
      </c>
      <c r="L21" s="77">
        <f t="shared" si="5"/>
        <v>4.0148148148148148E-2</v>
      </c>
      <c r="N21" s="70" t="s">
        <v>103</v>
      </c>
    </row>
    <row r="22" spans="2:14" x14ac:dyDescent="0.2">
      <c r="B22" s="49" t="s">
        <v>13</v>
      </c>
      <c r="C22" s="39" t="s">
        <v>156</v>
      </c>
      <c r="E22" s="81">
        <f t="shared" si="6"/>
        <v>5.0000000000000001E-3</v>
      </c>
      <c r="F22" s="81">
        <f t="shared" si="6"/>
        <v>7.0000000000000001E-3</v>
      </c>
      <c r="G22" s="81">
        <f t="shared" si="6"/>
        <v>6.0000000000000001E-3</v>
      </c>
      <c r="H22" s="77">
        <f t="shared" si="7"/>
        <v>6.000000000000001E-3</v>
      </c>
      <c r="I22" s="77">
        <f t="shared" si="5"/>
        <v>6.333333333333334E-3</v>
      </c>
      <c r="J22" s="77">
        <f t="shared" si="5"/>
        <v>6.1111111111111114E-3</v>
      </c>
      <c r="K22" s="77">
        <f t="shared" si="5"/>
        <v>6.1481481481481491E-3</v>
      </c>
      <c r="L22" s="77">
        <f t="shared" si="5"/>
        <v>6.1975308641975318E-3</v>
      </c>
      <c r="N22" s="70" t="s">
        <v>103</v>
      </c>
    </row>
    <row r="23" spans="2:14" x14ac:dyDescent="0.2">
      <c r="B23" s="49" t="s">
        <v>14</v>
      </c>
      <c r="C23" s="39" t="s">
        <v>156</v>
      </c>
      <c r="E23" s="81">
        <f t="shared" si="6"/>
        <v>5.0000000000000001E-3</v>
      </c>
      <c r="F23" s="81">
        <f t="shared" si="6"/>
        <v>5.0000000000000001E-3</v>
      </c>
      <c r="G23" s="81">
        <f t="shared" si="6"/>
        <v>6.0000000000000001E-3</v>
      </c>
      <c r="H23" s="77">
        <f t="shared" si="7"/>
        <v>5.3333333333333332E-3</v>
      </c>
      <c r="I23" s="77">
        <f t="shared" si="5"/>
        <v>5.4444444444444436E-3</v>
      </c>
      <c r="J23" s="77">
        <f t="shared" si="5"/>
        <v>5.5925925925925926E-3</v>
      </c>
      <c r="K23" s="77">
        <f t="shared" si="5"/>
        <v>5.4567901234567895E-3</v>
      </c>
      <c r="L23" s="77">
        <f t="shared" si="5"/>
        <v>5.4979423868312749E-3</v>
      </c>
      <c r="N23" s="70" t="s">
        <v>103</v>
      </c>
    </row>
    <row r="24" spans="2:14" x14ac:dyDescent="0.2">
      <c r="B24" s="49" t="s">
        <v>15</v>
      </c>
      <c r="C24" s="39" t="s">
        <v>156</v>
      </c>
      <c r="E24" s="81">
        <f t="shared" si="6"/>
        <v>6.0000000000000001E-3</v>
      </c>
      <c r="F24" s="81">
        <f t="shared" si="6"/>
        <v>5.0000000000000001E-3</v>
      </c>
      <c r="G24" s="81">
        <f t="shared" si="6"/>
        <v>8.0000000000000002E-3</v>
      </c>
      <c r="H24" s="77">
        <f t="shared" si="7"/>
        <v>6.3333333333333332E-3</v>
      </c>
      <c r="I24" s="77">
        <f t="shared" si="5"/>
        <v>6.4444444444444445E-3</v>
      </c>
      <c r="J24" s="77">
        <f t="shared" si="5"/>
        <v>6.9259259259259257E-3</v>
      </c>
      <c r="K24" s="77">
        <f t="shared" si="5"/>
        <v>6.5679012345679008E-3</v>
      </c>
      <c r="L24" s="77">
        <f t="shared" si="5"/>
        <v>6.6460905349794231E-3</v>
      </c>
      <c r="N24" s="70" t="s">
        <v>103</v>
      </c>
    </row>
    <row r="25" spans="2:14" x14ac:dyDescent="0.2">
      <c r="B25" s="49" t="s">
        <v>16</v>
      </c>
      <c r="C25" s="39" t="s">
        <v>156</v>
      </c>
      <c r="E25" s="81">
        <f t="shared" si="6"/>
        <v>2.1000000000000001E-2</v>
      </c>
      <c r="F25" s="81">
        <f t="shared" si="6"/>
        <v>1.9E-2</v>
      </c>
      <c r="G25" s="81">
        <f t="shared" si="6"/>
        <v>2.3E-2</v>
      </c>
      <c r="H25" s="77">
        <f t="shared" si="7"/>
        <v>2.1000000000000001E-2</v>
      </c>
      <c r="I25" s="77">
        <f t="shared" si="5"/>
        <v>2.1000000000000001E-2</v>
      </c>
      <c r="J25" s="77">
        <f t="shared" si="5"/>
        <v>2.1666666666666667E-2</v>
      </c>
      <c r="K25" s="77">
        <f t="shared" si="5"/>
        <v>2.1222222222222226E-2</v>
      </c>
      <c r="L25" s="77">
        <f t="shared" si="5"/>
        <v>2.1296296296296299E-2</v>
      </c>
      <c r="N25" s="70" t="s">
        <v>103</v>
      </c>
    </row>
    <row r="26" spans="2:14" x14ac:dyDescent="0.2">
      <c r="B26" s="49" t="s">
        <v>17</v>
      </c>
      <c r="C26" s="39" t="s">
        <v>156</v>
      </c>
      <c r="E26" s="81">
        <f t="shared" si="6"/>
        <v>7.0000000000000001E-3</v>
      </c>
      <c r="F26" s="81">
        <f t="shared" si="6"/>
        <v>6.0000000000000001E-3</v>
      </c>
      <c r="G26" s="81">
        <f t="shared" si="6"/>
        <v>1.0999999999999999E-2</v>
      </c>
      <c r="H26" s="77">
        <f t="shared" si="7"/>
        <v>8.0000000000000002E-3</v>
      </c>
      <c r="I26" s="77">
        <f t="shared" si="5"/>
        <v>8.3333333333333332E-3</v>
      </c>
      <c r="J26" s="77">
        <f t="shared" si="5"/>
        <v>9.1111111111111115E-3</v>
      </c>
      <c r="K26" s="77">
        <f t="shared" si="5"/>
        <v>8.4814814814814805E-3</v>
      </c>
      <c r="L26" s="77">
        <f t="shared" si="5"/>
        <v>8.6419753086419745E-3</v>
      </c>
      <c r="N26" s="70" t="s">
        <v>103</v>
      </c>
    </row>
    <row r="27" spans="2:14" x14ac:dyDescent="0.2">
      <c r="E27" s="80"/>
      <c r="F27" s="80"/>
      <c r="G27" s="80"/>
    </row>
    <row r="28" spans="2:14" x14ac:dyDescent="0.2">
      <c r="B28" s="75" t="s">
        <v>104</v>
      </c>
      <c r="E28" s="80"/>
      <c r="F28" s="80"/>
      <c r="G28" s="80"/>
    </row>
    <row r="29" spans="2:14" x14ac:dyDescent="0.2">
      <c r="B29" s="49" t="s">
        <v>21</v>
      </c>
      <c r="C29" s="39" t="s">
        <v>156</v>
      </c>
      <c r="E29" s="81">
        <f>E133/E$114</f>
        <v>0.09</v>
      </c>
      <c r="F29" s="81">
        <f t="shared" ref="F29:G29" si="8">F133/F$114</f>
        <v>0.09</v>
      </c>
      <c r="G29" s="81">
        <f t="shared" si="8"/>
        <v>0.09</v>
      </c>
      <c r="H29" s="77">
        <f t="shared" ref="H29:L29" si="9">AVERAGE(E29:G29)</f>
        <v>9.0000000000000011E-2</v>
      </c>
      <c r="I29" s="77">
        <f t="shared" si="9"/>
        <v>9.0000000000000011E-2</v>
      </c>
      <c r="J29" s="77">
        <f t="shared" si="9"/>
        <v>9.0000000000000011E-2</v>
      </c>
      <c r="K29" s="77">
        <f t="shared" si="9"/>
        <v>9.0000000000000011E-2</v>
      </c>
      <c r="L29" s="77">
        <f t="shared" si="9"/>
        <v>9.0000000000000011E-2</v>
      </c>
      <c r="N29" s="70" t="s">
        <v>103</v>
      </c>
    </row>
    <row r="30" spans="2:14" x14ac:dyDescent="0.2">
      <c r="B30" s="50" t="s">
        <v>22</v>
      </c>
      <c r="E30" s="80"/>
      <c r="F30" s="80"/>
      <c r="G30" s="80"/>
      <c r="N30" s="70" t="s">
        <v>106</v>
      </c>
    </row>
    <row r="31" spans="2:14" x14ac:dyDescent="0.2">
      <c r="B31" s="50" t="s">
        <v>105</v>
      </c>
      <c r="C31" s="39" t="s">
        <v>156</v>
      </c>
      <c r="E31" s="81">
        <f>E135/E$114</f>
        <v>8.0000000000000002E-3</v>
      </c>
      <c r="F31" s="81">
        <f t="shared" ref="F31:G31" si="10">F135/F$114</f>
        <v>6.0000000000000001E-3</v>
      </c>
      <c r="G31" s="81">
        <f t="shared" si="10"/>
        <v>7.0000000000000001E-3</v>
      </c>
      <c r="H31" s="77">
        <f t="shared" ref="H31:L31" si="11">AVERAGE(E31:G31)</f>
        <v>7.0000000000000001E-3</v>
      </c>
      <c r="I31" s="77">
        <f t="shared" si="11"/>
        <v>6.6666666666666671E-3</v>
      </c>
      <c r="J31" s="77">
        <f t="shared" si="11"/>
        <v>6.8888888888888888E-3</v>
      </c>
      <c r="K31" s="77">
        <f t="shared" si="11"/>
        <v>6.851851851851852E-3</v>
      </c>
      <c r="L31" s="77">
        <f t="shared" si="11"/>
        <v>6.8024691358024693E-3</v>
      </c>
      <c r="N31" s="70" t="s">
        <v>103</v>
      </c>
    </row>
    <row r="32" spans="2:14" x14ac:dyDescent="0.2">
      <c r="E32" s="80"/>
      <c r="F32" s="80"/>
      <c r="G32" s="80"/>
    </row>
    <row r="33" spans="2:14" x14ac:dyDescent="0.2">
      <c r="B33" s="50" t="s">
        <v>25</v>
      </c>
      <c r="C33" s="39" t="s">
        <v>107</v>
      </c>
      <c r="E33" s="81">
        <f>E139/E137</f>
        <v>0</v>
      </c>
      <c r="F33" s="81">
        <f t="shared" ref="F33:G33" si="12">F139/F137</f>
        <v>0</v>
      </c>
      <c r="G33" s="81">
        <f t="shared" si="12"/>
        <v>0</v>
      </c>
      <c r="H33" s="78">
        <v>0.35</v>
      </c>
      <c r="I33" s="78">
        <v>0.35</v>
      </c>
      <c r="J33" s="78">
        <v>0.35</v>
      </c>
      <c r="K33" s="78">
        <v>0.35</v>
      </c>
      <c r="L33" s="78">
        <v>0.35</v>
      </c>
    </row>
    <row r="34" spans="2:14" x14ac:dyDescent="0.2">
      <c r="B34" s="50"/>
      <c r="E34" s="85"/>
      <c r="F34" s="85"/>
      <c r="G34" s="85"/>
      <c r="H34" s="78"/>
      <c r="I34" s="78"/>
      <c r="J34" s="78"/>
      <c r="K34" s="78"/>
      <c r="L34" s="78"/>
    </row>
    <row r="35" spans="2:14" x14ac:dyDescent="0.2">
      <c r="B35" s="76" t="s">
        <v>106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</row>
    <row r="36" spans="2:14" x14ac:dyDescent="0.2">
      <c r="B36" s="50"/>
      <c r="E36" s="90"/>
      <c r="F36" s="90"/>
      <c r="G36" s="90"/>
      <c r="H36" s="91"/>
      <c r="I36" s="91"/>
      <c r="J36" s="91"/>
      <c r="K36" s="91"/>
      <c r="L36" s="91"/>
    </row>
    <row r="37" spans="2:14" x14ac:dyDescent="0.2">
      <c r="B37" s="87" t="s">
        <v>108</v>
      </c>
      <c r="C37" s="88"/>
      <c r="D37" s="88"/>
      <c r="E37" s="92"/>
      <c r="F37" s="92"/>
      <c r="G37" s="92"/>
      <c r="H37" s="110">
        <f>H48</f>
        <v>32277.531338381315</v>
      </c>
      <c r="I37" s="93">
        <f>H40</f>
        <v>24899.162279615626</v>
      </c>
      <c r="J37" s="93">
        <f t="shared" ref="J37:L37" si="13">I40</f>
        <v>17078.091077323996</v>
      </c>
      <c r="K37" s="93">
        <f t="shared" si="13"/>
        <v>8787.7556028948693</v>
      </c>
      <c r="L37" s="93">
        <f t="shared" si="13"/>
        <v>0</v>
      </c>
    </row>
    <row r="38" spans="2:14" x14ac:dyDescent="0.2">
      <c r="B38" s="86" t="s">
        <v>109</v>
      </c>
      <c r="E38" s="90"/>
      <c r="F38" s="90"/>
      <c r="G38" s="90"/>
      <c r="H38" s="102">
        <v>0</v>
      </c>
      <c r="I38" s="102">
        <v>0</v>
      </c>
      <c r="J38" s="102">
        <v>0</v>
      </c>
      <c r="K38" s="102">
        <v>0</v>
      </c>
      <c r="L38" s="102">
        <v>0</v>
      </c>
      <c r="N38" s="70" t="s">
        <v>123</v>
      </c>
    </row>
    <row r="39" spans="2:14" x14ac:dyDescent="0.2">
      <c r="B39" s="86" t="s">
        <v>110</v>
      </c>
      <c r="E39" s="90"/>
      <c r="F39" s="90"/>
      <c r="G39" s="90"/>
      <c r="H39" s="91">
        <f>SUMIFS($K$44:$K$54,$F$44:$F$54,H7)</f>
        <v>-7378.3690587656884</v>
      </c>
      <c r="I39" s="91">
        <f t="shared" ref="I39:L39" si="14">SUMIFS($K$44:$K$54,$F$44:$F$54,I7)</f>
        <v>-7821.0712022916296</v>
      </c>
      <c r="J39" s="91">
        <f t="shared" si="14"/>
        <v>-8290.3354744291264</v>
      </c>
      <c r="K39" s="91">
        <f t="shared" si="14"/>
        <v>-8787.7556028948748</v>
      </c>
      <c r="L39" s="91">
        <f t="shared" si="14"/>
        <v>0</v>
      </c>
    </row>
    <row r="40" spans="2:14" x14ac:dyDescent="0.2">
      <c r="B40" s="51" t="s">
        <v>111</v>
      </c>
      <c r="C40" s="89"/>
      <c r="D40" s="89"/>
      <c r="E40" s="94"/>
      <c r="F40" s="94"/>
      <c r="G40" s="94"/>
      <c r="H40" s="95">
        <f>SUM(H37:H39)</f>
        <v>24899.162279615626</v>
      </c>
      <c r="I40" s="95">
        <f t="shared" ref="I40:L40" si="15">SUM(I37:I39)</f>
        <v>17078.091077323996</v>
      </c>
      <c r="J40" s="95">
        <f t="shared" si="15"/>
        <v>8787.7556028948693</v>
      </c>
      <c r="K40" s="95">
        <f t="shared" si="15"/>
        <v>0</v>
      </c>
      <c r="L40" s="95">
        <f t="shared" si="15"/>
        <v>0</v>
      </c>
    </row>
    <row r="41" spans="2:14" x14ac:dyDescent="0.2">
      <c r="B41" s="50"/>
      <c r="E41" s="90"/>
      <c r="F41" s="90"/>
      <c r="G41" s="90"/>
      <c r="H41" s="91"/>
      <c r="I41" s="91"/>
      <c r="J41" s="91"/>
      <c r="K41" s="91"/>
      <c r="L41" s="91"/>
    </row>
    <row r="42" spans="2:14" x14ac:dyDescent="0.2">
      <c r="B42" s="51" t="s">
        <v>112</v>
      </c>
      <c r="C42" s="89"/>
      <c r="D42" s="89"/>
      <c r="E42" s="94"/>
      <c r="F42" s="94"/>
      <c r="G42" s="94"/>
      <c r="H42" s="95">
        <f>SUMIFS($J$44:$J$54,$F$44:$F$54,H7)</f>
        <v>-1936.6518803028791</v>
      </c>
      <c r="I42" s="95">
        <f t="shared" ref="I42:L42" si="16">SUMIFS($J$44:$J$54,$F$44:$F$54,I7)</f>
        <v>-1493.9497367769375</v>
      </c>
      <c r="J42" s="95">
        <f t="shared" si="16"/>
        <v>-1024.6854646394399</v>
      </c>
      <c r="K42" s="95">
        <f t="shared" si="16"/>
        <v>-527.2653361736925</v>
      </c>
      <c r="L42" s="95">
        <f t="shared" si="16"/>
        <v>0</v>
      </c>
    </row>
    <row r="43" spans="2:14" x14ac:dyDescent="0.2">
      <c r="B43" s="50"/>
      <c r="E43" s="90"/>
      <c r="F43" s="90"/>
      <c r="G43" s="90"/>
      <c r="H43" s="91"/>
      <c r="I43" s="91"/>
      <c r="J43" s="91"/>
      <c r="K43" s="91"/>
      <c r="L43" s="91"/>
    </row>
    <row r="44" spans="2:14" x14ac:dyDescent="0.2">
      <c r="B44" s="97" t="s">
        <v>113</v>
      </c>
      <c r="C44" s="98"/>
      <c r="D44" s="79"/>
      <c r="E44" s="99"/>
      <c r="F44" s="100" t="s">
        <v>117</v>
      </c>
      <c r="G44" s="100" t="s">
        <v>118</v>
      </c>
      <c r="H44" s="100" t="s">
        <v>119</v>
      </c>
      <c r="I44" s="100" t="s">
        <v>120</v>
      </c>
      <c r="J44" s="100" t="s">
        <v>22</v>
      </c>
      <c r="K44" s="100" t="s">
        <v>121</v>
      </c>
      <c r="L44" s="100" t="s">
        <v>122</v>
      </c>
    </row>
    <row r="45" spans="2:14" x14ac:dyDescent="0.2">
      <c r="B45" s="101" t="s">
        <v>114</v>
      </c>
      <c r="C45" s="102">
        <v>52000</v>
      </c>
      <c r="D45" s="79"/>
      <c r="E45" s="99"/>
      <c r="F45" s="103">
        <f>YEAR(C48)</f>
        <v>2020</v>
      </c>
      <c r="G45" s="104">
        <v>1</v>
      </c>
      <c r="H45" s="104">
        <f>C45</f>
        <v>52000</v>
      </c>
      <c r="I45" s="104">
        <f>PMT($C$46,$C$47,$C$45)</f>
        <v>-9315.0209390685668</v>
      </c>
      <c r="J45" s="104">
        <f t="shared" ref="J45:J51" si="17">IFERROR(IPMT($C$46,G45,$C$47,$C$45),0)</f>
        <v>-3120</v>
      </c>
      <c r="K45" s="104">
        <f>IFERROR(PPMT($C$46,G45,$C$47,$C$45),0)</f>
        <v>-6195.0209390685668</v>
      </c>
      <c r="L45" s="104">
        <f>H45+K45</f>
        <v>45804.979060931437</v>
      </c>
    </row>
    <row r="46" spans="2:14" x14ac:dyDescent="0.2">
      <c r="B46" s="101" t="s">
        <v>22</v>
      </c>
      <c r="C46" s="105">
        <v>0.06</v>
      </c>
      <c r="D46" s="79"/>
      <c r="E46" s="99"/>
      <c r="F46" s="103">
        <f>F45+1</f>
        <v>2021</v>
      </c>
      <c r="G46" s="104">
        <f>G45+1</f>
        <v>2</v>
      </c>
      <c r="H46" s="104">
        <f>L45</f>
        <v>45804.979060931437</v>
      </c>
      <c r="I46" s="104">
        <f t="shared" ref="I46:I54" si="18">PMT($C$46,$C$47,$C$45)</f>
        <v>-9315.0209390685668</v>
      </c>
      <c r="J46" s="104">
        <f t="shared" si="17"/>
        <v>-2748.2987436558856</v>
      </c>
      <c r="K46" s="104">
        <f t="shared" ref="K46:K54" si="19">IFERROR(PPMT($C$46,G46,$C$47,$C$45),0)</f>
        <v>-6566.7221954126808</v>
      </c>
      <c r="L46" s="104">
        <f t="shared" ref="L46:L54" si="20">H46+K46</f>
        <v>39238.256865518757</v>
      </c>
    </row>
    <row r="47" spans="2:14" x14ac:dyDescent="0.2">
      <c r="B47" s="101" t="s">
        <v>115</v>
      </c>
      <c r="C47" s="106">
        <v>7</v>
      </c>
      <c r="D47" s="79"/>
      <c r="E47" s="99"/>
      <c r="F47" s="103">
        <f t="shared" ref="F47:G54" si="21">F46+1</f>
        <v>2022</v>
      </c>
      <c r="G47" s="104">
        <f t="shared" si="21"/>
        <v>3</v>
      </c>
      <c r="H47" s="104">
        <f t="shared" ref="H47:H54" si="22">L46</f>
        <v>39238.256865518757</v>
      </c>
      <c r="I47" s="104">
        <f t="shared" si="18"/>
        <v>-9315.0209390685668</v>
      </c>
      <c r="J47" s="104">
        <f t="shared" si="17"/>
        <v>-2354.2954119311257</v>
      </c>
      <c r="K47" s="104">
        <f t="shared" si="19"/>
        <v>-6960.7255271374424</v>
      </c>
      <c r="L47" s="104">
        <f t="shared" si="20"/>
        <v>32277.531338381315</v>
      </c>
    </row>
    <row r="48" spans="2:14" x14ac:dyDescent="0.2">
      <c r="B48" s="107" t="s">
        <v>116</v>
      </c>
      <c r="C48" s="108">
        <v>43831</v>
      </c>
      <c r="D48" s="79"/>
      <c r="E48" s="99"/>
      <c r="F48" s="103">
        <f t="shared" si="21"/>
        <v>2023</v>
      </c>
      <c r="G48" s="104">
        <f t="shared" si="21"/>
        <v>4</v>
      </c>
      <c r="H48" s="104">
        <f t="shared" si="22"/>
        <v>32277.531338381315</v>
      </c>
      <c r="I48" s="104">
        <f t="shared" si="18"/>
        <v>-9315.0209390685668</v>
      </c>
      <c r="J48" s="104">
        <f t="shared" si="17"/>
        <v>-1936.6518803028791</v>
      </c>
      <c r="K48" s="104">
        <f t="shared" si="19"/>
        <v>-7378.3690587656884</v>
      </c>
      <c r="L48" s="104">
        <f t="shared" si="20"/>
        <v>24899.162279615626</v>
      </c>
    </row>
    <row r="49" spans="2:12" x14ac:dyDescent="0.2">
      <c r="B49" s="101"/>
      <c r="C49" s="79"/>
      <c r="D49" s="79"/>
      <c r="E49" s="99"/>
      <c r="F49" s="103">
        <f t="shared" si="21"/>
        <v>2024</v>
      </c>
      <c r="G49" s="104">
        <f t="shared" si="21"/>
        <v>5</v>
      </c>
      <c r="H49" s="104">
        <f t="shared" si="22"/>
        <v>24899.162279615626</v>
      </c>
      <c r="I49" s="104">
        <f t="shared" si="18"/>
        <v>-9315.0209390685668</v>
      </c>
      <c r="J49" s="104">
        <f t="shared" si="17"/>
        <v>-1493.9497367769375</v>
      </c>
      <c r="K49" s="104">
        <f t="shared" si="19"/>
        <v>-7821.0712022916296</v>
      </c>
      <c r="L49" s="104">
        <f t="shared" si="20"/>
        <v>17078.091077323996</v>
      </c>
    </row>
    <row r="50" spans="2:12" x14ac:dyDescent="0.2">
      <c r="B50" s="101"/>
      <c r="C50" s="79"/>
      <c r="D50" s="79"/>
      <c r="E50" s="99"/>
      <c r="F50" s="103">
        <f t="shared" si="21"/>
        <v>2025</v>
      </c>
      <c r="G50" s="104">
        <f t="shared" si="21"/>
        <v>6</v>
      </c>
      <c r="H50" s="104">
        <f t="shared" si="22"/>
        <v>17078.091077323996</v>
      </c>
      <c r="I50" s="104">
        <f t="shared" si="18"/>
        <v>-9315.0209390685668</v>
      </c>
      <c r="J50" s="104">
        <f t="shared" si="17"/>
        <v>-1024.6854646394399</v>
      </c>
      <c r="K50" s="104">
        <f t="shared" si="19"/>
        <v>-8290.3354744291264</v>
      </c>
      <c r="L50" s="104">
        <f t="shared" si="20"/>
        <v>8787.7556028948693</v>
      </c>
    </row>
    <row r="51" spans="2:12" x14ac:dyDescent="0.2">
      <c r="B51" s="101"/>
      <c r="C51" s="79"/>
      <c r="D51" s="79"/>
      <c r="E51" s="99"/>
      <c r="F51" s="103">
        <f t="shared" si="21"/>
        <v>2026</v>
      </c>
      <c r="G51" s="104">
        <f t="shared" si="21"/>
        <v>7</v>
      </c>
      <c r="H51" s="104">
        <f t="shared" si="22"/>
        <v>8787.7556028948693</v>
      </c>
      <c r="I51" s="104">
        <f t="shared" si="18"/>
        <v>-9315.0209390685668</v>
      </c>
      <c r="J51" s="104">
        <f t="shared" si="17"/>
        <v>-527.2653361736925</v>
      </c>
      <c r="K51" s="104">
        <f t="shared" si="19"/>
        <v>-8787.7556028948748</v>
      </c>
      <c r="L51" s="104">
        <f t="shared" si="20"/>
        <v>0</v>
      </c>
    </row>
    <row r="52" spans="2:12" x14ac:dyDescent="0.2">
      <c r="B52" s="79"/>
      <c r="C52" s="79"/>
      <c r="D52" s="79"/>
      <c r="E52" s="104"/>
      <c r="F52" s="103">
        <f t="shared" si="21"/>
        <v>2027</v>
      </c>
      <c r="G52" s="104">
        <f t="shared" si="21"/>
        <v>8</v>
      </c>
      <c r="H52" s="104">
        <f t="shared" si="22"/>
        <v>0</v>
      </c>
      <c r="I52" s="104">
        <f t="shared" si="18"/>
        <v>-9315.0209390685668</v>
      </c>
      <c r="J52" s="104">
        <f>IFERROR(IPMT($C$46,G52,$C$47,$C$45),0)</f>
        <v>0</v>
      </c>
      <c r="K52" s="104">
        <f t="shared" si="19"/>
        <v>0</v>
      </c>
      <c r="L52" s="104">
        <f t="shared" si="20"/>
        <v>0</v>
      </c>
    </row>
    <row r="53" spans="2:12" x14ac:dyDescent="0.2">
      <c r="B53" s="79"/>
      <c r="C53" s="79"/>
      <c r="D53" s="79"/>
      <c r="E53" s="104"/>
      <c r="F53" s="103">
        <f t="shared" si="21"/>
        <v>2028</v>
      </c>
      <c r="G53" s="104">
        <f t="shared" si="21"/>
        <v>9</v>
      </c>
      <c r="H53" s="104">
        <f t="shared" si="22"/>
        <v>0</v>
      </c>
      <c r="I53" s="104">
        <f t="shared" si="18"/>
        <v>-9315.0209390685668</v>
      </c>
      <c r="J53" s="104">
        <f t="shared" ref="J53:J54" si="23">IFERROR(IPMT($C$46,G53,$C$47,$C$45),0)</f>
        <v>0</v>
      </c>
      <c r="K53" s="104">
        <f t="shared" si="19"/>
        <v>0</v>
      </c>
      <c r="L53" s="104">
        <f t="shared" si="20"/>
        <v>0</v>
      </c>
    </row>
    <row r="54" spans="2:12" x14ac:dyDescent="0.2">
      <c r="B54" s="79"/>
      <c r="C54" s="79"/>
      <c r="D54" s="79"/>
      <c r="E54" s="79"/>
      <c r="F54" s="109">
        <f t="shared" si="21"/>
        <v>2029</v>
      </c>
      <c r="G54" s="104">
        <f t="shared" si="21"/>
        <v>10</v>
      </c>
      <c r="H54" s="104">
        <f t="shared" si="22"/>
        <v>0</v>
      </c>
      <c r="I54" s="104">
        <f t="shared" si="18"/>
        <v>-9315.0209390685668</v>
      </c>
      <c r="J54" s="104">
        <f t="shared" si="23"/>
        <v>0</v>
      </c>
      <c r="K54" s="104">
        <f t="shared" si="19"/>
        <v>0</v>
      </c>
      <c r="L54" s="104">
        <f t="shared" si="20"/>
        <v>0</v>
      </c>
    </row>
    <row r="55" spans="2:12" x14ac:dyDescent="0.2">
      <c r="F55" s="96"/>
      <c r="G55" s="96"/>
      <c r="H55" s="96"/>
      <c r="I55" s="96"/>
      <c r="J55" s="96"/>
      <c r="K55" s="96"/>
      <c r="L55" s="96"/>
    </row>
    <row r="56" spans="2:12" x14ac:dyDescent="0.2">
      <c r="B56" s="76" t="s">
        <v>126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</row>
    <row r="57" spans="2:12" x14ac:dyDescent="0.2">
      <c r="B57" s="47"/>
      <c r="C57" s="47"/>
      <c r="D57" s="47"/>
      <c r="E57" s="1"/>
      <c r="F57" s="1"/>
      <c r="G57" s="1"/>
    </row>
    <row r="58" spans="2:12" x14ac:dyDescent="0.2">
      <c r="B58" s="113" t="s">
        <v>30</v>
      </c>
      <c r="C58" s="113"/>
      <c r="D58" s="113"/>
      <c r="E58" s="73"/>
      <c r="F58" s="73"/>
      <c r="G58" s="73"/>
      <c r="H58" s="73"/>
      <c r="I58" s="73"/>
      <c r="J58" s="73"/>
      <c r="K58" s="73"/>
      <c r="L58" s="73"/>
    </row>
    <row r="59" spans="2:12" x14ac:dyDescent="0.2">
      <c r="B59" s="47" t="s">
        <v>127</v>
      </c>
      <c r="C59" s="47"/>
      <c r="D59" s="47"/>
      <c r="E59" s="114">
        <v>365</v>
      </c>
      <c r="F59" s="114">
        <v>365</v>
      </c>
      <c r="G59" s="114">
        <v>365</v>
      </c>
      <c r="H59" s="114">
        <v>365</v>
      </c>
      <c r="I59" s="114">
        <v>365</v>
      </c>
      <c r="J59" s="114">
        <v>365</v>
      </c>
      <c r="K59" s="114">
        <v>365</v>
      </c>
      <c r="L59" s="114">
        <v>365</v>
      </c>
    </row>
    <row r="60" spans="2:12" x14ac:dyDescent="0.2">
      <c r="B60" s="47" t="s">
        <v>128</v>
      </c>
      <c r="C60" s="47"/>
      <c r="D60" s="47"/>
      <c r="E60" s="116">
        <f>IFERROR(E62/E61*E59,0)</f>
        <v>44.164999999999999</v>
      </c>
      <c r="F60" s="116">
        <f t="shared" ref="F60:G60" si="24">IFERROR(F62/F61*F59,0)</f>
        <v>42.626212989493794</v>
      </c>
      <c r="G60" s="116">
        <f t="shared" si="24"/>
        <v>42.350457486136776</v>
      </c>
      <c r="H60" s="120">
        <f>AVERAGE(E60:G60)</f>
        <v>43.047223491876856</v>
      </c>
      <c r="I60" s="120">
        <f t="shared" ref="I60:L60" si="25">AVERAGE(F60:H60)</f>
        <v>42.674631322502478</v>
      </c>
      <c r="J60" s="120">
        <f t="shared" si="25"/>
        <v>42.690770766838703</v>
      </c>
      <c r="K60" s="120">
        <f t="shared" si="25"/>
        <v>42.804208527072682</v>
      </c>
      <c r="L60" s="120">
        <f t="shared" si="25"/>
        <v>42.723203538804626</v>
      </c>
    </row>
    <row r="61" spans="2:12" x14ac:dyDescent="0.2">
      <c r="B61" s="47" t="s">
        <v>129</v>
      </c>
      <c r="C61" s="47"/>
      <c r="D61" s="47"/>
      <c r="E61" s="117">
        <f>E114</f>
        <v>62598</v>
      </c>
      <c r="F61" s="117">
        <f t="shared" ref="F61:L61" si="26">F114</f>
        <v>65540.106</v>
      </c>
      <c r="G61" s="117">
        <f t="shared" si="26"/>
        <v>70914.394692000002</v>
      </c>
      <c r="H61" s="117">
        <f t="shared" si="26"/>
        <v>74460.114426600005</v>
      </c>
      <c r="I61" s="117">
        <f t="shared" si="26"/>
        <v>78183.120147930007</v>
      </c>
      <c r="J61" s="117">
        <f t="shared" si="26"/>
        <v>82092.276155326515</v>
      </c>
      <c r="K61" s="117">
        <f t="shared" si="26"/>
        <v>86196.88996309285</v>
      </c>
      <c r="L61" s="117">
        <f t="shared" si="26"/>
        <v>90506.734461247499</v>
      </c>
    </row>
    <row r="62" spans="2:12" x14ac:dyDescent="0.2">
      <c r="B62" s="47" t="s">
        <v>130</v>
      </c>
      <c r="C62" s="47"/>
      <c r="D62" s="47"/>
      <c r="E62" s="116">
        <f>AVERAGE(E63:E64)</f>
        <v>7574.3580000000002</v>
      </c>
      <c r="F62" s="116">
        <f t="shared" ref="F62:G62" si="27">AVERAGE(F63:F64)</f>
        <v>7654.0452539999997</v>
      </c>
      <c r="G62" s="116">
        <f t="shared" si="27"/>
        <v>8228.1015275579994</v>
      </c>
      <c r="H62" s="84">
        <f>H60/H59*H61</f>
        <v>8781.6470875413015</v>
      </c>
      <c r="I62" s="84">
        <f t="shared" ref="I62:L62" si="28">I60/I59*I61</f>
        <v>9140.9200765913101</v>
      </c>
      <c r="J62" s="84">
        <f t="shared" si="28"/>
        <v>9601.5960084248309</v>
      </c>
      <c r="K62" s="84">
        <f t="shared" si="28"/>
        <v>10108.464801000999</v>
      </c>
      <c r="L62" s="84">
        <f t="shared" si="28"/>
        <v>10593.801748001149</v>
      </c>
    </row>
    <row r="63" spans="2:12" x14ac:dyDescent="0.2">
      <c r="B63" s="47" t="s">
        <v>108</v>
      </c>
      <c r="C63" s="47"/>
      <c r="D63" s="47"/>
      <c r="E63" s="118"/>
      <c r="F63" s="117">
        <f>E64</f>
        <v>7574.3580000000002</v>
      </c>
      <c r="G63" s="117">
        <f t="shared" ref="G63:L63" si="29">F64</f>
        <v>7733.7325079999991</v>
      </c>
      <c r="H63" s="117">
        <f t="shared" si="29"/>
        <v>8722.4705471159996</v>
      </c>
      <c r="I63" s="117">
        <f t="shared" si="29"/>
        <v>8840.8236279666035</v>
      </c>
      <c r="J63" s="117">
        <f t="shared" si="29"/>
        <v>9441.0165252160168</v>
      </c>
      <c r="K63" s="117">
        <f t="shared" si="29"/>
        <v>9762.1754916336449</v>
      </c>
      <c r="L63" s="117">
        <f t="shared" si="29"/>
        <v>10454.754110368352</v>
      </c>
    </row>
    <row r="64" spans="2:12" x14ac:dyDescent="0.2">
      <c r="B64" s="115" t="s">
        <v>111</v>
      </c>
      <c r="C64" s="115"/>
      <c r="D64" s="115"/>
      <c r="E64" s="119">
        <f>E146</f>
        <v>7574.3580000000002</v>
      </c>
      <c r="F64" s="119">
        <f t="shared" ref="F64:G64" si="30">F146</f>
        <v>7733.7325079999991</v>
      </c>
      <c r="G64" s="119">
        <f t="shared" si="30"/>
        <v>8722.4705471159996</v>
      </c>
      <c r="H64" s="121">
        <f>H62*2-H63</f>
        <v>8840.8236279666035</v>
      </c>
      <c r="I64" s="121">
        <f t="shared" ref="I64:L64" si="31">I62*2-I63</f>
        <v>9441.0165252160168</v>
      </c>
      <c r="J64" s="121">
        <f t="shared" si="31"/>
        <v>9762.1754916336449</v>
      </c>
      <c r="K64" s="121">
        <f t="shared" si="31"/>
        <v>10454.754110368352</v>
      </c>
      <c r="L64" s="121">
        <f t="shared" si="31"/>
        <v>10732.849385633946</v>
      </c>
    </row>
    <row r="65" spans="2:12" x14ac:dyDescent="0.2">
      <c r="B65" s="47"/>
      <c r="C65" s="47"/>
      <c r="D65" s="47"/>
      <c r="E65" s="1"/>
      <c r="F65" s="1"/>
      <c r="G65" s="1"/>
    </row>
    <row r="66" spans="2:12" x14ac:dyDescent="0.2">
      <c r="B66" s="113" t="s">
        <v>32</v>
      </c>
      <c r="C66" s="113"/>
      <c r="D66" s="113"/>
      <c r="E66" s="73"/>
      <c r="F66" s="73"/>
      <c r="G66" s="73"/>
      <c r="H66" s="73"/>
      <c r="I66" s="73"/>
      <c r="J66" s="73"/>
      <c r="K66" s="73"/>
      <c r="L66" s="73"/>
    </row>
    <row r="67" spans="2:12" x14ac:dyDescent="0.2">
      <c r="B67" s="47" t="s">
        <v>127</v>
      </c>
      <c r="C67" s="47"/>
      <c r="D67" s="47"/>
      <c r="E67" s="114">
        <v>365</v>
      </c>
      <c r="F67" s="114">
        <v>365</v>
      </c>
      <c r="G67" s="114">
        <v>365</v>
      </c>
      <c r="H67" s="114">
        <v>365</v>
      </c>
      <c r="I67" s="114">
        <v>365</v>
      </c>
      <c r="J67" s="114">
        <v>365</v>
      </c>
      <c r="K67" s="114">
        <v>365</v>
      </c>
      <c r="L67" s="114">
        <v>365</v>
      </c>
    </row>
    <row r="68" spans="2:12" x14ac:dyDescent="0.2">
      <c r="B68" s="47" t="s">
        <v>133</v>
      </c>
      <c r="C68" s="47"/>
      <c r="D68" s="47"/>
      <c r="E68" s="116">
        <f>IFERROR(E70/E69*E67,0)</f>
        <v>701.92307692307679</v>
      </c>
      <c r="F68" s="116">
        <f t="shared" ref="F68:G68" si="32">IFERROR(F70/F69*F67,0)</f>
        <v>703.52880817780533</v>
      </c>
      <c r="G68" s="116">
        <f t="shared" si="32"/>
        <v>701.94309479799313</v>
      </c>
      <c r="H68" s="120">
        <f>AVERAGE(E68:G68)</f>
        <v>702.46499329962501</v>
      </c>
      <c r="I68" s="120">
        <f t="shared" ref="I68:L68" si="33">AVERAGE(F68:H68)</f>
        <v>702.64563209180778</v>
      </c>
      <c r="J68" s="120">
        <f t="shared" si="33"/>
        <v>702.35124006314197</v>
      </c>
      <c r="K68" s="120">
        <f t="shared" si="33"/>
        <v>702.48728848485825</v>
      </c>
      <c r="L68" s="120">
        <f t="shared" si="33"/>
        <v>702.49472021326937</v>
      </c>
    </row>
    <row r="69" spans="2:12" x14ac:dyDescent="0.2">
      <c r="B69" s="47" t="s">
        <v>134</v>
      </c>
      <c r="C69" s="47"/>
      <c r="D69" s="47"/>
      <c r="E69" s="117">
        <f>E120</f>
        <v>2441.3220000000001</v>
      </c>
      <c r="F69" s="117">
        <f t="shared" ref="F69:L69" si="34">F120</f>
        <v>2424.9839219999999</v>
      </c>
      <c r="G69" s="117">
        <f t="shared" si="34"/>
        <v>2482.0038142200001</v>
      </c>
      <c r="H69" s="117">
        <f t="shared" si="34"/>
        <v>2755.0242337842001</v>
      </c>
      <c r="I69" s="117">
        <f t="shared" si="34"/>
        <v>2840.6533653747906</v>
      </c>
      <c r="J69" s="117">
        <f t="shared" si="34"/>
        <v>2964.4433056090134</v>
      </c>
      <c r="K69" s="117">
        <f t="shared" si="34"/>
        <v>3144.590244949869</v>
      </c>
      <c r="L69" s="117">
        <f t="shared" si="34"/>
        <v>3286.176617907764</v>
      </c>
    </row>
    <row r="70" spans="2:12" x14ac:dyDescent="0.2">
      <c r="B70" s="47" t="s">
        <v>130</v>
      </c>
      <c r="C70" s="47"/>
      <c r="D70" s="47"/>
      <c r="E70" s="116">
        <f>AVERAGE(E71:E72)</f>
        <v>4694.8499999999995</v>
      </c>
      <c r="F70" s="116">
        <f t="shared" ref="F70:G70" si="35">AVERAGE(F71:F72)</f>
        <v>4674.098763</v>
      </c>
      <c r="G70" s="116">
        <f t="shared" si="35"/>
        <v>4773.2203798740002</v>
      </c>
      <c r="H70" s="84">
        <f>H68/H67*H69</f>
        <v>5302.213917604171</v>
      </c>
      <c r="I70" s="84">
        <f t="shared" ref="I70:L70" si="36">I68/I67*I69</f>
        <v>5468.4182999109335</v>
      </c>
      <c r="J70" s="84">
        <f t="shared" si="36"/>
        <v>5704.3299501133433</v>
      </c>
      <c r="K70" s="84">
        <f t="shared" si="36"/>
        <v>6052.1497933445744</v>
      </c>
      <c r="L70" s="84">
        <f t="shared" si="36"/>
        <v>6324.7170514205545</v>
      </c>
    </row>
    <row r="71" spans="2:12" x14ac:dyDescent="0.2">
      <c r="B71" s="47" t="s">
        <v>108</v>
      </c>
      <c r="C71" s="47"/>
      <c r="D71" s="47"/>
      <c r="E71" s="118"/>
      <c r="F71" s="117">
        <f>E72</f>
        <v>4694.8499999999995</v>
      </c>
      <c r="G71" s="117">
        <f t="shared" ref="G71:L71" si="37">F72</f>
        <v>4653.3475259999996</v>
      </c>
      <c r="H71" s="117">
        <f t="shared" si="37"/>
        <v>4893.0932337480008</v>
      </c>
      <c r="I71" s="117">
        <f t="shared" si="37"/>
        <v>5711.3346014603412</v>
      </c>
      <c r="J71" s="117">
        <f t="shared" si="37"/>
        <v>5225.5019983615257</v>
      </c>
      <c r="K71" s="117">
        <f t="shared" si="37"/>
        <v>6183.157901865161</v>
      </c>
      <c r="L71" s="117">
        <f t="shared" si="37"/>
        <v>5921.1416848239878</v>
      </c>
    </row>
    <row r="72" spans="2:12" x14ac:dyDescent="0.2">
      <c r="B72" s="115" t="s">
        <v>111</v>
      </c>
      <c r="C72" s="115"/>
      <c r="D72" s="115"/>
      <c r="E72" s="119">
        <f>E148</f>
        <v>4694.8499999999995</v>
      </c>
      <c r="F72" s="119">
        <f t="shared" ref="F72:G72" si="38">F148</f>
        <v>4653.3475259999996</v>
      </c>
      <c r="G72" s="119">
        <f t="shared" si="38"/>
        <v>4893.0932337480008</v>
      </c>
      <c r="H72" s="121">
        <f>H70*2-H71</f>
        <v>5711.3346014603412</v>
      </c>
      <c r="I72" s="121">
        <f t="shared" ref="I72:L72" si="39">I70*2-I71</f>
        <v>5225.5019983615257</v>
      </c>
      <c r="J72" s="121">
        <f t="shared" si="39"/>
        <v>6183.157901865161</v>
      </c>
      <c r="K72" s="121">
        <f t="shared" si="39"/>
        <v>5921.1416848239878</v>
      </c>
      <c r="L72" s="121">
        <f t="shared" si="39"/>
        <v>6728.2924180171212</v>
      </c>
    </row>
    <row r="73" spans="2:12" x14ac:dyDescent="0.2">
      <c r="B73" s="47"/>
      <c r="C73" s="47"/>
      <c r="D73" s="47"/>
      <c r="E73" s="1"/>
      <c r="F73" s="1"/>
      <c r="G73" s="1"/>
    </row>
    <row r="74" spans="2:12" x14ac:dyDescent="0.2">
      <c r="B74" s="113" t="s">
        <v>36</v>
      </c>
      <c r="C74" s="113"/>
      <c r="D74" s="113"/>
      <c r="E74" s="73"/>
      <c r="F74" s="73"/>
      <c r="G74" s="73"/>
      <c r="H74" s="73"/>
      <c r="I74" s="73"/>
      <c r="J74" s="73"/>
      <c r="K74" s="73"/>
      <c r="L74" s="73"/>
    </row>
    <row r="75" spans="2:12" x14ac:dyDescent="0.2">
      <c r="B75" s="47" t="s">
        <v>127</v>
      </c>
      <c r="C75" s="47"/>
      <c r="D75" s="47"/>
      <c r="E75" s="114">
        <v>365</v>
      </c>
      <c r="F75" s="114">
        <v>365</v>
      </c>
      <c r="G75" s="114">
        <v>365</v>
      </c>
      <c r="H75" s="114">
        <v>365</v>
      </c>
      <c r="I75" s="114">
        <v>365</v>
      </c>
      <c r="J75" s="114">
        <v>365</v>
      </c>
      <c r="K75" s="114">
        <v>365</v>
      </c>
      <c r="L75" s="114">
        <v>365</v>
      </c>
    </row>
    <row r="76" spans="2:12" x14ac:dyDescent="0.2">
      <c r="B76" s="47" t="s">
        <v>131</v>
      </c>
      <c r="C76" s="47"/>
      <c r="D76" s="47"/>
      <c r="E76" s="116">
        <f>IFERROR(E78/E77*E75,0)</f>
        <v>192.10526315789468</v>
      </c>
      <c r="F76" s="116">
        <f t="shared" ref="F76:G76" si="40">IFERROR(F78/F77*F75,0)</f>
        <v>192.21810923814752</v>
      </c>
      <c r="G76" s="116">
        <f t="shared" si="40"/>
        <v>185.55614482870908</v>
      </c>
      <c r="H76" s="120">
        <f>AVERAGE(E76:G76)</f>
        <v>189.95983907491708</v>
      </c>
      <c r="I76" s="120">
        <f t="shared" ref="I76:L76" si="41">AVERAGE(F76:H76)</f>
        <v>189.24469771392455</v>
      </c>
      <c r="J76" s="120">
        <f t="shared" si="41"/>
        <v>188.25356053918358</v>
      </c>
      <c r="K76" s="120">
        <f t="shared" si="41"/>
        <v>189.15269910934174</v>
      </c>
      <c r="L76" s="120">
        <f t="shared" si="41"/>
        <v>188.88365245414994</v>
      </c>
    </row>
    <row r="77" spans="2:12" x14ac:dyDescent="0.2">
      <c r="B77" s="47" t="s">
        <v>132</v>
      </c>
      <c r="C77" s="47"/>
      <c r="D77" s="47"/>
      <c r="E77" s="117">
        <f>E129</f>
        <v>23787.240000000005</v>
      </c>
      <c r="F77" s="117">
        <f t="shared" ref="F77:L77" si="42">F129</f>
        <v>24643.079855999997</v>
      </c>
      <c r="G77" s="117">
        <f t="shared" si="42"/>
        <v>27372.956351111996</v>
      </c>
      <c r="H77" s="117">
        <f t="shared" si="42"/>
        <v>28344.483558392403</v>
      </c>
      <c r="I77" s="117">
        <f t="shared" si="42"/>
        <v>29779.081763011563</v>
      </c>
      <c r="J77" s="117">
        <f t="shared" si="42"/>
        <v>31401.815856748603</v>
      </c>
      <c r="K77" s="117">
        <f t="shared" si="42"/>
        <v>32871.875690863439</v>
      </c>
      <c r="L77" s="117">
        <f t="shared" si="42"/>
        <v>34536.326994459414</v>
      </c>
    </row>
    <row r="78" spans="2:12" x14ac:dyDescent="0.2">
      <c r="B78" s="47" t="s">
        <v>130</v>
      </c>
      <c r="C78" s="47"/>
      <c r="D78" s="47"/>
      <c r="E78" s="116">
        <f>AVERAGE(E79:E80)</f>
        <v>12519.6</v>
      </c>
      <c r="F78" s="116">
        <f t="shared" ref="F78:G78" si="43">AVERAGE(F79:F80)</f>
        <v>12977.660865</v>
      </c>
      <c r="G78" s="116">
        <f t="shared" si="43"/>
        <v>13915.671926237999</v>
      </c>
      <c r="H78" s="84">
        <f>H76/H75*H77</f>
        <v>14751.543932640694</v>
      </c>
      <c r="I78" s="84">
        <f t="shared" ref="I78:L78" si="44">I76/I75*I77</f>
        <v>15439.817332710592</v>
      </c>
      <c r="J78" s="84">
        <f t="shared" si="44"/>
        <v>16195.900390215666</v>
      </c>
      <c r="K78" s="84">
        <f t="shared" si="44"/>
        <v>17035.079484146787</v>
      </c>
      <c r="L78" s="84">
        <f t="shared" si="44"/>
        <v>17872.185164559858</v>
      </c>
    </row>
    <row r="79" spans="2:12" x14ac:dyDescent="0.2">
      <c r="B79" s="47" t="s">
        <v>108</v>
      </c>
      <c r="C79" s="47"/>
      <c r="D79" s="47"/>
      <c r="E79" s="118"/>
      <c r="F79" s="117">
        <f>E80</f>
        <v>12519.6</v>
      </c>
      <c r="G79" s="117">
        <f t="shared" ref="G79:L79" si="45">F80</f>
        <v>13435.721729999999</v>
      </c>
      <c r="H79" s="117">
        <f t="shared" si="45"/>
        <v>14395.622122476001</v>
      </c>
      <c r="I79" s="117">
        <f t="shared" si="45"/>
        <v>15107.465742805387</v>
      </c>
      <c r="J79" s="117">
        <f t="shared" si="45"/>
        <v>15772.168922615798</v>
      </c>
      <c r="K79" s="117">
        <f t="shared" si="45"/>
        <v>16619.631857815533</v>
      </c>
      <c r="L79" s="117">
        <f t="shared" si="45"/>
        <v>17450.52711047804</v>
      </c>
    </row>
    <row r="80" spans="2:12" x14ac:dyDescent="0.2">
      <c r="B80" s="115" t="s">
        <v>111</v>
      </c>
      <c r="C80" s="115"/>
      <c r="D80" s="115"/>
      <c r="E80" s="119">
        <f>E155</f>
        <v>12519.6</v>
      </c>
      <c r="F80" s="119">
        <f t="shared" ref="F80:G80" si="46">F155</f>
        <v>13435.721729999999</v>
      </c>
      <c r="G80" s="119">
        <f t="shared" si="46"/>
        <v>14395.622122476001</v>
      </c>
      <c r="H80" s="121">
        <f>H78*2-H79</f>
        <v>15107.465742805387</v>
      </c>
      <c r="I80" s="121">
        <f t="shared" ref="I80:L80" si="47">I78*2-I79</f>
        <v>15772.168922615798</v>
      </c>
      <c r="J80" s="121">
        <f t="shared" si="47"/>
        <v>16619.631857815533</v>
      </c>
      <c r="K80" s="121">
        <f t="shared" si="47"/>
        <v>17450.52711047804</v>
      </c>
      <c r="L80" s="121">
        <f t="shared" si="47"/>
        <v>18293.843218641676</v>
      </c>
    </row>
    <row r="81" spans="2:12" x14ac:dyDescent="0.2">
      <c r="B81" s="47"/>
      <c r="C81" s="47"/>
      <c r="D81" s="47"/>
      <c r="E81" s="1"/>
      <c r="F81" s="1"/>
      <c r="G81" s="1"/>
    </row>
    <row r="82" spans="2:12" x14ac:dyDescent="0.2">
      <c r="B82" s="47" t="s">
        <v>135</v>
      </c>
      <c r="C82" s="47"/>
      <c r="D82" s="47"/>
      <c r="E82" s="117">
        <f>E64+E72-E80</f>
        <v>-250.39200000000164</v>
      </c>
      <c r="F82" s="117">
        <f t="shared" ref="F82:L82" si="48">F64+F72-F80</f>
        <v>-1048.6416960000006</v>
      </c>
      <c r="G82" s="117">
        <f t="shared" si="48"/>
        <v>-780.05834161200073</v>
      </c>
      <c r="H82" s="117">
        <f t="shared" si="48"/>
        <v>-555.30751337844231</v>
      </c>
      <c r="I82" s="117">
        <f t="shared" si="48"/>
        <v>-1105.6503990382553</v>
      </c>
      <c r="J82" s="117">
        <f t="shared" si="48"/>
        <v>-674.2984643167274</v>
      </c>
      <c r="K82" s="117">
        <f t="shared" si="48"/>
        <v>-1074.6313152857001</v>
      </c>
      <c r="L82" s="117">
        <f t="shared" si="48"/>
        <v>-832.70141499060992</v>
      </c>
    </row>
    <row r="83" spans="2:12" ht="10.8" thickBot="1" x14ac:dyDescent="0.25">
      <c r="B83" s="122" t="s">
        <v>136</v>
      </c>
      <c r="C83" s="122"/>
      <c r="D83" s="122"/>
      <c r="E83" s="123"/>
      <c r="F83" s="124">
        <f>F82-E82</f>
        <v>-798.24969599999895</v>
      </c>
      <c r="G83" s="124">
        <f t="shared" ref="G83:L83" si="49">G82-F82</f>
        <v>268.58335438799986</v>
      </c>
      <c r="H83" s="124">
        <f t="shared" si="49"/>
        <v>224.75082823355842</v>
      </c>
      <c r="I83" s="124">
        <f t="shared" si="49"/>
        <v>-550.34288565981296</v>
      </c>
      <c r="J83" s="124">
        <f t="shared" si="49"/>
        <v>431.35193472152787</v>
      </c>
      <c r="K83" s="124">
        <f t="shared" si="49"/>
        <v>-400.33285096897271</v>
      </c>
      <c r="L83" s="124">
        <f t="shared" si="49"/>
        <v>241.92990029509019</v>
      </c>
    </row>
    <row r="84" spans="2:12" ht="10.8" thickTop="1" x14ac:dyDescent="0.2">
      <c r="B84" s="47"/>
      <c r="C84" s="47"/>
      <c r="D84" s="47"/>
      <c r="E84" s="1"/>
      <c r="F84" s="1"/>
      <c r="G84" s="1"/>
    </row>
    <row r="85" spans="2:12" x14ac:dyDescent="0.2">
      <c r="B85" s="76" t="s">
        <v>33</v>
      </c>
      <c r="C85" s="76"/>
      <c r="D85" s="76"/>
      <c r="E85" s="76"/>
      <c r="F85" s="76"/>
      <c r="G85" s="76"/>
      <c r="H85" s="76"/>
      <c r="I85" s="76"/>
      <c r="J85" s="76"/>
      <c r="K85" s="76"/>
      <c r="L85" s="76"/>
    </row>
    <row r="86" spans="2:12" x14ac:dyDescent="0.2">
      <c r="B86" s="47"/>
      <c r="C86" s="47"/>
      <c r="D86" s="47"/>
      <c r="E86" s="1"/>
      <c r="F86" s="1"/>
      <c r="G86" s="1"/>
    </row>
    <row r="87" spans="2:12" x14ac:dyDescent="0.2">
      <c r="B87" s="47" t="s">
        <v>137</v>
      </c>
      <c r="C87" s="47"/>
      <c r="D87" s="47"/>
      <c r="E87" s="1"/>
      <c r="F87" s="117">
        <f>E90</f>
        <v>37844</v>
      </c>
      <c r="G87" s="117">
        <f t="shared" ref="G87:L87" si="50">F90</f>
        <v>42135</v>
      </c>
      <c r="H87" s="117">
        <f t="shared" si="50"/>
        <v>45349</v>
      </c>
      <c r="I87" s="117">
        <f t="shared" si="50"/>
        <v>45349</v>
      </c>
      <c r="J87" s="117">
        <f t="shared" si="50"/>
        <v>45349</v>
      </c>
      <c r="K87" s="117">
        <f t="shared" si="50"/>
        <v>45349</v>
      </c>
      <c r="L87" s="117">
        <f t="shared" si="50"/>
        <v>45349</v>
      </c>
    </row>
    <row r="88" spans="2:12" x14ac:dyDescent="0.2">
      <c r="B88" s="47" t="s">
        <v>138</v>
      </c>
      <c r="C88" s="47"/>
      <c r="D88" s="47"/>
      <c r="E88" s="1"/>
      <c r="F88" s="117">
        <f>-F133</f>
        <v>-5898.6095399999995</v>
      </c>
      <c r="G88" s="117">
        <f t="shared" ref="G88:L88" si="51">-G133</f>
        <v>-6382.2955222800001</v>
      </c>
      <c r="H88" s="117">
        <f t="shared" si="51"/>
        <v>-6701.4102983940011</v>
      </c>
      <c r="I88" s="117">
        <f t="shared" si="51"/>
        <v>-7036.4808133137012</v>
      </c>
      <c r="J88" s="117">
        <f t="shared" si="51"/>
        <v>-7388.3048539793872</v>
      </c>
      <c r="K88" s="117">
        <f t="shared" si="51"/>
        <v>-7757.7200966783575</v>
      </c>
      <c r="L88" s="117">
        <f t="shared" si="51"/>
        <v>-8145.6061015122759</v>
      </c>
    </row>
    <row r="89" spans="2:12" x14ac:dyDescent="0.2">
      <c r="B89" s="47" t="s">
        <v>139</v>
      </c>
      <c r="C89" s="47"/>
      <c r="D89" s="47"/>
      <c r="E89" s="1"/>
      <c r="F89" s="117">
        <f>-F178</f>
        <v>10189.609539999999</v>
      </c>
      <c r="G89" s="117">
        <f>-G178</f>
        <v>9596.295522280001</v>
      </c>
      <c r="H89" s="128">
        <f>-H88</f>
        <v>6701.4102983940011</v>
      </c>
      <c r="I89" s="128">
        <f t="shared" ref="I89:L89" si="52">-I88</f>
        <v>7036.4808133137012</v>
      </c>
      <c r="J89" s="128">
        <f t="shared" si="52"/>
        <v>7388.3048539793872</v>
      </c>
      <c r="K89" s="128">
        <f t="shared" si="52"/>
        <v>7757.7200966783575</v>
      </c>
      <c r="L89" s="128">
        <f t="shared" si="52"/>
        <v>8145.6061015122759</v>
      </c>
    </row>
    <row r="90" spans="2:12" ht="10.8" thickBot="1" x14ac:dyDescent="0.25">
      <c r="B90" s="125" t="s">
        <v>140</v>
      </c>
      <c r="C90" s="125"/>
      <c r="D90" s="125"/>
      <c r="E90" s="126">
        <f>E149</f>
        <v>37844</v>
      </c>
      <c r="F90" s="127">
        <f>SUM(F87:F89)</f>
        <v>42135</v>
      </c>
      <c r="G90" s="127">
        <f t="shared" ref="G90:L90" si="53">SUM(G87:G89)</f>
        <v>45349</v>
      </c>
      <c r="H90" s="127">
        <f t="shared" si="53"/>
        <v>45349</v>
      </c>
      <c r="I90" s="127">
        <f t="shared" si="53"/>
        <v>45349</v>
      </c>
      <c r="J90" s="127">
        <f t="shared" si="53"/>
        <v>45349</v>
      </c>
      <c r="K90" s="127">
        <f t="shared" si="53"/>
        <v>45349</v>
      </c>
      <c r="L90" s="127">
        <f t="shared" si="53"/>
        <v>45349</v>
      </c>
    </row>
    <row r="91" spans="2:12" x14ac:dyDescent="0.2">
      <c r="B91" s="47"/>
      <c r="C91" s="47"/>
      <c r="D91" s="47"/>
      <c r="E91" s="1"/>
      <c r="F91" s="1"/>
      <c r="G91" s="1"/>
    </row>
    <row r="92" spans="2:12" x14ac:dyDescent="0.2">
      <c r="B92" s="76" t="s">
        <v>76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</row>
    <row r="93" spans="2:12" x14ac:dyDescent="0.2">
      <c r="B93" s="47"/>
      <c r="C93" s="47"/>
      <c r="D93" s="47"/>
      <c r="E93" s="1"/>
      <c r="F93" s="1"/>
      <c r="G93" s="1"/>
    </row>
    <row r="94" spans="2:12" x14ac:dyDescent="0.2">
      <c r="B94" s="47" t="s">
        <v>141</v>
      </c>
      <c r="C94" s="47"/>
      <c r="D94" s="47"/>
      <c r="E94" s="1"/>
      <c r="F94" s="117">
        <f>E96</f>
        <v>0</v>
      </c>
      <c r="G94" s="117">
        <f t="shared" ref="G94:L94" si="54">F96</f>
        <v>0</v>
      </c>
      <c r="H94" s="117">
        <f t="shared" si="54"/>
        <v>0</v>
      </c>
      <c r="I94" s="117">
        <f t="shared" si="54"/>
        <v>0</v>
      </c>
      <c r="J94" s="117">
        <f t="shared" si="54"/>
        <v>0</v>
      </c>
      <c r="K94" s="117">
        <f t="shared" si="54"/>
        <v>0</v>
      </c>
      <c r="L94" s="117">
        <f t="shared" si="54"/>
        <v>0</v>
      </c>
    </row>
    <row r="95" spans="2:12" x14ac:dyDescent="0.2">
      <c r="B95" s="47" t="s">
        <v>142</v>
      </c>
      <c r="C95" s="47"/>
      <c r="D95" s="47"/>
      <c r="E95" s="1"/>
      <c r="F95" s="118"/>
      <c r="G95" s="118"/>
      <c r="H95" s="129"/>
      <c r="I95" s="129"/>
      <c r="J95" s="129"/>
      <c r="K95" s="129"/>
      <c r="L95" s="129"/>
    </row>
    <row r="96" spans="2:12" ht="10.8" thickBot="1" x14ac:dyDescent="0.25">
      <c r="B96" s="125" t="s">
        <v>143</v>
      </c>
      <c r="C96" s="125"/>
      <c r="D96" s="125"/>
      <c r="E96" s="126">
        <f>E150</f>
        <v>0</v>
      </c>
      <c r="F96" s="127">
        <f>SUM(F94:F95)</f>
        <v>0</v>
      </c>
      <c r="G96" s="127">
        <f t="shared" ref="G96:L96" si="55">SUM(G94:G95)</f>
        <v>0</v>
      </c>
      <c r="H96" s="127">
        <f t="shared" si="55"/>
        <v>0</v>
      </c>
      <c r="I96" s="127">
        <f t="shared" si="55"/>
        <v>0</v>
      </c>
      <c r="J96" s="127">
        <f t="shared" si="55"/>
        <v>0</v>
      </c>
      <c r="K96" s="127">
        <f t="shared" si="55"/>
        <v>0</v>
      </c>
      <c r="L96" s="127">
        <f t="shared" si="55"/>
        <v>0</v>
      </c>
    </row>
    <row r="97" spans="2:12" x14ac:dyDescent="0.2">
      <c r="B97" s="47"/>
      <c r="C97" s="47"/>
      <c r="D97" s="47"/>
      <c r="E97" s="1"/>
      <c r="F97" s="1"/>
      <c r="G97" s="1"/>
    </row>
    <row r="98" spans="2:12" x14ac:dyDescent="0.2">
      <c r="B98" s="76" t="s">
        <v>144</v>
      </c>
      <c r="C98" s="76"/>
      <c r="D98" s="76"/>
      <c r="E98" s="76"/>
      <c r="F98" s="76"/>
      <c r="G98" s="76"/>
      <c r="H98" s="76"/>
      <c r="I98" s="76"/>
      <c r="J98" s="76"/>
      <c r="K98" s="76"/>
      <c r="L98" s="76"/>
    </row>
    <row r="99" spans="2:12" x14ac:dyDescent="0.2">
      <c r="B99" s="47"/>
      <c r="C99" s="47"/>
      <c r="D99" s="47"/>
      <c r="E99" s="1"/>
      <c r="F99" s="1"/>
      <c r="G99" s="1"/>
    </row>
    <row r="100" spans="2:12" x14ac:dyDescent="0.2">
      <c r="B100" s="47" t="s">
        <v>145</v>
      </c>
      <c r="C100" s="47"/>
      <c r="D100" s="47"/>
      <c r="E100" s="1"/>
      <c r="F100" s="117">
        <f>E102</f>
        <v>5000</v>
      </c>
      <c r="G100" s="117">
        <f t="shared" ref="G100:L100" si="56">F102</f>
        <v>5000</v>
      </c>
      <c r="H100" s="117">
        <f t="shared" si="56"/>
        <v>5000</v>
      </c>
      <c r="I100" s="117">
        <f t="shared" si="56"/>
        <v>5000</v>
      </c>
      <c r="J100" s="117">
        <f t="shared" si="56"/>
        <v>5000</v>
      </c>
      <c r="K100" s="117">
        <f t="shared" si="56"/>
        <v>5000</v>
      </c>
      <c r="L100" s="117">
        <f t="shared" si="56"/>
        <v>5000</v>
      </c>
    </row>
    <row r="101" spans="2:12" x14ac:dyDescent="0.2">
      <c r="B101" s="47" t="s">
        <v>146</v>
      </c>
      <c r="C101" s="47"/>
      <c r="D101" s="47"/>
      <c r="E101" s="1"/>
      <c r="F101" s="1"/>
      <c r="G101" s="1"/>
      <c r="H101" s="130">
        <v>0</v>
      </c>
      <c r="I101" s="130">
        <v>0</v>
      </c>
      <c r="J101" s="130">
        <v>0</v>
      </c>
      <c r="K101" s="130">
        <v>0</v>
      </c>
      <c r="L101" s="130">
        <v>0</v>
      </c>
    </row>
    <row r="102" spans="2:12" ht="10.8" thickBot="1" x14ac:dyDescent="0.25">
      <c r="B102" s="125" t="s">
        <v>147</v>
      </c>
      <c r="C102" s="125"/>
      <c r="D102" s="125"/>
      <c r="E102" s="126">
        <f>E161</f>
        <v>5000</v>
      </c>
      <c r="F102" s="127">
        <f>SUM(F100:F101)</f>
        <v>5000</v>
      </c>
      <c r="G102" s="127">
        <f t="shared" ref="G102:L102" si="57">SUM(G100:G101)</f>
        <v>5000</v>
      </c>
      <c r="H102" s="127">
        <f t="shared" si="57"/>
        <v>5000</v>
      </c>
      <c r="I102" s="127">
        <f t="shared" si="57"/>
        <v>5000</v>
      </c>
      <c r="J102" s="127">
        <f t="shared" si="57"/>
        <v>5000</v>
      </c>
      <c r="K102" s="127">
        <f t="shared" si="57"/>
        <v>5000</v>
      </c>
      <c r="L102" s="127">
        <f t="shared" si="57"/>
        <v>5000</v>
      </c>
    </row>
    <row r="103" spans="2:12" x14ac:dyDescent="0.2">
      <c r="B103" s="47"/>
      <c r="C103" s="47"/>
      <c r="D103" s="47"/>
      <c r="E103" s="1"/>
      <c r="F103" s="1"/>
      <c r="G103" s="1"/>
    </row>
    <row r="104" spans="2:12" x14ac:dyDescent="0.2">
      <c r="B104" s="47" t="s">
        <v>148</v>
      </c>
      <c r="C104" s="47"/>
      <c r="D104" s="47"/>
      <c r="E104" s="1"/>
      <c r="F104" s="117">
        <f>E107</f>
        <v>24166</v>
      </c>
      <c r="G104" s="117">
        <f t="shared" ref="G104:L104" si="58">F107</f>
        <v>23580.524754344122</v>
      </c>
      <c r="H104" s="117">
        <f t="shared" si="58"/>
        <v>22219.030868100999</v>
      </c>
      <c r="I104" s="117">
        <f t="shared" si="58"/>
        <v>21573.02097119252</v>
      </c>
      <c r="J104" s="117">
        <f t="shared" si="58"/>
        <v>21691.739467016156</v>
      </c>
      <c r="K104" s="117">
        <f t="shared" si="58"/>
        <v>21964.434295110037</v>
      </c>
      <c r="L104" s="117">
        <f t="shared" si="58"/>
        <v>22674.484459195748</v>
      </c>
    </row>
    <row r="105" spans="2:12" x14ac:dyDescent="0.2">
      <c r="B105" s="47" t="s">
        <v>149</v>
      </c>
      <c r="C105" s="47"/>
      <c r="D105" s="47"/>
      <c r="E105" s="1"/>
      <c r="F105" s="117">
        <f>F140</f>
        <v>-585.47524565587992</v>
      </c>
      <c r="G105" s="117">
        <f t="shared" ref="G105:L105" si="59">G140</f>
        <v>-1361.4938862431245</v>
      </c>
      <c r="H105" s="117">
        <f t="shared" si="59"/>
        <v>-646.00989690847928</v>
      </c>
      <c r="I105" s="117">
        <f t="shared" si="59"/>
        <v>118.7184958236362</v>
      </c>
      <c r="J105" s="117">
        <f t="shared" si="59"/>
        <v>272.69482809388148</v>
      </c>
      <c r="K105" s="117">
        <f t="shared" si="59"/>
        <v>710.05016408570941</v>
      </c>
      <c r="L105" s="117">
        <f t="shared" si="59"/>
        <v>1133.9786162169207</v>
      </c>
    </row>
    <row r="106" spans="2:12" x14ac:dyDescent="0.2">
      <c r="B106" s="47" t="s">
        <v>150</v>
      </c>
      <c r="C106" s="47"/>
      <c r="D106" s="47"/>
      <c r="E106" s="1"/>
      <c r="F106" s="1"/>
      <c r="G106" s="1"/>
      <c r="H106" s="130">
        <v>0</v>
      </c>
      <c r="I106" s="130">
        <v>0</v>
      </c>
      <c r="J106" s="130">
        <v>0</v>
      </c>
      <c r="K106" s="130">
        <v>0</v>
      </c>
      <c r="L106" s="130">
        <v>0</v>
      </c>
    </row>
    <row r="107" spans="2:12" ht="10.8" thickBot="1" x14ac:dyDescent="0.25">
      <c r="B107" s="125" t="s">
        <v>151</v>
      </c>
      <c r="C107" s="125"/>
      <c r="D107" s="125"/>
      <c r="E107" s="126">
        <f>E162</f>
        <v>24166</v>
      </c>
      <c r="F107" s="127">
        <f>SUM(F104:F106)</f>
        <v>23580.524754344122</v>
      </c>
      <c r="G107" s="127">
        <f t="shared" ref="G107:L107" si="60">SUM(G104:G106)</f>
        <v>22219.030868100999</v>
      </c>
      <c r="H107" s="127">
        <f t="shared" si="60"/>
        <v>21573.02097119252</v>
      </c>
      <c r="I107" s="127">
        <f t="shared" si="60"/>
        <v>21691.739467016156</v>
      </c>
      <c r="J107" s="127">
        <f t="shared" si="60"/>
        <v>21964.434295110037</v>
      </c>
      <c r="K107" s="127">
        <f t="shared" si="60"/>
        <v>22674.484459195748</v>
      </c>
      <c r="L107" s="127">
        <f t="shared" si="60"/>
        <v>23808.46307541267</v>
      </c>
    </row>
    <row r="108" spans="2:12" x14ac:dyDescent="0.2">
      <c r="B108" s="47"/>
      <c r="C108" s="47"/>
      <c r="D108" s="47"/>
      <c r="E108" s="1"/>
      <c r="F108" s="1"/>
      <c r="G108" s="1"/>
    </row>
    <row r="109" spans="2:12" x14ac:dyDescent="0.2">
      <c r="B109" s="47"/>
      <c r="C109" s="47"/>
      <c r="D109" s="47"/>
      <c r="E109" s="1"/>
      <c r="F109" s="1"/>
      <c r="G109" s="1"/>
    </row>
    <row r="110" spans="2:12" x14ac:dyDescent="0.2">
      <c r="B110" s="47"/>
      <c r="C110" s="47"/>
      <c r="D110" s="47"/>
      <c r="E110" s="1"/>
      <c r="F110" s="1"/>
      <c r="G110" s="1"/>
    </row>
    <row r="111" spans="2:12" x14ac:dyDescent="0.2">
      <c r="B111" s="47"/>
      <c r="C111" s="47"/>
      <c r="D111" s="47"/>
      <c r="E111" s="1"/>
      <c r="F111" s="1"/>
      <c r="G111" s="1"/>
    </row>
    <row r="112" spans="2:12" x14ac:dyDescent="0.2">
      <c r="B112" s="48" t="s">
        <v>3</v>
      </c>
      <c r="C112" s="48"/>
      <c r="D112" s="48"/>
      <c r="E112" s="36">
        <f>E$7</f>
        <v>2020</v>
      </c>
      <c r="F112" s="36">
        <f t="shared" ref="F112:L112" si="61">F$7</f>
        <v>2021</v>
      </c>
      <c r="G112" s="36">
        <f t="shared" si="61"/>
        <v>2022</v>
      </c>
      <c r="H112" s="36">
        <f t="shared" si="61"/>
        <v>2023</v>
      </c>
      <c r="I112" s="36">
        <f t="shared" si="61"/>
        <v>2024</v>
      </c>
      <c r="J112" s="36">
        <f t="shared" si="61"/>
        <v>2025</v>
      </c>
      <c r="K112" s="36">
        <f t="shared" si="61"/>
        <v>2026</v>
      </c>
      <c r="L112" s="36">
        <f t="shared" si="61"/>
        <v>2027</v>
      </c>
    </row>
    <row r="113" spans="2:12" x14ac:dyDescent="0.2">
      <c r="B113" s="47"/>
      <c r="C113" s="47"/>
      <c r="D113" s="47"/>
      <c r="E113" s="1"/>
      <c r="F113" s="1"/>
      <c r="G113" s="1"/>
    </row>
    <row r="114" spans="2:12" x14ac:dyDescent="0.2">
      <c r="B114" s="49" t="s">
        <v>4</v>
      </c>
      <c r="C114" s="49"/>
      <c r="D114" s="49"/>
      <c r="E114" s="17">
        <v>62598</v>
      </c>
      <c r="F114" s="17">
        <v>65540.106</v>
      </c>
      <c r="G114" s="17">
        <v>70914.394692000002</v>
      </c>
      <c r="H114" s="83">
        <f>G114*(1+H13)</f>
        <v>74460.114426600005</v>
      </c>
      <c r="I114" s="83">
        <f t="shared" ref="I114:L114" si="62">H114*(1+I13)</f>
        <v>78183.120147930007</v>
      </c>
      <c r="J114" s="83">
        <f t="shared" si="62"/>
        <v>82092.276155326515</v>
      </c>
      <c r="K114" s="83">
        <f t="shared" si="62"/>
        <v>86196.88996309285</v>
      </c>
      <c r="L114" s="83">
        <f t="shared" si="62"/>
        <v>90506.734461247499</v>
      </c>
    </row>
    <row r="115" spans="2:12" x14ac:dyDescent="0.2">
      <c r="B115" s="50" t="s">
        <v>5</v>
      </c>
      <c r="C115" s="50"/>
      <c r="D115" s="50"/>
      <c r="E115" s="10">
        <v>32363.166000000001</v>
      </c>
      <c r="F115" s="10">
        <v>32442.352469999998</v>
      </c>
      <c r="G115" s="10">
        <v>35669.940530076005</v>
      </c>
      <c r="H115" s="83">
        <f>H114*H14</f>
        <v>37602.357785433</v>
      </c>
      <c r="I115" s="83">
        <f t="shared" ref="I115:L115" si="63">I114*I14</f>
        <v>39169.743194112933</v>
      </c>
      <c r="J115" s="83">
        <f t="shared" si="63"/>
        <v>41292.414906129241</v>
      </c>
      <c r="K115" s="83">
        <f t="shared" si="63"/>
        <v>43357.035651435704</v>
      </c>
      <c r="L115" s="83">
        <f t="shared" si="63"/>
        <v>45464.549611033333</v>
      </c>
    </row>
    <row r="116" spans="2:12" x14ac:dyDescent="0.2">
      <c r="B116" s="51" t="s">
        <v>6</v>
      </c>
      <c r="C116" s="51"/>
      <c r="D116" s="51"/>
      <c r="E116" s="22">
        <f>E114-E115</f>
        <v>30234.833999999999</v>
      </c>
      <c r="F116" s="22">
        <f t="shared" ref="F116:L116" si="64">F114-F115</f>
        <v>33097.753530000002</v>
      </c>
      <c r="G116" s="22">
        <f t="shared" si="64"/>
        <v>35244.454161923997</v>
      </c>
      <c r="H116" s="22">
        <f t="shared" si="64"/>
        <v>36857.756641167005</v>
      </c>
      <c r="I116" s="22">
        <f t="shared" si="64"/>
        <v>39013.376953817075</v>
      </c>
      <c r="J116" s="22">
        <f t="shared" si="64"/>
        <v>40799.861249197274</v>
      </c>
      <c r="K116" s="22">
        <f t="shared" si="64"/>
        <v>42839.854311657145</v>
      </c>
      <c r="L116" s="22">
        <f t="shared" si="64"/>
        <v>45042.184850214166</v>
      </c>
    </row>
    <row r="117" spans="2:12" x14ac:dyDescent="0.2">
      <c r="B117" s="52"/>
      <c r="C117" s="52"/>
      <c r="D117" s="52"/>
      <c r="E117" s="14"/>
      <c r="F117" s="14"/>
      <c r="G117" s="14"/>
    </row>
    <row r="118" spans="2:12" x14ac:dyDescent="0.2">
      <c r="B118" s="52" t="s">
        <v>7</v>
      </c>
      <c r="C118" s="52"/>
      <c r="D118" s="52"/>
      <c r="E118" s="15"/>
      <c r="F118" s="15"/>
      <c r="G118" s="15"/>
    </row>
    <row r="119" spans="2:12" x14ac:dyDescent="0.2">
      <c r="B119" s="49" t="s">
        <v>8</v>
      </c>
      <c r="C119" s="49"/>
      <c r="D119" s="49"/>
      <c r="E119" s="17">
        <v>10641.660000000002</v>
      </c>
      <c r="F119" s="17">
        <v>11141.818020000001</v>
      </c>
      <c r="G119" s="17">
        <v>12055.447097640001</v>
      </c>
      <c r="H119" s="83">
        <f>H17*H$114</f>
        <v>12658.219452522004</v>
      </c>
      <c r="I119" s="83">
        <f t="shared" ref="I119:L119" si="65">I17*I$114</f>
        <v>13291.130425148101</v>
      </c>
      <c r="J119" s="83">
        <f t="shared" si="65"/>
        <v>13955.686946405511</v>
      </c>
      <c r="K119" s="83">
        <f t="shared" si="65"/>
        <v>14653.471293725788</v>
      </c>
      <c r="L119" s="83">
        <f t="shared" si="65"/>
        <v>15386.144858412079</v>
      </c>
    </row>
    <row r="120" spans="2:12" x14ac:dyDescent="0.2">
      <c r="B120" s="49" t="s">
        <v>9</v>
      </c>
      <c r="C120" s="49"/>
      <c r="D120" s="49"/>
      <c r="E120" s="17">
        <v>2441.3220000000001</v>
      </c>
      <c r="F120" s="17">
        <v>2424.9839219999999</v>
      </c>
      <c r="G120" s="17">
        <v>2482.0038142200001</v>
      </c>
      <c r="H120" s="83">
        <f t="shared" ref="H120:L128" si="66">H18*H$114</f>
        <v>2755.0242337842001</v>
      </c>
      <c r="I120" s="83">
        <f t="shared" si="66"/>
        <v>2840.6533653747906</v>
      </c>
      <c r="J120" s="83">
        <f t="shared" si="66"/>
        <v>2964.4433056090134</v>
      </c>
      <c r="K120" s="83">
        <f t="shared" si="66"/>
        <v>3144.590244949869</v>
      </c>
      <c r="L120" s="83">
        <f t="shared" si="66"/>
        <v>3286.176617907764</v>
      </c>
    </row>
    <row r="121" spans="2:12" x14ac:dyDescent="0.2">
      <c r="B121" s="49" t="s">
        <v>10</v>
      </c>
      <c r="C121" s="49"/>
      <c r="D121" s="49"/>
      <c r="E121" s="17">
        <v>4068.8700000000003</v>
      </c>
      <c r="F121" s="17">
        <v>4260.10689</v>
      </c>
      <c r="G121" s="17">
        <v>4609.4356549800004</v>
      </c>
      <c r="H121" s="83">
        <f t="shared" si="66"/>
        <v>4839.9074377290008</v>
      </c>
      <c r="I121" s="83">
        <f t="shared" si="66"/>
        <v>5081.9028096154507</v>
      </c>
      <c r="J121" s="83">
        <f t="shared" si="66"/>
        <v>5335.9979500962236</v>
      </c>
      <c r="K121" s="83">
        <f t="shared" si="66"/>
        <v>5602.7978476010358</v>
      </c>
      <c r="L121" s="83">
        <f t="shared" si="66"/>
        <v>5882.9377399810874</v>
      </c>
    </row>
    <row r="122" spans="2:12" x14ac:dyDescent="0.2">
      <c r="B122" s="49" t="s">
        <v>11</v>
      </c>
      <c r="C122" s="49"/>
      <c r="D122" s="49"/>
      <c r="E122" s="17">
        <v>1377.1559999999999</v>
      </c>
      <c r="F122" s="17">
        <v>1507.4224380000001</v>
      </c>
      <c r="G122" s="17">
        <v>1489.2022885320002</v>
      </c>
      <c r="H122" s="83">
        <f t="shared" si="66"/>
        <v>1638.1225173852004</v>
      </c>
      <c r="I122" s="83">
        <f t="shared" si="66"/>
        <v>1720.0286432544603</v>
      </c>
      <c r="J122" s="83">
        <f t="shared" si="66"/>
        <v>1778.6659833654078</v>
      </c>
      <c r="K122" s="83">
        <f t="shared" si="66"/>
        <v>1886.7541469699215</v>
      </c>
      <c r="L122" s="83">
        <f t="shared" si="66"/>
        <v>1977.7397530420753</v>
      </c>
    </row>
    <row r="123" spans="2:12" x14ac:dyDescent="0.2">
      <c r="B123" s="49" t="s">
        <v>12</v>
      </c>
      <c r="C123" s="49"/>
      <c r="D123" s="49"/>
      <c r="E123" s="17">
        <v>2503.92</v>
      </c>
      <c r="F123" s="17">
        <v>2556.0641340000002</v>
      </c>
      <c r="G123" s="17">
        <v>2907.4901823720002</v>
      </c>
      <c r="H123" s="83">
        <f t="shared" si="66"/>
        <v>2978.404577064</v>
      </c>
      <c r="I123" s="83">
        <f t="shared" si="66"/>
        <v>3127.3248059172001</v>
      </c>
      <c r="J123" s="83">
        <f t="shared" si="66"/>
        <v>3311.0551382648359</v>
      </c>
      <c r="K123" s="83">
        <f t="shared" si="66"/>
        <v>3457.4530307418354</v>
      </c>
      <c r="L123" s="83">
        <f t="shared" si="66"/>
        <v>3633.6777835552698</v>
      </c>
    </row>
    <row r="124" spans="2:12" x14ac:dyDescent="0.2">
      <c r="B124" s="49" t="s">
        <v>13</v>
      </c>
      <c r="C124" s="49"/>
      <c r="D124" s="49"/>
      <c r="E124" s="17">
        <v>312.99</v>
      </c>
      <c r="F124" s="17">
        <v>458.78074200000003</v>
      </c>
      <c r="G124" s="17">
        <v>425.48636815200001</v>
      </c>
      <c r="H124" s="83">
        <f t="shared" si="66"/>
        <v>446.76068655960012</v>
      </c>
      <c r="I124" s="83">
        <f t="shared" si="66"/>
        <v>495.15976093689011</v>
      </c>
      <c r="J124" s="83">
        <f t="shared" si="66"/>
        <v>501.67502094921764</v>
      </c>
      <c r="K124" s="83">
        <f t="shared" si="66"/>
        <v>529.9512494027191</v>
      </c>
      <c r="L124" s="83">
        <f t="shared" si="66"/>
        <v>560.91828024131178</v>
      </c>
    </row>
    <row r="125" spans="2:12" x14ac:dyDescent="0.2">
      <c r="B125" s="49" t="s">
        <v>14</v>
      </c>
      <c r="C125" s="49"/>
      <c r="D125" s="49"/>
      <c r="E125" s="17">
        <v>312.99</v>
      </c>
      <c r="F125" s="17">
        <v>327.70053000000001</v>
      </c>
      <c r="G125" s="17">
        <v>425.48636815200001</v>
      </c>
      <c r="H125" s="83">
        <f t="shared" si="66"/>
        <v>397.12061027520002</v>
      </c>
      <c r="I125" s="83">
        <f t="shared" si="66"/>
        <v>425.66365413872995</v>
      </c>
      <c r="J125" s="83">
        <f t="shared" si="66"/>
        <v>459.10865553534461</v>
      </c>
      <c r="K125" s="83">
        <f t="shared" si="66"/>
        <v>470.35833782329672</v>
      </c>
      <c r="L125" s="83">
        <f t="shared" si="66"/>
        <v>497.6008116881755</v>
      </c>
    </row>
    <row r="126" spans="2:12" x14ac:dyDescent="0.2">
      <c r="B126" s="49" t="s">
        <v>15</v>
      </c>
      <c r="C126" s="49"/>
      <c r="D126" s="49"/>
      <c r="E126" s="17">
        <v>375.58800000000002</v>
      </c>
      <c r="F126" s="17">
        <v>327.70053000000001</v>
      </c>
      <c r="G126" s="17">
        <v>567.31515753600002</v>
      </c>
      <c r="H126" s="83">
        <f t="shared" si="66"/>
        <v>471.58072470180002</v>
      </c>
      <c r="I126" s="83">
        <f t="shared" si="66"/>
        <v>503.84677428666004</v>
      </c>
      <c r="J126" s="83">
        <f t="shared" si="66"/>
        <v>568.56502374244656</v>
      </c>
      <c r="K126" s="83">
        <f t="shared" si="66"/>
        <v>566.13266000451108</v>
      </c>
      <c r="L126" s="83">
        <f t="shared" si="66"/>
        <v>601.51595125479298</v>
      </c>
    </row>
    <row r="127" spans="2:12" x14ac:dyDescent="0.2">
      <c r="B127" s="49" t="s">
        <v>16</v>
      </c>
      <c r="C127" s="49"/>
      <c r="D127" s="49"/>
      <c r="E127" s="17">
        <v>1314.558</v>
      </c>
      <c r="F127" s="17">
        <v>1245.2620139999999</v>
      </c>
      <c r="G127" s="17">
        <v>1631.031077916</v>
      </c>
      <c r="H127" s="83">
        <f t="shared" si="66"/>
        <v>1563.6624029586003</v>
      </c>
      <c r="I127" s="83">
        <f t="shared" si="66"/>
        <v>1641.8455231065302</v>
      </c>
      <c r="J127" s="83">
        <f t="shared" si="66"/>
        <v>1778.6659833654078</v>
      </c>
      <c r="K127" s="83">
        <f t="shared" si="66"/>
        <v>1829.2895536611929</v>
      </c>
      <c r="L127" s="83">
        <f t="shared" si="66"/>
        <v>1927.4582338969378</v>
      </c>
    </row>
    <row r="128" spans="2:12" x14ac:dyDescent="0.2">
      <c r="B128" s="49" t="s">
        <v>17</v>
      </c>
      <c r="C128" s="49"/>
      <c r="D128" s="49"/>
      <c r="E128" s="17">
        <v>438.18600000000004</v>
      </c>
      <c r="F128" s="17">
        <v>393.24063599999999</v>
      </c>
      <c r="G128" s="17">
        <v>780.05834161199994</v>
      </c>
      <c r="H128" s="83">
        <f t="shared" si="66"/>
        <v>595.6809154128</v>
      </c>
      <c r="I128" s="83">
        <f t="shared" si="66"/>
        <v>651.5260012327501</v>
      </c>
      <c r="J128" s="83">
        <f t="shared" si="66"/>
        <v>747.95184941519722</v>
      </c>
      <c r="K128" s="83">
        <f t="shared" si="66"/>
        <v>731.07732598326891</v>
      </c>
      <c r="L128" s="83">
        <f t="shared" si="66"/>
        <v>782.15696447991661</v>
      </c>
    </row>
    <row r="129" spans="2:14" x14ac:dyDescent="0.2">
      <c r="B129" s="51" t="s">
        <v>18</v>
      </c>
      <c r="C129" s="51"/>
      <c r="D129" s="51"/>
      <c r="E129" s="25">
        <f>SUM(E119:E128)</f>
        <v>23787.240000000005</v>
      </c>
      <c r="F129" s="25">
        <f t="shared" ref="F129:L129" si="67">SUM(F119:F128)</f>
        <v>24643.079855999997</v>
      </c>
      <c r="G129" s="25">
        <f t="shared" si="67"/>
        <v>27372.956351111996</v>
      </c>
      <c r="H129" s="25">
        <f t="shared" si="67"/>
        <v>28344.483558392403</v>
      </c>
      <c r="I129" s="25">
        <f t="shared" si="67"/>
        <v>29779.081763011563</v>
      </c>
      <c r="J129" s="25">
        <f t="shared" si="67"/>
        <v>31401.815856748603</v>
      </c>
      <c r="K129" s="25">
        <f t="shared" si="67"/>
        <v>32871.875690863439</v>
      </c>
      <c r="L129" s="25">
        <f t="shared" si="67"/>
        <v>34536.326994459414</v>
      </c>
    </row>
    <row r="130" spans="2:14" ht="10.8" thickBot="1" x14ac:dyDescent="0.25">
      <c r="B130" s="53" t="s">
        <v>20</v>
      </c>
      <c r="C130" s="53"/>
      <c r="D130" s="53"/>
      <c r="E130" s="41">
        <f>E116-E129</f>
        <v>6447.5939999999937</v>
      </c>
      <c r="F130" s="41">
        <f t="shared" ref="F130:L130" si="68">F116-F129</f>
        <v>8454.6736740000051</v>
      </c>
      <c r="G130" s="41">
        <f t="shared" si="68"/>
        <v>7871.4978108120013</v>
      </c>
      <c r="H130" s="41">
        <f t="shared" si="68"/>
        <v>8513.2730827746018</v>
      </c>
      <c r="I130" s="41">
        <f t="shared" si="68"/>
        <v>9234.2951908055111</v>
      </c>
      <c r="J130" s="41">
        <f t="shared" si="68"/>
        <v>9398.0453924486719</v>
      </c>
      <c r="K130" s="41">
        <f t="shared" si="68"/>
        <v>9967.9786207937068</v>
      </c>
      <c r="L130" s="41">
        <f t="shared" si="68"/>
        <v>10505.857855754752</v>
      </c>
    </row>
    <row r="131" spans="2:14" x14ac:dyDescent="0.2">
      <c r="B131" s="54" t="s">
        <v>85</v>
      </c>
      <c r="C131" s="54"/>
      <c r="D131" s="54"/>
      <c r="E131" s="17"/>
      <c r="F131" s="17"/>
      <c r="G131" s="17"/>
    </row>
    <row r="132" spans="2:14" x14ac:dyDescent="0.2">
      <c r="B132" s="49"/>
      <c r="C132" s="49"/>
      <c r="D132" s="49"/>
      <c r="E132" s="17"/>
      <c r="F132" s="17"/>
      <c r="G132" s="17"/>
    </row>
    <row r="133" spans="2:14" x14ac:dyDescent="0.2">
      <c r="B133" s="49" t="s">
        <v>21</v>
      </c>
      <c r="C133" s="49"/>
      <c r="D133" s="49"/>
      <c r="E133" s="17">
        <v>5633.82</v>
      </c>
      <c r="F133" s="17">
        <v>5898.6095399999995</v>
      </c>
      <c r="G133" s="17">
        <v>6382.2955222800001</v>
      </c>
      <c r="H133" s="83">
        <f>H29*H$114</f>
        <v>6701.4102983940011</v>
      </c>
      <c r="I133" s="83">
        <f t="shared" ref="I133:L135" si="69">I29*I$114</f>
        <v>7036.4808133137012</v>
      </c>
      <c r="J133" s="83">
        <f t="shared" si="69"/>
        <v>7388.3048539793872</v>
      </c>
      <c r="K133" s="83">
        <f t="shared" si="69"/>
        <v>7757.7200966783575</v>
      </c>
      <c r="L133" s="83">
        <f t="shared" si="69"/>
        <v>8145.6061015122759</v>
      </c>
    </row>
    <row r="134" spans="2:14" x14ac:dyDescent="0.2">
      <c r="B134" s="50" t="s">
        <v>22</v>
      </c>
      <c r="C134" s="50"/>
      <c r="D134" s="50"/>
      <c r="E134" s="17">
        <v>3120</v>
      </c>
      <c r="F134" s="17">
        <v>2748.2987436558856</v>
      </c>
      <c r="G134" s="17">
        <v>2354.2954119311257</v>
      </c>
      <c r="H134" s="83">
        <f>-H42</f>
        <v>1936.6518803028791</v>
      </c>
      <c r="I134" s="83">
        <f t="shared" ref="I134:L134" si="70">-I42</f>
        <v>1493.9497367769375</v>
      </c>
      <c r="J134" s="83">
        <f t="shared" si="70"/>
        <v>1024.6854646394399</v>
      </c>
      <c r="K134" s="83">
        <f t="shared" si="70"/>
        <v>527.2653361736925</v>
      </c>
      <c r="L134" s="83">
        <f t="shared" si="70"/>
        <v>0</v>
      </c>
      <c r="N134" s="70" t="s">
        <v>106</v>
      </c>
    </row>
    <row r="135" spans="2:14" x14ac:dyDescent="0.2">
      <c r="B135" s="50" t="s">
        <v>75</v>
      </c>
      <c r="C135" s="50"/>
      <c r="D135" s="50"/>
      <c r="E135" s="17">
        <v>500.78399999999999</v>
      </c>
      <c r="F135" s="17">
        <v>393.24063599999999</v>
      </c>
      <c r="G135" s="17">
        <v>496.40076284400004</v>
      </c>
      <c r="H135" s="83">
        <f>H31*H$114</f>
        <v>521.22080098620006</v>
      </c>
      <c r="I135" s="83">
        <f t="shared" si="69"/>
        <v>521.22080098620006</v>
      </c>
      <c r="J135" s="83">
        <f t="shared" si="69"/>
        <v>565.52456907002716</v>
      </c>
      <c r="K135" s="83">
        <f t="shared" si="69"/>
        <v>590.60832011748801</v>
      </c>
      <c r="L135" s="83">
        <f t="shared" si="69"/>
        <v>615.66926775490583</v>
      </c>
    </row>
    <row r="136" spans="2:14" x14ac:dyDescent="0.2">
      <c r="B136" s="51" t="s">
        <v>23</v>
      </c>
      <c r="C136" s="51"/>
      <c r="D136" s="51"/>
      <c r="E136" s="22">
        <f>SUM(E133:E135)</f>
        <v>9254.6039999999994</v>
      </c>
      <c r="F136" s="22">
        <f t="shared" ref="F136:L136" si="71">SUM(F133:F135)</f>
        <v>9040.148919655885</v>
      </c>
      <c r="G136" s="22">
        <f t="shared" si="71"/>
        <v>9232.9916970551258</v>
      </c>
      <c r="H136" s="22">
        <f t="shared" si="71"/>
        <v>9159.2829796830811</v>
      </c>
      <c r="I136" s="22">
        <f t="shared" si="71"/>
        <v>9051.65135107684</v>
      </c>
      <c r="J136" s="22">
        <f t="shared" si="71"/>
        <v>8978.5148876888543</v>
      </c>
      <c r="K136" s="22">
        <f t="shared" si="71"/>
        <v>8875.5937529695384</v>
      </c>
      <c r="L136" s="22">
        <f t="shared" si="71"/>
        <v>8761.2753692671813</v>
      </c>
    </row>
    <row r="137" spans="2:14" x14ac:dyDescent="0.2">
      <c r="B137" s="55" t="s">
        <v>24</v>
      </c>
      <c r="C137" s="55"/>
      <c r="D137" s="55"/>
      <c r="E137" s="12">
        <f>E130-E136</f>
        <v>-2807.0100000000057</v>
      </c>
      <c r="F137" s="12">
        <f t="shared" ref="F137:L137" si="72">F130-F136</f>
        <v>-585.47524565587992</v>
      </c>
      <c r="G137" s="12">
        <f t="shared" si="72"/>
        <v>-1361.4938862431245</v>
      </c>
      <c r="H137" s="12">
        <f t="shared" si="72"/>
        <v>-646.00989690847928</v>
      </c>
      <c r="I137" s="12">
        <f t="shared" si="72"/>
        <v>182.64383972867108</v>
      </c>
      <c r="J137" s="12">
        <f t="shared" si="72"/>
        <v>419.53050475981763</v>
      </c>
      <c r="K137" s="12">
        <f t="shared" si="72"/>
        <v>1092.3848678241684</v>
      </c>
      <c r="L137" s="12">
        <f t="shared" si="72"/>
        <v>1744.5824864875703</v>
      </c>
    </row>
    <row r="138" spans="2:14" x14ac:dyDescent="0.2">
      <c r="B138" s="52"/>
      <c r="C138" s="52"/>
      <c r="D138" s="52"/>
      <c r="E138" s="15"/>
      <c r="F138" s="15"/>
      <c r="G138" s="15"/>
    </row>
    <row r="139" spans="2:14" x14ac:dyDescent="0.2">
      <c r="B139" s="50" t="s">
        <v>25</v>
      </c>
      <c r="C139" s="50"/>
      <c r="D139" s="50"/>
      <c r="E139" s="17">
        <v>0</v>
      </c>
      <c r="F139" s="17">
        <v>0</v>
      </c>
      <c r="G139" s="17">
        <v>0</v>
      </c>
      <c r="H139" s="84">
        <f>IF(H137&gt;0,H137*H33,0)</f>
        <v>0</v>
      </c>
      <c r="I139" s="84">
        <f t="shared" ref="I139:L139" si="73">IF(I137&gt;0,I137*I33,0)</f>
        <v>63.925343905034872</v>
      </c>
      <c r="J139" s="84">
        <f t="shared" si="73"/>
        <v>146.83567666593615</v>
      </c>
      <c r="K139" s="84">
        <f t="shared" si="73"/>
        <v>382.33470373845893</v>
      </c>
      <c r="L139" s="84">
        <f t="shared" si="73"/>
        <v>610.60387027064962</v>
      </c>
    </row>
    <row r="140" spans="2:14" ht="10.8" thickBot="1" x14ac:dyDescent="0.25">
      <c r="B140" s="56" t="s">
        <v>26</v>
      </c>
      <c r="C140" s="56"/>
      <c r="D140" s="56"/>
      <c r="E140" s="24">
        <f>E137-E139</f>
        <v>-2807.0100000000057</v>
      </c>
      <c r="F140" s="24">
        <f t="shared" ref="F140:L140" si="74">F137-F139</f>
        <v>-585.47524565587992</v>
      </c>
      <c r="G140" s="24">
        <f t="shared" si="74"/>
        <v>-1361.4938862431245</v>
      </c>
      <c r="H140" s="24">
        <f t="shared" si="74"/>
        <v>-646.00989690847928</v>
      </c>
      <c r="I140" s="24">
        <f t="shared" si="74"/>
        <v>118.7184958236362</v>
      </c>
      <c r="J140" s="24">
        <f t="shared" si="74"/>
        <v>272.69482809388148</v>
      </c>
      <c r="K140" s="24">
        <f t="shared" si="74"/>
        <v>710.05016408570941</v>
      </c>
      <c r="L140" s="24">
        <f t="shared" si="74"/>
        <v>1133.9786162169207</v>
      </c>
    </row>
    <row r="141" spans="2:14" ht="10.8" thickTop="1" x14ac:dyDescent="0.2">
      <c r="B141" s="54" t="s">
        <v>86</v>
      </c>
      <c r="C141" s="54"/>
      <c r="D141" s="54"/>
      <c r="E141" s="4"/>
      <c r="F141" s="4"/>
      <c r="G141" s="4"/>
    </row>
    <row r="142" spans="2:14" x14ac:dyDescent="0.2">
      <c r="B142" s="57"/>
      <c r="C142" s="57"/>
      <c r="D142" s="57"/>
      <c r="E142" s="4"/>
      <c r="F142" s="4"/>
      <c r="G142" s="4"/>
    </row>
    <row r="143" spans="2:14" x14ac:dyDescent="0.2">
      <c r="B143" s="48" t="s">
        <v>27</v>
      </c>
      <c r="C143" s="48"/>
      <c r="D143" s="48"/>
      <c r="E143" s="36">
        <f>E$7</f>
        <v>2020</v>
      </c>
      <c r="F143" s="36">
        <f t="shared" ref="F143:L143" si="75">F$7</f>
        <v>2021</v>
      </c>
      <c r="G143" s="36">
        <f t="shared" si="75"/>
        <v>2022</v>
      </c>
      <c r="H143" s="36">
        <f t="shared" si="75"/>
        <v>2023</v>
      </c>
      <c r="I143" s="36">
        <f t="shared" si="75"/>
        <v>2024</v>
      </c>
      <c r="J143" s="36">
        <f t="shared" si="75"/>
        <v>2025</v>
      </c>
      <c r="K143" s="36">
        <f t="shared" si="75"/>
        <v>2026</v>
      </c>
      <c r="L143" s="36">
        <f t="shared" si="75"/>
        <v>2027</v>
      </c>
    </row>
    <row r="144" spans="2:14" x14ac:dyDescent="0.2">
      <c r="B144" s="58" t="s">
        <v>28</v>
      </c>
      <c r="C144" s="58"/>
      <c r="D144" s="58"/>
      <c r="E144" s="26"/>
      <c r="F144" s="26"/>
      <c r="G144" s="26"/>
    </row>
    <row r="145" spans="2:14" x14ac:dyDescent="0.2">
      <c r="B145" s="49" t="s">
        <v>29</v>
      </c>
      <c r="C145" s="49"/>
      <c r="D145" s="49"/>
      <c r="E145" s="17">
        <v>52977.201999999997</v>
      </c>
      <c r="F145" s="17">
        <v>42332.254254931438</v>
      </c>
      <c r="G145" s="17">
        <v>30527.451487162871</v>
      </c>
      <c r="H145" s="83">
        <f>H191</f>
        <v>22278.321703255147</v>
      </c>
      <c r="I145" s="83">
        <f t="shared" ref="I145:L145" si="76">I191</f>
        <v>15126.311882446968</v>
      </c>
      <c r="J145" s="83">
        <f t="shared" si="76"/>
        <v>6677.3193013901946</v>
      </c>
      <c r="K145" s="83">
        <f t="shared" si="76"/>
        <v>-1000.0532864499974</v>
      </c>
      <c r="L145" s="83">
        <f t="shared" si="76"/>
        <v>-108.00457052816728</v>
      </c>
      <c r="N145" s="39" t="s">
        <v>45</v>
      </c>
    </row>
    <row r="146" spans="2:14" x14ac:dyDescent="0.2">
      <c r="B146" s="49" t="s">
        <v>30</v>
      </c>
      <c r="C146" s="49"/>
      <c r="D146" s="49"/>
      <c r="E146" s="17">
        <v>7574.3580000000002</v>
      </c>
      <c r="F146" s="17">
        <v>7733.7325079999991</v>
      </c>
      <c r="G146" s="17">
        <v>8722.4705471159996</v>
      </c>
      <c r="H146" s="83">
        <f>H64</f>
        <v>8840.8236279666035</v>
      </c>
      <c r="I146" s="83">
        <f t="shared" ref="I146:L146" si="77">I64</f>
        <v>9441.0165252160168</v>
      </c>
      <c r="J146" s="83">
        <f t="shared" si="77"/>
        <v>9762.1754916336449</v>
      </c>
      <c r="K146" s="83">
        <f t="shared" si="77"/>
        <v>10454.754110368352</v>
      </c>
      <c r="L146" s="83">
        <f t="shared" si="77"/>
        <v>10732.849385633946</v>
      </c>
      <c r="N146" s="39" t="s">
        <v>126</v>
      </c>
    </row>
    <row r="147" spans="2:14" x14ac:dyDescent="0.2">
      <c r="B147" s="49" t="s">
        <v>31</v>
      </c>
      <c r="C147" s="49"/>
      <c r="D147" s="49"/>
      <c r="E147" s="17">
        <v>0</v>
      </c>
      <c r="F147" s="17">
        <v>0</v>
      </c>
      <c r="G147" s="17">
        <v>0</v>
      </c>
      <c r="H147" s="83">
        <f>G147</f>
        <v>0</v>
      </c>
      <c r="I147" s="83">
        <f t="shared" ref="I147:L147" si="78">H147</f>
        <v>0</v>
      </c>
      <c r="J147" s="83">
        <f t="shared" si="78"/>
        <v>0</v>
      </c>
      <c r="K147" s="83">
        <f t="shared" si="78"/>
        <v>0</v>
      </c>
      <c r="L147" s="83">
        <f t="shared" si="78"/>
        <v>0</v>
      </c>
      <c r="N147" s="39" t="s">
        <v>152</v>
      </c>
    </row>
    <row r="148" spans="2:14" x14ac:dyDescent="0.2">
      <c r="B148" s="49" t="s">
        <v>32</v>
      </c>
      <c r="C148" s="49"/>
      <c r="D148" s="49"/>
      <c r="E148" s="17">
        <v>4694.8499999999995</v>
      </c>
      <c r="F148" s="17">
        <v>4653.3475259999996</v>
      </c>
      <c r="G148" s="17">
        <v>4893.0932337480008</v>
      </c>
      <c r="H148" s="83">
        <f>H72</f>
        <v>5711.3346014603412</v>
      </c>
      <c r="I148" s="83">
        <f t="shared" ref="I148:L148" si="79">I72</f>
        <v>5225.5019983615257</v>
      </c>
      <c r="J148" s="83">
        <f t="shared" si="79"/>
        <v>6183.157901865161</v>
      </c>
      <c r="K148" s="83">
        <f t="shared" si="79"/>
        <v>5921.1416848239878</v>
      </c>
      <c r="L148" s="83">
        <f t="shared" si="79"/>
        <v>6728.2924180171212</v>
      </c>
      <c r="N148" s="39" t="s">
        <v>126</v>
      </c>
    </row>
    <row r="149" spans="2:14" x14ac:dyDescent="0.2">
      <c r="B149" s="49" t="s">
        <v>33</v>
      </c>
      <c r="C149" s="49"/>
      <c r="D149" s="49"/>
      <c r="E149" s="17">
        <v>37844</v>
      </c>
      <c r="F149" s="17">
        <v>42135</v>
      </c>
      <c r="G149" s="17">
        <v>45349</v>
      </c>
      <c r="H149" s="83">
        <f>H90</f>
        <v>45349</v>
      </c>
      <c r="I149" s="83">
        <f t="shared" ref="I149:L149" si="80">I90</f>
        <v>45349</v>
      </c>
      <c r="J149" s="83">
        <f t="shared" si="80"/>
        <v>45349</v>
      </c>
      <c r="K149" s="83">
        <f t="shared" si="80"/>
        <v>45349</v>
      </c>
      <c r="L149" s="83">
        <f t="shared" si="80"/>
        <v>45349</v>
      </c>
      <c r="N149" s="39" t="s">
        <v>153</v>
      </c>
    </row>
    <row r="150" spans="2:14" x14ac:dyDescent="0.2">
      <c r="B150" s="49" t="s">
        <v>76</v>
      </c>
      <c r="C150" s="49"/>
      <c r="D150" s="49"/>
      <c r="E150" s="17">
        <v>0</v>
      </c>
      <c r="F150" s="17">
        <v>0</v>
      </c>
      <c r="G150" s="17">
        <v>0</v>
      </c>
      <c r="H150" s="83">
        <f>H96</f>
        <v>0</v>
      </c>
      <c r="I150" s="83">
        <f t="shared" ref="I150:L150" si="81">I96</f>
        <v>0</v>
      </c>
      <c r="J150" s="83">
        <f t="shared" si="81"/>
        <v>0</v>
      </c>
      <c r="K150" s="83">
        <f t="shared" si="81"/>
        <v>0</v>
      </c>
      <c r="L150" s="83">
        <f t="shared" si="81"/>
        <v>0</v>
      </c>
      <c r="N150" s="39" t="s">
        <v>154</v>
      </c>
    </row>
    <row r="151" spans="2:14" x14ac:dyDescent="0.2">
      <c r="B151" s="49" t="s">
        <v>77</v>
      </c>
      <c r="C151" s="49"/>
      <c r="D151" s="49"/>
      <c r="E151" s="17">
        <v>0</v>
      </c>
      <c r="F151" s="17">
        <v>0</v>
      </c>
      <c r="G151" s="17">
        <v>0</v>
      </c>
      <c r="H151" s="83">
        <f>G151</f>
        <v>0</v>
      </c>
      <c r="I151" s="83">
        <f t="shared" ref="I151:L151" si="82">H151</f>
        <v>0</v>
      </c>
      <c r="J151" s="83">
        <f t="shared" si="82"/>
        <v>0</v>
      </c>
      <c r="K151" s="83">
        <f t="shared" si="82"/>
        <v>0</v>
      </c>
      <c r="L151" s="83">
        <f t="shared" si="82"/>
        <v>0</v>
      </c>
      <c r="N151" s="39" t="s">
        <v>152</v>
      </c>
    </row>
    <row r="152" spans="2:14" ht="10.8" thickBot="1" x14ac:dyDescent="0.25">
      <c r="B152" s="56" t="s">
        <v>34</v>
      </c>
      <c r="C152" s="56"/>
      <c r="D152" s="56"/>
      <c r="E152" s="24">
        <f>SUM(E145:E151)</f>
        <v>103090.41</v>
      </c>
      <c r="F152" s="24">
        <f t="shared" ref="F152:L152" si="83">SUM(F145:F151)</f>
        <v>96854.334288931437</v>
      </c>
      <c r="G152" s="24">
        <f t="shared" si="83"/>
        <v>89492.015268026866</v>
      </c>
      <c r="H152" s="24">
        <f t="shared" si="83"/>
        <v>82179.479932682094</v>
      </c>
      <c r="I152" s="24">
        <f t="shared" si="83"/>
        <v>75141.830406024514</v>
      </c>
      <c r="J152" s="24">
        <f t="shared" si="83"/>
        <v>67971.652694888995</v>
      </c>
      <c r="K152" s="24">
        <f t="shared" si="83"/>
        <v>60724.842508742346</v>
      </c>
      <c r="L152" s="24">
        <f t="shared" si="83"/>
        <v>62702.137233122899</v>
      </c>
    </row>
    <row r="153" spans="2:14" ht="10.8" thickTop="1" x14ac:dyDescent="0.2">
      <c r="B153" s="52"/>
      <c r="C153" s="52"/>
      <c r="D153" s="52"/>
      <c r="E153" s="15"/>
      <c r="F153" s="15"/>
      <c r="G153" s="15"/>
    </row>
    <row r="154" spans="2:14" x14ac:dyDescent="0.2">
      <c r="B154" s="58" t="s">
        <v>35</v>
      </c>
      <c r="C154" s="58"/>
      <c r="D154" s="58"/>
      <c r="E154" s="26"/>
      <c r="F154" s="26"/>
      <c r="G154" s="26"/>
    </row>
    <row r="155" spans="2:14" x14ac:dyDescent="0.2">
      <c r="B155" s="49" t="s">
        <v>36</v>
      </c>
      <c r="C155" s="49"/>
      <c r="D155" s="49"/>
      <c r="E155" s="17">
        <v>12519.6</v>
      </c>
      <c r="F155" s="17">
        <v>13435.721729999999</v>
      </c>
      <c r="G155" s="17">
        <v>14395.622122476001</v>
      </c>
      <c r="H155" s="83">
        <f>H80</f>
        <v>15107.465742805387</v>
      </c>
      <c r="I155" s="83">
        <f t="shared" ref="I155:L155" si="84">I80</f>
        <v>15772.168922615798</v>
      </c>
      <c r="J155" s="83">
        <f t="shared" si="84"/>
        <v>16619.631857815533</v>
      </c>
      <c r="K155" s="83">
        <f t="shared" si="84"/>
        <v>17450.52711047804</v>
      </c>
      <c r="L155" s="83">
        <f t="shared" si="84"/>
        <v>18293.843218641676</v>
      </c>
      <c r="N155" s="39" t="s">
        <v>126</v>
      </c>
    </row>
    <row r="156" spans="2:14" x14ac:dyDescent="0.2">
      <c r="B156" s="49" t="s">
        <v>37</v>
      </c>
      <c r="C156" s="49"/>
      <c r="D156" s="49"/>
      <c r="E156" s="17">
        <v>15600</v>
      </c>
      <c r="F156" s="17">
        <v>15600</v>
      </c>
      <c r="G156" s="17">
        <v>15600</v>
      </c>
      <c r="H156" s="83">
        <f>G156</f>
        <v>15600</v>
      </c>
      <c r="I156" s="83">
        <f t="shared" ref="I156:L156" si="85">H156</f>
        <v>15600</v>
      </c>
      <c r="J156" s="83">
        <f t="shared" si="85"/>
        <v>15600</v>
      </c>
      <c r="K156" s="83">
        <f t="shared" si="85"/>
        <v>15600</v>
      </c>
      <c r="L156" s="83">
        <f t="shared" si="85"/>
        <v>15600</v>
      </c>
      <c r="N156" s="39" t="s">
        <v>152</v>
      </c>
    </row>
    <row r="157" spans="2:14" x14ac:dyDescent="0.2">
      <c r="B157" s="49" t="s">
        <v>38</v>
      </c>
      <c r="C157" s="49"/>
      <c r="D157" s="49"/>
      <c r="E157" s="17">
        <v>45804.979060931437</v>
      </c>
      <c r="F157" s="17">
        <v>39238.256865518757</v>
      </c>
      <c r="G157" s="17">
        <v>32277.531338381315</v>
      </c>
      <c r="H157" s="83">
        <f>H40</f>
        <v>24899.162279615626</v>
      </c>
      <c r="I157" s="83">
        <f t="shared" ref="I157:L157" si="86">I40</f>
        <v>17078.091077323996</v>
      </c>
      <c r="J157" s="83">
        <f t="shared" si="86"/>
        <v>8787.7556028948693</v>
      </c>
      <c r="K157" s="83">
        <f t="shared" si="86"/>
        <v>0</v>
      </c>
      <c r="L157" s="83">
        <f t="shared" si="86"/>
        <v>0</v>
      </c>
      <c r="N157" s="39" t="s">
        <v>106</v>
      </c>
    </row>
    <row r="158" spans="2:14" x14ac:dyDescent="0.2">
      <c r="B158" s="44" t="s">
        <v>87</v>
      </c>
      <c r="C158" s="44"/>
      <c r="D158" s="44"/>
      <c r="E158" s="17">
        <v>0</v>
      </c>
      <c r="F158" s="17">
        <v>0</v>
      </c>
      <c r="G158" s="17">
        <v>0</v>
      </c>
      <c r="H158" s="83">
        <f>G158</f>
        <v>0</v>
      </c>
      <c r="I158" s="83">
        <f t="shared" ref="I158:L158" si="87">H158</f>
        <v>0</v>
      </c>
      <c r="J158" s="83">
        <f t="shared" si="87"/>
        <v>0</v>
      </c>
      <c r="K158" s="83">
        <f t="shared" si="87"/>
        <v>0</v>
      </c>
      <c r="L158" s="83">
        <f t="shared" si="87"/>
        <v>0</v>
      </c>
      <c r="N158" s="39" t="s">
        <v>152</v>
      </c>
    </row>
    <row r="159" spans="2:14" x14ac:dyDescent="0.2">
      <c r="B159" s="55" t="s">
        <v>39</v>
      </c>
      <c r="C159" s="55"/>
      <c r="D159" s="55"/>
      <c r="E159" s="12">
        <f>SUM(E155:E158)</f>
        <v>73924.579060931428</v>
      </c>
      <c r="F159" s="12">
        <f t="shared" ref="F159:L159" si="88">SUM(F155:F158)</f>
        <v>68273.978595518754</v>
      </c>
      <c r="G159" s="12">
        <f t="shared" si="88"/>
        <v>62273.153460857313</v>
      </c>
      <c r="H159" s="12">
        <f t="shared" si="88"/>
        <v>55606.628022421013</v>
      </c>
      <c r="I159" s="12">
        <f t="shared" si="88"/>
        <v>48450.259999939793</v>
      </c>
      <c r="J159" s="12">
        <f t="shared" si="88"/>
        <v>41007.387460710401</v>
      </c>
      <c r="K159" s="12">
        <f t="shared" si="88"/>
        <v>33050.52711047804</v>
      </c>
      <c r="L159" s="12">
        <f t="shared" si="88"/>
        <v>33893.843218641676</v>
      </c>
    </row>
    <row r="160" spans="2:14" x14ac:dyDescent="0.2">
      <c r="B160" s="58" t="s">
        <v>40</v>
      </c>
      <c r="C160" s="58"/>
      <c r="D160" s="58"/>
      <c r="E160" s="26"/>
      <c r="F160" s="26"/>
      <c r="G160" s="26"/>
    </row>
    <row r="161" spans="2:14" x14ac:dyDescent="0.2">
      <c r="B161" s="49" t="s">
        <v>41</v>
      </c>
      <c r="C161" s="49"/>
      <c r="D161" s="49"/>
      <c r="E161" s="17">
        <v>5000</v>
      </c>
      <c r="F161" s="17">
        <v>5000</v>
      </c>
      <c r="G161" s="17">
        <v>5000</v>
      </c>
      <c r="H161" s="83">
        <f>H102</f>
        <v>5000</v>
      </c>
      <c r="I161" s="83">
        <f t="shared" ref="I161:L161" si="89">I102</f>
        <v>5000</v>
      </c>
      <c r="J161" s="83">
        <f t="shared" si="89"/>
        <v>5000</v>
      </c>
      <c r="K161" s="83">
        <f t="shared" si="89"/>
        <v>5000</v>
      </c>
      <c r="L161" s="83">
        <f t="shared" si="89"/>
        <v>5000</v>
      </c>
      <c r="N161" s="39" t="s">
        <v>144</v>
      </c>
    </row>
    <row r="162" spans="2:14" x14ac:dyDescent="0.2">
      <c r="B162" s="49" t="s">
        <v>42</v>
      </c>
      <c r="C162" s="49"/>
      <c r="D162" s="49"/>
      <c r="E162" s="17">
        <v>24166</v>
      </c>
      <c r="F162" s="17">
        <v>23580.524754344122</v>
      </c>
      <c r="G162" s="17">
        <v>22219.030868100999</v>
      </c>
      <c r="H162" s="83">
        <f>H107</f>
        <v>21573.02097119252</v>
      </c>
      <c r="I162" s="83">
        <f t="shared" ref="I162:L162" si="90">I107</f>
        <v>21691.739467016156</v>
      </c>
      <c r="J162" s="83">
        <f t="shared" si="90"/>
        <v>21964.434295110037</v>
      </c>
      <c r="K162" s="83">
        <f t="shared" si="90"/>
        <v>22674.484459195748</v>
      </c>
      <c r="L162" s="83">
        <f t="shared" si="90"/>
        <v>23808.46307541267</v>
      </c>
      <c r="N162" s="39" t="s">
        <v>144</v>
      </c>
    </row>
    <row r="163" spans="2:14" x14ac:dyDescent="0.2">
      <c r="B163" s="51" t="s">
        <v>40</v>
      </c>
      <c r="C163" s="51"/>
      <c r="D163" s="51"/>
      <c r="E163" s="22">
        <f>SUM(E161:E162)</f>
        <v>29166</v>
      </c>
      <c r="F163" s="22">
        <f t="shared" ref="F163:L163" si="91">SUM(F161:F162)</f>
        <v>28580.524754344122</v>
      </c>
      <c r="G163" s="22">
        <f t="shared" si="91"/>
        <v>27219.030868100999</v>
      </c>
      <c r="H163" s="22">
        <f t="shared" si="91"/>
        <v>26573.02097119252</v>
      </c>
      <c r="I163" s="22">
        <f t="shared" si="91"/>
        <v>26691.739467016156</v>
      </c>
      <c r="J163" s="22">
        <f t="shared" si="91"/>
        <v>26964.434295110037</v>
      </c>
      <c r="K163" s="22">
        <f t="shared" si="91"/>
        <v>27674.484459195748</v>
      </c>
      <c r="L163" s="22">
        <f t="shared" si="91"/>
        <v>28808.46307541267</v>
      </c>
    </row>
    <row r="164" spans="2:14" ht="10.8" thickBot="1" x14ac:dyDescent="0.25">
      <c r="B164" s="56" t="s">
        <v>43</v>
      </c>
      <c r="C164" s="56"/>
      <c r="D164" s="56"/>
      <c r="E164" s="24">
        <f>E159+E163</f>
        <v>103090.57906093143</v>
      </c>
      <c r="F164" s="24">
        <f t="shared" ref="F164:L164" si="92">F159+F163</f>
        <v>96854.503349862876</v>
      </c>
      <c r="G164" s="24">
        <f t="shared" si="92"/>
        <v>89492.184328958305</v>
      </c>
      <c r="H164" s="24">
        <f t="shared" si="92"/>
        <v>82179.648993613533</v>
      </c>
      <c r="I164" s="24">
        <f t="shared" si="92"/>
        <v>75141.999466955953</v>
      </c>
      <c r="J164" s="24">
        <f t="shared" si="92"/>
        <v>67971.821755820434</v>
      </c>
      <c r="K164" s="24">
        <f t="shared" si="92"/>
        <v>60725.011569673792</v>
      </c>
      <c r="L164" s="24">
        <f t="shared" si="92"/>
        <v>62702.306294054346</v>
      </c>
    </row>
    <row r="165" spans="2:14" ht="10.8" thickTop="1" x14ac:dyDescent="0.2">
      <c r="B165" s="49"/>
      <c r="C165" s="49"/>
      <c r="D165" s="49"/>
      <c r="E165" s="26"/>
      <c r="F165" s="26"/>
      <c r="G165" s="26"/>
      <c r="H165" s="26"/>
      <c r="I165" s="26"/>
      <c r="J165" s="26"/>
      <c r="K165" s="26"/>
      <c r="L165" s="26"/>
    </row>
    <row r="166" spans="2:14" x14ac:dyDescent="0.2">
      <c r="B166" s="59" t="s">
        <v>44</v>
      </c>
      <c r="C166" s="59"/>
      <c r="D166" s="59"/>
      <c r="E166" s="5">
        <f>E164-E152</f>
        <v>0.16906093142461032</v>
      </c>
      <c r="F166" s="5">
        <f>F164-F152</f>
        <v>0.16906093143916223</v>
      </c>
      <c r="G166" s="5">
        <f>G164-G152</f>
        <v>0.16906093143916223</v>
      </c>
      <c r="H166" s="5">
        <f t="shared" ref="H166:L166" si="93">H164-H152</f>
        <v>0.16906093143916223</v>
      </c>
      <c r="I166" s="5">
        <f t="shared" si="93"/>
        <v>0.16906093143916223</v>
      </c>
      <c r="J166" s="5">
        <f t="shared" si="93"/>
        <v>0.16906093143916223</v>
      </c>
      <c r="K166" s="5">
        <f t="shared" si="93"/>
        <v>0.16906093144643819</v>
      </c>
      <c r="L166" s="5">
        <f t="shared" si="93"/>
        <v>0.16906093144643819</v>
      </c>
    </row>
    <row r="167" spans="2:14" x14ac:dyDescent="0.2">
      <c r="B167" s="59"/>
      <c r="C167" s="59"/>
      <c r="D167" s="59"/>
      <c r="E167" s="5"/>
      <c r="F167" s="5"/>
      <c r="G167" s="5"/>
    </row>
    <row r="168" spans="2:14" x14ac:dyDescent="0.2">
      <c r="B168" s="59"/>
      <c r="C168" s="59"/>
      <c r="D168" s="59"/>
      <c r="E168" s="5"/>
      <c r="F168" s="5"/>
      <c r="G168" s="5"/>
    </row>
    <row r="169" spans="2:14" x14ac:dyDescent="0.2">
      <c r="B169" s="60" t="s">
        <v>45</v>
      </c>
      <c r="C169" s="60"/>
      <c r="D169" s="60"/>
      <c r="E169" s="36">
        <f>E$7</f>
        <v>2020</v>
      </c>
      <c r="F169" s="36">
        <f t="shared" ref="F169:L169" si="94">F$7</f>
        <v>2021</v>
      </c>
      <c r="G169" s="36">
        <f t="shared" si="94"/>
        <v>2022</v>
      </c>
      <c r="H169" s="36">
        <f t="shared" si="94"/>
        <v>2023</v>
      </c>
      <c r="I169" s="36">
        <f t="shared" si="94"/>
        <v>2024</v>
      </c>
      <c r="J169" s="36">
        <f t="shared" si="94"/>
        <v>2025</v>
      </c>
      <c r="K169" s="36">
        <f t="shared" si="94"/>
        <v>2026</v>
      </c>
      <c r="L169" s="36">
        <f t="shared" si="94"/>
        <v>2027</v>
      </c>
    </row>
    <row r="170" spans="2:14" x14ac:dyDescent="0.2">
      <c r="B170" s="58" t="s">
        <v>46</v>
      </c>
      <c r="C170" s="58"/>
      <c r="D170" s="58"/>
      <c r="E170" s="26"/>
      <c r="F170" s="26"/>
      <c r="G170" s="26"/>
    </row>
    <row r="171" spans="2:14" x14ac:dyDescent="0.2">
      <c r="B171" s="49" t="s">
        <v>26</v>
      </c>
      <c r="C171" s="49"/>
      <c r="D171" s="49"/>
      <c r="E171" s="17">
        <v>-2807.0100000000057</v>
      </c>
      <c r="F171" s="17">
        <v>-585.47524565587992</v>
      </c>
      <c r="G171" s="17">
        <v>-1361.4938862431245</v>
      </c>
      <c r="H171" s="83">
        <f>H140</f>
        <v>-646.00989690847928</v>
      </c>
      <c r="I171" s="83">
        <f t="shared" ref="I171:L171" si="95">I140</f>
        <v>118.7184958236362</v>
      </c>
      <c r="J171" s="83">
        <f t="shared" si="95"/>
        <v>272.69482809388148</v>
      </c>
      <c r="K171" s="83">
        <f t="shared" si="95"/>
        <v>710.05016408570941</v>
      </c>
      <c r="L171" s="83">
        <f t="shared" si="95"/>
        <v>1133.9786162169207</v>
      </c>
    </row>
    <row r="172" spans="2:14" x14ac:dyDescent="0.2">
      <c r="B172" s="49" t="s">
        <v>47</v>
      </c>
      <c r="C172" s="49"/>
      <c r="D172" s="49"/>
      <c r="E172" s="17">
        <v>5633.82</v>
      </c>
      <c r="F172" s="17">
        <v>5898.6095399999995</v>
      </c>
      <c r="G172" s="17">
        <v>6382.2955222800001</v>
      </c>
      <c r="H172" s="83">
        <f>H133</f>
        <v>6701.4102983940011</v>
      </c>
      <c r="I172" s="83">
        <f t="shared" ref="I172:L173" si="96">I133</f>
        <v>7036.4808133137012</v>
      </c>
      <c r="J172" s="83">
        <f t="shared" si="96"/>
        <v>7388.3048539793872</v>
      </c>
      <c r="K172" s="83">
        <f t="shared" si="96"/>
        <v>7757.7200966783575</v>
      </c>
      <c r="L172" s="83">
        <f t="shared" si="96"/>
        <v>8145.6061015122759</v>
      </c>
    </row>
    <row r="173" spans="2:14" x14ac:dyDescent="0.2">
      <c r="B173" s="49" t="s">
        <v>48</v>
      </c>
      <c r="C173" s="49"/>
      <c r="D173" s="49"/>
      <c r="E173" s="17">
        <v>3120</v>
      </c>
      <c r="F173" s="17">
        <v>2748.2987436558856</v>
      </c>
      <c r="G173" s="17">
        <v>2354.2954119311257</v>
      </c>
      <c r="H173" s="83">
        <f>H134</f>
        <v>1936.6518803028791</v>
      </c>
      <c r="I173" s="83">
        <f t="shared" si="96"/>
        <v>1493.9497367769375</v>
      </c>
      <c r="J173" s="83">
        <f t="shared" si="96"/>
        <v>1024.6854646394399</v>
      </c>
      <c r="K173" s="83">
        <f t="shared" si="96"/>
        <v>527.2653361736925</v>
      </c>
      <c r="L173" s="83">
        <f t="shared" si="96"/>
        <v>0</v>
      </c>
    </row>
    <row r="174" spans="2:14" x14ac:dyDescent="0.2">
      <c r="B174" s="49" t="s">
        <v>49</v>
      </c>
      <c r="C174" s="49"/>
      <c r="D174" s="49"/>
      <c r="E174" s="17">
        <v>-250.39200000000164</v>
      </c>
      <c r="F174" s="17">
        <v>-798.24969599999895</v>
      </c>
      <c r="G174" s="17">
        <v>268.58335438799986</v>
      </c>
      <c r="H174" s="83">
        <f>H83</f>
        <v>224.75082823355842</v>
      </c>
      <c r="I174" s="83">
        <f t="shared" ref="I174:L174" si="97">I83</f>
        <v>-550.34288565981296</v>
      </c>
      <c r="J174" s="83">
        <f t="shared" si="97"/>
        <v>431.35193472152787</v>
      </c>
      <c r="K174" s="83">
        <f t="shared" si="97"/>
        <v>-400.33285096897271</v>
      </c>
      <c r="L174" s="83">
        <f t="shared" si="97"/>
        <v>241.92990029509019</v>
      </c>
    </row>
    <row r="175" spans="2:14" x14ac:dyDescent="0.2">
      <c r="B175" s="51" t="s">
        <v>50</v>
      </c>
      <c r="C175" s="51"/>
      <c r="D175" s="51"/>
      <c r="E175" s="22">
        <f>E171+E172+E173-E174</f>
        <v>6197.2019999999957</v>
      </c>
      <c r="F175" s="22">
        <f t="shared" ref="F175:L175" si="98">F171+F172+F173-F174</f>
        <v>8859.6827340000036</v>
      </c>
      <c r="G175" s="22">
        <f t="shared" si="98"/>
        <v>7106.5136935800019</v>
      </c>
      <c r="H175" s="22">
        <f t="shared" si="98"/>
        <v>7767.3014535548427</v>
      </c>
      <c r="I175" s="22">
        <f t="shared" si="98"/>
        <v>9199.4919315740881</v>
      </c>
      <c r="J175" s="22">
        <f t="shared" si="98"/>
        <v>8254.3332119911811</v>
      </c>
      <c r="K175" s="22">
        <f t="shared" si="98"/>
        <v>9395.3684479067324</v>
      </c>
      <c r="L175" s="22">
        <f t="shared" si="98"/>
        <v>9037.654817434106</v>
      </c>
    </row>
    <row r="176" spans="2:14" x14ac:dyDescent="0.2">
      <c r="B176" s="52"/>
      <c r="C176" s="52"/>
      <c r="D176" s="52"/>
      <c r="E176" s="15"/>
      <c r="F176" s="15"/>
      <c r="G176" s="15"/>
    </row>
    <row r="177" spans="2:12" x14ac:dyDescent="0.2">
      <c r="B177" s="58" t="s">
        <v>51</v>
      </c>
      <c r="C177" s="58"/>
      <c r="D177" s="58"/>
      <c r="E177" s="31"/>
      <c r="F177" s="31"/>
      <c r="G177" s="31"/>
    </row>
    <row r="178" spans="2:12" x14ac:dyDescent="0.2">
      <c r="B178" s="49" t="s">
        <v>52</v>
      </c>
      <c r="C178" s="49"/>
      <c r="D178" s="49"/>
      <c r="E178" s="10">
        <v>-15684</v>
      </c>
      <c r="F178" s="10">
        <v>-10189.609539999999</v>
      </c>
      <c r="G178" s="10">
        <v>-9596.295522280001</v>
      </c>
      <c r="H178" s="83">
        <f>-H89</f>
        <v>-6701.4102983940011</v>
      </c>
      <c r="I178" s="83">
        <f t="shared" ref="I178:L178" si="99">-I89</f>
        <v>-7036.4808133137012</v>
      </c>
      <c r="J178" s="83">
        <f t="shared" si="99"/>
        <v>-7388.3048539793872</v>
      </c>
      <c r="K178" s="83">
        <f t="shared" si="99"/>
        <v>-7757.7200966783575</v>
      </c>
      <c r="L178" s="83">
        <f t="shared" si="99"/>
        <v>-8145.6061015122759</v>
      </c>
    </row>
    <row r="179" spans="2:12" x14ac:dyDescent="0.2">
      <c r="B179" s="49" t="s">
        <v>78</v>
      </c>
      <c r="C179" s="49"/>
      <c r="D179" s="49"/>
      <c r="E179" s="17">
        <v>0</v>
      </c>
      <c r="F179" s="17">
        <v>0</v>
      </c>
      <c r="G179" s="17">
        <v>0</v>
      </c>
      <c r="H179" s="84">
        <f>-H95</f>
        <v>0</v>
      </c>
      <c r="I179" s="84">
        <f t="shared" ref="I179:L179" si="100">-I95</f>
        <v>0</v>
      </c>
      <c r="J179" s="84">
        <f t="shared" si="100"/>
        <v>0</v>
      </c>
      <c r="K179" s="84">
        <f t="shared" si="100"/>
        <v>0</v>
      </c>
      <c r="L179" s="84">
        <f t="shared" si="100"/>
        <v>0</v>
      </c>
    </row>
    <row r="180" spans="2:12" x14ac:dyDescent="0.2">
      <c r="B180" s="49" t="s">
        <v>79</v>
      </c>
      <c r="C180" s="49"/>
      <c r="D180" s="49"/>
      <c r="E180" s="17">
        <v>0</v>
      </c>
      <c r="F180" s="17">
        <v>0</v>
      </c>
      <c r="G180" s="17">
        <v>0</v>
      </c>
      <c r="H180" s="129"/>
      <c r="I180" s="129"/>
      <c r="J180" s="129"/>
      <c r="K180" s="129"/>
      <c r="L180" s="129"/>
    </row>
    <row r="181" spans="2:12" x14ac:dyDescent="0.2">
      <c r="B181" s="49" t="s">
        <v>88</v>
      </c>
      <c r="C181" s="49"/>
      <c r="D181" s="49"/>
      <c r="E181" s="10">
        <v>0</v>
      </c>
      <c r="F181" s="10">
        <v>0</v>
      </c>
      <c r="G181" s="10">
        <v>0</v>
      </c>
      <c r="H181" s="83">
        <f>-H106</f>
        <v>0</v>
      </c>
      <c r="I181" s="83">
        <f t="shared" ref="I181:L181" si="101">-I106</f>
        <v>0</v>
      </c>
      <c r="J181" s="83">
        <f t="shared" si="101"/>
        <v>0</v>
      </c>
      <c r="K181" s="83">
        <f t="shared" si="101"/>
        <v>0</v>
      </c>
      <c r="L181" s="83">
        <f t="shared" si="101"/>
        <v>0</v>
      </c>
    </row>
    <row r="182" spans="2:12" x14ac:dyDescent="0.2">
      <c r="B182" s="61" t="s">
        <v>54</v>
      </c>
      <c r="C182" s="61"/>
      <c r="D182" s="61"/>
      <c r="E182" s="22">
        <f>SUM(E178:E181)</f>
        <v>-15684</v>
      </c>
      <c r="F182" s="22">
        <f t="shared" ref="F182:L182" si="102">SUM(F178:F181)</f>
        <v>-10189.609539999999</v>
      </c>
      <c r="G182" s="22">
        <f t="shared" si="102"/>
        <v>-9596.295522280001</v>
      </c>
      <c r="H182" s="22">
        <f t="shared" si="102"/>
        <v>-6701.4102983940011</v>
      </c>
      <c r="I182" s="22">
        <f t="shared" si="102"/>
        <v>-7036.4808133137012</v>
      </c>
      <c r="J182" s="22">
        <f t="shared" si="102"/>
        <v>-7388.3048539793872</v>
      </c>
      <c r="K182" s="22">
        <f t="shared" si="102"/>
        <v>-7757.7200966783575</v>
      </c>
      <c r="L182" s="22">
        <f t="shared" si="102"/>
        <v>-8145.6061015122759</v>
      </c>
    </row>
    <row r="183" spans="2:12" x14ac:dyDescent="0.2">
      <c r="B183" s="52"/>
      <c r="C183" s="52"/>
      <c r="D183" s="52"/>
      <c r="E183" s="15"/>
      <c r="F183" s="15"/>
      <c r="G183" s="15"/>
    </row>
    <row r="184" spans="2:12" x14ac:dyDescent="0.2">
      <c r="B184" s="58" t="s">
        <v>55</v>
      </c>
      <c r="C184" s="58"/>
      <c r="D184" s="58"/>
      <c r="E184" s="31"/>
      <c r="F184" s="31"/>
      <c r="G184" s="31"/>
    </row>
    <row r="185" spans="2:12" x14ac:dyDescent="0.2">
      <c r="B185" s="49" t="s">
        <v>56</v>
      </c>
      <c r="C185" s="49"/>
      <c r="D185" s="49"/>
      <c r="E185" s="10">
        <v>48880</v>
      </c>
      <c r="F185" s="10">
        <v>-9315.0209390685668</v>
      </c>
      <c r="G185" s="10">
        <v>-9315.0209390685686</v>
      </c>
      <c r="H185" s="83">
        <f>H39+H42</f>
        <v>-9315.0209390685668</v>
      </c>
      <c r="I185" s="83">
        <f t="shared" ref="I185:L185" si="103">I39+I42</f>
        <v>-9315.0209390685668</v>
      </c>
      <c r="J185" s="83">
        <f t="shared" si="103"/>
        <v>-9315.0209390685668</v>
      </c>
      <c r="K185" s="83">
        <f t="shared" si="103"/>
        <v>-9315.0209390685668</v>
      </c>
      <c r="L185" s="83">
        <f t="shared" si="103"/>
        <v>0</v>
      </c>
    </row>
    <row r="186" spans="2:12" x14ac:dyDescent="0.2">
      <c r="B186" s="49" t="s">
        <v>57</v>
      </c>
      <c r="C186" s="49"/>
      <c r="D186" s="49"/>
      <c r="E186" s="10">
        <v>0</v>
      </c>
      <c r="F186" s="10">
        <v>0</v>
      </c>
      <c r="G186" s="10">
        <v>0</v>
      </c>
      <c r="H186" s="83">
        <f>H101</f>
        <v>0</v>
      </c>
      <c r="I186" s="83">
        <f t="shared" ref="I186:L186" si="104">I101</f>
        <v>0</v>
      </c>
      <c r="J186" s="83">
        <f t="shared" si="104"/>
        <v>0</v>
      </c>
      <c r="K186" s="83">
        <f t="shared" si="104"/>
        <v>0</v>
      </c>
      <c r="L186" s="83">
        <f t="shared" si="104"/>
        <v>0</v>
      </c>
    </row>
    <row r="187" spans="2:12" x14ac:dyDescent="0.2">
      <c r="B187" s="61" t="s">
        <v>58</v>
      </c>
      <c r="C187" s="61"/>
      <c r="D187" s="61"/>
      <c r="E187" s="22">
        <f>SUM(E185:E186)</f>
        <v>48880</v>
      </c>
      <c r="F187" s="22">
        <f t="shared" ref="F187:L187" si="105">SUM(F185:F186)</f>
        <v>-9315.0209390685668</v>
      </c>
      <c r="G187" s="22">
        <f t="shared" si="105"/>
        <v>-9315.0209390685686</v>
      </c>
      <c r="H187" s="22">
        <f t="shared" si="105"/>
        <v>-9315.0209390685668</v>
      </c>
      <c r="I187" s="22">
        <f t="shared" si="105"/>
        <v>-9315.0209390685668</v>
      </c>
      <c r="J187" s="22">
        <f t="shared" si="105"/>
        <v>-9315.0209390685668</v>
      </c>
      <c r="K187" s="22">
        <f t="shared" si="105"/>
        <v>-9315.0209390685668</v>
      </c>
      <c r="L187" s="22">
        <f t="shared" si="105"/>
        <v>0</v>
      </c>
    </row>
    <row r="188" spans="2:12" x14ac:dyDescent="0.2">
      <c r="B188" s="52"/>
      <c r="C188" s="52"/>
      <c r="D188" s="52"/>
      <c r="E188" s="15"/>
      <c r="F188" s="15"/>
      <c r="G188" s="15"/>
      <c r="H188" s="15"/>
      <c r="I188" s="15"/>
      <c r="J188" s="15"/>
      <c r="K188" s="15"/>
      <c r="L188" s="15"/>
    </row>
    <row r="189" spans="2:12" x14ac:dyDescent="0.2">
      <c r="B189" s="51" t="s">
        <v>59</v>
      </c>
      <c r="C189" s="51"/>
      <c r="D189" s="51"/>
      <c r="E189" s="22">
        <f>E175+E182+E187</f>
        <v>39393.201999999997</v>
      </c>
      <c r="F189" s="22">
        <f t="shared" ref="F189:L189" si="106">F175+F182+F187</f>
        <v>-10644.947745068563</v>
      </c>
      <c r="G189" s="22">
        <f t="shared" si="106"/>
        <v>-11804.802767768568</v>
      </c>
      <c r="H189" s="22">
        <f t="shared" si="106"/>
        <v>-8249.1297839077251</v>
      </c>
      <c r="I189" s="22">
        <f t="shared" si="106"/>
        <v>-7152.0098208081799</v>
      </c>
      <c r="J189" s="22">
        <f t="shared" si="106"/>
        <v>-8448.9925810567729</v>
      </c>
      <c r="K189" s="22">
        <f t="shared" si="106"/>
        <v>-7677.372587840192</v>
      </c>
      <c r="L189" s="22">
        <f t="shared" si="106"/>
        <v>892.04871592183008</v>
      </c>
    </row>
    <row r="190" spans="2:12" x14ac:dyDescent="0.2">
      <c r="B190" s="49" t="s">
        <v>60</v>
      </c>
      <c r="C190" s="49"/>
      <c r="D190" s="49"/>
      <c r="E190" s="10">
        <v>13584</v>
      </c>
      <c r="F190" s="32">
        <f>E191</f>
        <v>52977.201999999997</v>
      </c>
      <c r="G190" s="32">
        <f>F191</f>
        <v>42332.254254931438</v>
      </c>
      <c r="H190" s="32">
        <f t="shared" ref="H190:L190" si="107">G191</f>
        <v>30527.451487162871</v>
      </c>
      <c r="I190" s="32">
        <f t="shared" si="107"/>
        <v>22278.321703255147</v>
      </c>
      <c r="J190" s="32">
        <f t="shared" si="107"/>
        <v>15126.311882446968</v>
      </c>
      <c r="K190" s="32">
        <f t="shared" si="107"/>
        <v>6677.3193013901946</v>
      </c>
      <c r="L190" s="32">
        <f t="shared" si="107"/>
        <v>-1000.0532864499974</v>
      </c>
    </row>
    <row r="191" spans="2:12" ht="10.8" thickBot="1" x14ac:dyDescent="0.25">
      <c r="B191" s="53" t="s">
        <v>61</v>
      </c>
      <c r="C191" s="53"/>
      <c r="D191" s="53"/>
      <c r="E191" s="41">
        <f>SUM(E189:E190)</f>
        <v>52977.201999999997</v>
      </c>
      <c r="F191" s="41">
        <f t="shared" ref="F191:L191" si="108">SUM(F189:F190)</f>
        <v>42332.254254931438</v>
      </c>
      <c r="G191" s="41">
        <f t="shared" si="108"/>
        <v>30527.451487162871</v>
      </c>
      <c r="H191" s="41">
        <f t="shared" si="108"/>
        <v>22278.321703255147</v>
      </c>
      <c r="I191" s="41">
        <f t="shared" si="108"/>
        <v>15126.311882446968</v>
      </c>
      <c r="J191" s="41">
        <f t="shared" si="108"/>
        <v>6677.3193013901946</v>
      </c>
      <c r="K191" s="41">
        <f t="shared" si="108"/>
        <v>-1000.0532864499974</v>
      </c>
      <c r="L191" s="41">
        <f t="shared" si="108"/>
        <v>-108.00457052816728</v>
      </c>
    </row>
    <row r="192" spans="2:12" x14ac:dyDescent="0.2">
      <c r="B192" s="58"/>
      <c r="C192" s="58"/>
      <c r="D192" s="58"/>
      <c r="E192" s="15"/>
      <c r="F192" s="26"/>
      <c r="G192" s="26"/>
      <c r="H192" s="26"/>
      <c r="I192" s="26"/>
      <c r="J192" s="26"/>
      <c r="K192" s="26"/>
      <c r="L192" s="26"/>
    </row>
    <row r="193" spans="2:12" x14ac:dyDescent="0.2">
      <c r="B193" s="131" t="s">
        <v>62</v>
      </c>
      <c r="C193" s="131"/>
      <c r="D193" s="131"/>
      <c r="E193" s="28">
        <f>E191-E145</f>
        <v>0</v>
      </c>
      <c r="F193" s="28">
        <f>F191-F145</f>
        <v>0</v>
      </c>
      <c r="G193" s="28">
        <f>G191-G145</f>
        <v>0</v>
      </c>
      <c r="H193" s="28">
        <f t="shared" ref="H193:L193" si="109">H191-H145</f>
        <v>0</v>
      </c>
      <c r="I193" s="28">
        <f t="shared" si="109"/>
        <v>0</v>
      </c>
      <c r="J193" s="28">
        <f t="shared" si="109"/>
        <v>0</v>
      </c>
      <c r="K193" s="28">
        <f t="shared" si="109"/>
        <v>0</v>
      </c>
      <c r="L193" s="28">
        <f t="shared" si="109"/>
        <v>0</v>
      </c>
    </row>
    <row r="194" spans="2:12" x14ac:dyDescent="0.2">
      <c r="B194" s="131" t="s">
        <v>63</v>
      </c>
      <c r="C194" s="131"/>
      <c r="D194" s="131"/>
      <c r="E194" s="28">
        <f>E171-E140</f>
        <v>0</v>
      </c>
      <c r="F194" s="28">
        <f>F171-F140</f>
        <v>0</v>
      </c>
      <c r="G194" s="28">
        <f>G171-G140</f>
        <v>0</v>
      </c>
      <c r="H194" s="28">
        <f t="shared" ref="H194:L194" si="110">H171-H140</f>
        <v>0</v>
      </c>
      <c r="I194" s="28">
        <f t="shared" si="110"/>
        <v>0</v>
      </c>
      <c r="J194" s="28">
        <f t="shared" si="110"/>
        <v>0</v>
      </c>
      <c r="K194" s="28">
        <f t="shared" si="110"/>
        <v>0</v>
      </c>
      <c r="L194" s="28">
        <f t="shared" si="110"/>
        <v>0</v>
      </c>
    </row>
    <row r="195" spans="2:12" x14ac:dyDescent="0.2">
      <c r="B195" s="131" t="s">
        <v>64</v>
      </c>
      <c r="C195" s="131"/>
      <c r="D195" s="131"/>
      <c r="E195" s="28">
        <f t="shared" ref="E195:L196" si="111">E172-E133</f>
        <v>0</v>
      </c>
      <c r="F195" s="28">
        <f t="shared" si="111"/>
        <v>0</v>
      </c>
      <c r="G195" s="28">
        <f t="shared" si="111"/>
        <v>0</v>
      </c>
      <c r="H195" s="28">
        <f t="shared" si="111"/>
        <v>0</v>
      </c>
      <c r="I195" s="28">
        <f t="shared" si="111"/>
        <v>0</v>
      </c>
      <c r="J195" s="28">
        <f t="shared" si="111"/>
        <v>0</v>
      </c>
      <c r="K195" s="28">
        <f t="shared" si="111"/>
        <v>0</v>
      </c>
      <c r="L195" s="28">
        <f t="shared" si="111"/>
        <v>0</v>
      </c>
    </row>
    <row r="196" spans="2:12" x14ac:dyDescent="0.2">
      <c r="B196" s="131" t="s">
        <v>65</v>
      </c>
      <c r="C196" s="131"/>
      <c r="D196" s="131"/>
      <c r="E196" s="28">
        <f t="shared" si="111"/>
        <v>0</v>
      </c>
      <c r="F196" s="28">
        <f t="shared" si="111"/>
        <v>0</v>
      </c>
      <c r="G196" s="28">
        <f t="shared" si="111"/>
        <v>0</v>
      </c>
      <c r="H196" s="28">
        <f t="shared" si="111"/>
        <v>0</v>
      </c>
      <c r="I196" s="28">
        <f t="shared" si="111"/>
        <v>0</v>
      </c>
      <c r="J196" s="28">
        <f t="shared" si="111"/>
        <v>0</v>
      </c>
      <c r="K196" s="28">
        <f t="shared" si="111"/>
        <v>0</v>
      </c>
      <c r="L196" s="28">
        <f t="shared" si="111"/>
        <v>0</v>
      </c>
    </row>
  </sheetData>
  <hyperlinks>
    <hyperlink ref="B1" location="'TOC'!A1" display="Table of Contents" xr:uid="{B250E130-7741-44D7-A92F-9F2CE1DB40C4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0527-B2B8-4FCC-A075-8F7E4E3AF4D5}">
  <sheetPr>
    <tabColor rgb="FF92D050"/>
  </sheetPr>
  <dimension ref="B1:N196"/>
  <sheetViews>
    <sheetView showGridLines="0" zoomScaleNormal="100" workbookViewId="0">
      <pane ySplit="7" topLeftCell="A8" activePane="bottomLeft" state="frozen"/>
      <selection pane="bottomLef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6384" width="9.109375" style="39"/>
  </cols>
  <sheetData>
    <row r="1" spans="2:14" x14ac:dyDescent="0.2">
      <c r="B1" s="256" t="s">
        <v>343</v>
      </c>
    </row>
    <row r="2" spans="2:14" ht="15.6" x14ac:dyDescent="0.3">
      <c r="B2" s="37" t="s">
        <v>67</v>
      </c>
      <c r="C2" s="37"/>
      <c r="D2" s="37"/>
    </row>
    <row r="3" spans="2:14" x14ac:dyDescent="0.2">
      <c r="B3" s="38" t="s">
        <v>94</v>
      </c>
      <c r="C3" s="38"/>
      <c r="D3" s="38"/>
    </row>
    <row r="5" spans="2:14" x14ac:dyDescent="0.2">
      <c r="B5" s="40" t="s">
        <v>80</v>
      </c>
      <c r="C5" s="40"/>
      <c r="D5" s="40"/>
    </row>
    <row r="6" spans="2:14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</row>
    <row r="7" spans="2:14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</row>
    <row r="9" spans="2:14" x14ac:dyDescent="0.2">
      <c r="B9" s="48" t="s">
        <v>98</v>
      </c>
      <c r="C9" s="48"/>
      <c r="D9" s="48"/>
      <c r="E9" s="36">
        <f>E$7</f>
        <v>2020</v>
      </c>
      <c r="F9" s="36">
        <f t="shared" ref="F9:L9" si="1">F$7</f>
        <v>2021</v>
      </c>
      <c r="G9" s="36">
        <f t="shared" si="1"/>
        <v>2022</v>
      </c>
      <c r="H9" s="36">
        <f t="shared" si="1"/>
        <v>2023</v>
      </c>
      <c r="I9" s="36">
        <f t="shared" si="1"/>
        <v>2024</v>
      </c>
      <c r="J9" s="36">
        <f t="shared" si="1"/>
        <v>2025</v>
      </c>
      <c r="K9" s="36">
        <f t="shared" si="1"/>
        <v>2026</v>
      </c>
      <c r="L9" s="36">
        <f t="shared" si="1"/>
        <v>2027</v>
      </c>
    </row>
    <row r="11" spans="2:14" x14ac:dyDescent="0.2">
      <c r="B11" s="76" t="s">
        <v>99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</row>
    <row r="13" spans="2:14" x14ac:dyDescent="0.2">
      <c r="B13" s="39" t="s">
        <v>129</v>
      </c>
      <c r="C13" s="39" t="s">
        <v>101</v>
      </c>
      <c r="E13" s="80"/>
      <c r="F13" s="81">
        <f>F114/E114-1</f>
        <v>7.8000000000000069E-2</v>
      </c>
      <c r="G13" s="81">
        <f>G114/F114-1</f>
        <v>8.8999999999999968E-2</v>
      </c>
      <c r="H13" s="78">
        <v>0.05</v>
      </c>
      <c r="I13" s="78">
        <v>0.05</v>
      </c>
      <c r="J13" s="78">
        <v>0.05</v>
      </c>
      <c r="K13" s="78">
        <v>0.05</v>
      </c>
      <c r="L13" s="78">
        <v>0.05</v>
      </c>
    </row>
    <row r="14" spans="2:14" x14ac:dyDescent="0.2">
      <c r="B14" s="39" t="s">
        <v>5</v>
      </c>
      <c r="C14" s="39" t="s">
        <v>156</v>
      </c>
      <c r="E14" s="81">
        <f>E115/E114</f>
        <v>0.52</v>
      </c>
      <c r="F14" s="81">
        <f t="shared" ref="F14:G14" si="2">F115/F114</f>
        <v>0.54</v>
      </c>
      <c r="G14" s="81">
        <f t="shared" si="2"/>
        <v>0.53</v>
      </c>
      <c r="H14" s="77">
        <f>AVERAGE(E14:G14)</f>
        <v>0.53</v>
      </c>
      <c r="I14" s="77">
        <f t="shared" ref="I14:L14" si="3">AVERAGE(F14:H14)</f>
        <v>0.53333333333333333</v>
      </c>
      <c r="J14" s="77">
        <f t="shared" si="3"/>
        <v>0.53111111111111109</v>
      </c>
      <c r="K14" s="77">
        <f t="shared" si="3"/>
        <v>0.53148148148148155</v>
      </c>
      <c r="L14" s="77">
        <f t="shared" si="3"/>
        <v>0.53197530864197529</v>
      </c>
      <c r="N14" s="70" t="s">
        <v>103</v>
      </c>
    </row>
    <row r="15" spans="2:14" x14ac:dyDescent="0.2">
      <c r="E15" s="80"/>
      <c r="F15" s="80"/>
      <c r="G15" s="80"/>
    </row>
    <row r="16" spans="2:14" x14ac:dyDescent="0.2">
      <c r="B16" s="75" t="s">
        <v>100</v>
      </c>
      <c r="E16" s="80"/>
      <c r="F16" s="80"/>
      <c r="G16" s="80"/>
    </row>
    <row r="17" spans="2:14" x14ac:dyDescent="0.2">
      <c r="B17" s="49" t="s">
        <v>8</v>
      </c>
      <c r="C17" s="39" t="s">
        <v>156</v>
      </c>
      <c r="E17" s="81">
        <f>E119/E$114</f>
        <v>0.121</v>
      </c>
      <c r="F17" s="81">
        <f t="shared" ref="F17:G17" si="4">F119/F$114</f>
        <v>0.11599999999999999</v>
      </c>
      <c r="G17" s="81">
        <f t="shared" si="4"/>
        <v>0.128</v>
      </c>
      <c r="H17" s="77">
        <f>AVERAGE(E17:G17)</f>
        <v>0.12166666666666666</v>
      </c>
      <c r="I17" s="77">
        <f t="shared" ref="I17:L26" si="5">AVERAGE(F17:H17)</f>
        <v>0.12188888888888888</v>
      </c>
      <c r="J17" s="77">
        <f t="shared" si="5"/>
        <v>0.12385185185185184</v>
      </c>
      <c r="K17" s="77">
        <f t="shared" si="5"/>
        <v>0.12246913580246911</v>
      </c>
      <c r="L17" s="77">
        <f t="shared" si="5"/>
        <v>0.12273662551440327</v>
      </c>
      <c r="N17" s="70" t="s">
        <v>103</v>
      </c>
    </row>
    <row r="18" spans="2:14" x14ac:dyDescent="0.2">
      <c r="B18" s="49" t="s">
        <v>9</v>
      </c>
      <c r="C18" s="39" t="s">
        <v>156</v>
      </c>
      <c r="E18" s="81">
        <f t="shared" ref="E18:G26" si="6">E120/E$114</f>
        <v>0.04</v>
      </c>
      <c r="F18" s="81">
        <f t="shared" si="6"/>
        <v>4.1200000000000001E-2</v>
      </c>
      <c r="G18" s="81">
        <f t="shared" si="6"/>
        <v>4.2000000000000003E-2</v>
      </c>
      <c r="H18" s="77">
        <f t="shared" ref="H18:H26" si="7">AVERAGE(E18:G18)</f>
        <v>4.1066666666666668E-2</v>
      </c>
      <c r="I18" s="77">
        <f t="shared" si="5"/>
        <v>4.1422222222222221E-2</v>
      </c>
      <c r="J18" s="77">
        <f t="shared" si="5"/>
        <v>4.1496296296296302E-2</v>
      </c>
      <c r="K18" s="77">
        <f t="shared" si="5"/>
        <v>4.1328395061728397E-2</v>
      </c>
      <c r="L18" s="77">
        <f t="shared" si="5"/>
        <v>4.1415637860082309E-2</v>
      </c>
      <c r="N18" s="70" t="s">
        <v>103</v>
      </c>
    </row>
    <row r="19" spans="2:14" x14ac:dyDescent="0.2">
      <c r="B19" s="49" t="s">
        <v>10</v>
      </c>
      <c r="C19" s="39" t="s">
        <v>156</v>
      </c>
      <c r="E19" s="81">
        <f t="shared" si="6"/>
        <v>3.9E-2</v>
      </c>
      <c r="F19" s="81">
        <f t="shared" si="6"/>
        <v>3.1E-2</v>
      </c>
      <c r="G19" s="81">
        <f t="shared" si="6"/>
        <v>3.0000000000000002E-2</v>
      </c>
      <c r="H19" s="77">
        <f t="shared" si="7"/>
        <v>3.3333333333333333E-2</v>
      </c>
      <c r="I19" s="77">
        <f t="shared" si="5"/>
        <v>3.1444444444444442E-2</v>
      </c>
      <c r="J19" s="77">
        <f t="shared" si="5"/>
        <v>3.1592592592592596E-2</v>
      </c>
      <c r="K19" s="77">
        <f t="shared" si="5"/>
        <v>3.2123456790123454E-2</v>
      </c>
      <c r="L19" s="77">
        <f t="shared" si="5"/>
        <v>3.1720164609053497E-2</v>
      </c>
      <c r="N19" s="70" t="s">
        <v>103</v>
      </c>
    </row>
    <row r="20" spans="2:14" x14ac:dyDescent="0.2">
      <c r="B20" s="49" t="s">
        <v>11</v>
      </c>
      <c r="C20" s="39" t="s">
        <v>156</v>
      </c>
      <c r="E20" s="81">
        <f t="shared" si="6"/>
        <v>2.1000000000000001E-2</v>
      </c>
      <c r="F20" s="81">
        <f t="shared" si="6"/>
        <v>2.4E-2</v>
      </c>
      <c r="G20" s="81">
        <f t="shared" si="6"/>
        <v>2.1999999999999999E-2</v>
      </c>
      <c r="H20" s="77">
        <f t="shared" si="7"/>
        <v>2.2333333333333334E-2</v>
      </c>
      <c r="I20" s="77">
        <f t="shared" si="5"/>
        <v>2.2777777777777775E-2</v>
      </c>
      <c r="J20" s="77">
        <f t="shared" si="5"/>
        <v>2.237037037037037E-2</v>
      </c>
      <c r="K20" s="77">
        <f t="shared" si="5"/>
        <v>2.2493827160493824E-2</v>
      </c>
      <c r="L20" s="77">
        <f t="shared" si="5"/>
        <v>2.2547325102880655E-2</v>
      </c>
      <c r="N20" s="70" t="s">
        <v>103</v>
      </c>
    </row>
    <row r="21" spans="2:14" x14ac:dyDescent="0.2">
      <c r="B21" s="49" t="s">
        <v>12</v>
      </c>
      <c r="C21" s="39" t="s">
        <v>156</v>
      </c>
      <c r="E21" s="81">
        <f t="shared" si="6"/>
        <v>2.5000000000000001E-2</v>
      </c>
      <c r="F21" s="81">
        <f t="shared" si="6"/>
        <v>2.5999999999999999E-2</v>
      </c>
      <c r="G21" s="81">
        <f t="shared" si="6"/>
        <v>2.4E-2</v>
      </c>
      <c r="H21" s="77">
        <f t="shared" si="7"/>
        <v>2.5000000000000005E-2</v>
      </c>
      <c r="I21" s="77">
        <f t="shared" si="5"/>
        <v>2.5000000000000005E-2</v>
      </c>
      <c r="J21" s="77">
        <f t="shared" si="5"/>
        <v>2.466666666666667E-2</v>
      </c>
      <c r="K21" s="77">
        <f t="shared" si="5"/>
        <v>2.4888888888888894E-2</v>
      </c>
      <c r="L21" s="77">
        <f t="shared" si="5"/>
        <v>2.4851851851851858E-2</v>
      </c>
      <c r="N21" s="70" t="s">
        <v>103</v>
      </c>
    </row>
    <row r="22" spans="2:14" x14ac:dyDescent="0.2">
      <c r="B22" s="49" t="s">
        <v>13</v>
      </c>
      <c r="C22" s="39" t="s">
        <v>156</v>
      </c>
      <c r="E22" s="81">
        <f t="shared" si="6"/>
        <v>8.9999999999999993E-3</v>
      </c>
      <c r="F22" s="81">
        <f t="shared" si="6"/>
        <v>1.0999999999999999E-2</v>
      </c>
      <c r="G22" s="81">
        <f t="shared" si="6"/>
        <v>8.0000000000000002E-3</v>
      </c>
      <c r="H22" s="77">
        <f t="shared" si="7"/>
        <v>9.3333333333333324E-3</v>
      </c>
      <c r="I22" s="77">
        <f t="shared" si="5"/>
        <v>9.4444444444444445E-3</v>
      </c>
      <c r="J22" s="77">
        <f t="shared" si="5"/>
        <v>8.9259259259259257E-3</v>
      </c>
      <c r="K22" s="77">
        <f t="shared" si="5"/>
        <v>9.234567901234567E-3</v>
      </c>
      <c r="L22" s="77">
        <f t="shared" si="5"/>
        <v>9.2016460905349779E-3</v>
      </c>
      <c r="N22" s="70" t="s">
        <v>103</v>
      </c>
    </row>
    <row r="23" spans="2:14" x14ac:dyDescent="0.2">
      <c r="B23" s="49" t="s">
        <v>14</v>
      </c>
      <c r="C23" s="39" t="s">
        <v>156</v>
      </c>
      <c r="E23" s="81">
        <f t="shared" si="6"/>
        <v>6.0000000000000001E-3</v>
      </c>
      <c r="F23" s="81">
        <f t="shared" si="6"/>
        <v>6.0000000000000001E-3</v>
      </c>
      <c r="G23" s="81">
        <f t="shared" si="6"/>
        <v>6.0000000000000001E-3</v>
      </c>
      <c r="H23" s="77">
        <f t="shared" si="7"/>
        <v>6.000000000000001E-3</v>
      </c>
      <c r="I23" s="77">
        <f t="shared" si="5"/>
        <v>6.000000000000001E-3</v>
      </c>
      <c r="J23" s="77">
        <f t="shared" si="5"/>
        <v>6.000000000000001E-3</v>
      </c>
      <c r="K23" s="77">
        <f t="shared" si="5"/>
        <v>6.000000000000001E-3</v>
      </c>
      <c r="L23" s="77">
        <f t="shared" si="5"/>
        <v>6.000000000000001E-3</v>
      </c>
      <c r="N23" s="70" t="s">
        <v>103</v>
      </c>
    </row>
    <row r="24" spans="2:14" x14ac:dyDescent="0.2">
      <c r="B24" s="49" t="s">
        <v>15</v>
      </c>
      <c r="C24" s="39" t="s">
        <v>156</v>
      </c>
      <c r="E24" s="81">
        <f t="shared" si="6"/>
        <v>6.0000000000000001E-3</v>
      </c>
      <c r="F24" s="81">
        <f t="shared" si="6"/>
        <v>5.0000000000000001E-3</v>
      </c>
      <c r="G24" s="81">
        <f t="shared" si="6"/>
        <v>8.0000000000000002E-3</v>
      </c>
      <c r="H24" s="77">
        <f t="shared" si="7"/>
        <v>6.3333333333333332E-3</v>
      </c>
      <c r="I24" s="77">
        <f t="shared" si="5"/>
        <v>6.4444444444444445E-3</v>
      </c>
      <c r="J24" s="77">
        <f t="shared" si="5"/>
        <v>6.9259259259259257E-3</v>
      </c>
      <c r="K24" s="77">
        <f t="shared" si="5"/>
        <v>6.5679012345679008E-3</v>
      </c>
      <c r="L24" s="77">
        <f t="shared" si="5"/>
        <v>6.6460905349794231E-3</v>
      </c>
      <c r="N24" s="70" t="s">
        <v>103</v>
      </c>
    </row>
    <row r="25" spans="2:14" x14ac:dyDescent="0.2">
      <c r="B25" s="49" t="s">
        <v>16</v>
      </c>
      <c r="C25" s="39" t="s">
        <v>156</v>
      </c>
      <c r="E25" s="81">
        <f t="shared" si="6"/>
        <v>0.01</v>
      </c>
      <c r="F25" s="81">
        <f t="shared" si="6"/>
        <v>1.0999999999999999E-2</v>
      </c>
      <c r="G25" s="81">
        <f t="shared" si="6"/>
        <v>8.9999999999999993E-3</v>
      </c>
      <c r="H25" s="77">
        <f t="shared" si="7"/>
        <v>0.01</v>
      </c>
      <c r="I25" s="77">
        <f t="shared" si="5"/>
        <v>0.01</v>
      </c>
      <c r="J25" s="77">
        <f t="shared" si="5"/>
        <v>9.6666666666666654E-3</v>
      </c>
      <c r="K25" s="77">
        <f t="shared" si="5"/>
        <v>9.8888888888888898E-3</v>
      </c>
      <c r="L25" s="77">
        <f t="shared" si="5"/>
        <v>9.851851851851853E-3</v>
      </c>
      <c r="N25" s="70" t="s">
        <v>103</v>
      </c>
    </row>
    <row r="26" spans="2:14" x14ac:dyDescent="0.2">
      <c r="B26" s="49" t="s">
        <v>17</v>
      </c>
      <c r="C26" s="39" t="s">
        <v>156</v>
      </c>
      <c r="E26" s="81">
        <f t="shared" si="6"/>
        <v>1.4E-2</v>
      </c>
      <c r="F26" s="81">
        <f t="shared" si="6"/>
        <v>1.6E-2</v>
      </c>
      <c r="G26" s="81">
        <f t="shared" si="6"/>
        <v>1.5000000000000001E-2</v>
      </c>
      <c r="H26" s="77">
        <f t="shared" si="7"/>
        <v>1.4999999999999999E-2</v>
      </c>
      <c r="I26" s="77">
        <f t="shared" si="5"/>
        <v>1.5333333333333332E-2</v>
      </c>
      <c r="J26" s="77">
        <f t="shared" si="5"/>
        <v>1.511111111111111E-2</v>
      </c>
      <c r="K26" s="77">
        <f t="shared" si="5"/>
        <v>1.5148148148148147E-2</v>
      </c>
      <c r="L26" s="77">
        <f t="shared" si="5"/>
        <v>1.5197530864197529E-2</v>
      </c>
      <c r="N26" s="70" t="s">
        <v>103</v>
      </c>
    </row>
    <row r="27" spans="2:14" x14ac:dyDescent="0.2">
      <c r="E27" s="80"/>
      <c r="F27" s="80"/>
      <c r="G27" s="80"/>
    </row>
    <row r="28" spans="2:14" x14ac:dyDescent="0.2">
      <c r="B28" s="75" t="s">
        <v>104</v>
      </c>
      <c r="E28" s="80"/>
      <c r="F28" s="80"/>
      <c r="G28" s="80"/>
    </row>
    <row r="29" spans="2:14" x14ac:dyDescent="0.2">
      <c r="B29" s="49" t="s">
        <v>21</v>
      </c>
      <c r="C29" s="39" t="s">
        <v>156</v>
      </c>
      <c r="E29" s="81">
        <f>E133/E$114</f>
        <v>6.4000000000000001E-2</v>
      </c>
      <c r="F29" s="81">
        <f t="shared" ref="F29:G29" si="8">F133/F$114</f>
        <v>6.7000000000000004E-2</v>
      </c>
      <c r="G29" s="81">
        <f t="shared" si="8"/>
        <v>6.0999999999999999E-2</v>
      </c>
      <c r="H29" s="77">
        <f t="shared" ref="H29:L29" si="9">AVERAGE(E29:G29)</f>
        <v>6.4000000000000001E-2</v>
      </c>
      <c r="I29" s="77">
        <f t="shared" si="9"/>
        <v>6.4000000000000001E-2</v>
      </c>
      <c r="J29" s="77">
        <f t="shared" si="9"/>
        <v>6.3E-2</v>
      </c>
      <c r="K29" s="77">
        <f t="shared" si="9"/>
        <v>6.3666666666666663E-2</v>
      </c>
      <c r="L29" s="77">
        <f t="shared" si="9"/>
        <v>6.3555555555555546E-2</v>
      </c>
      <c r="N29" s="70" t="s">
        <v>103</v>
      </c>
    </row>
    <row r="30" spans="2:14" x14ac:dyDescent="0.2">
      <c r="B30" s="50" t="s">
        <v>22</v>
      </c>
      <c r="E30" s="80"/>
      <c r="F30" s="80"/>
      <c r="G30" s="80"/>
      <c r="N30" s="70" t="s">
        <v>106</v>
      </c>
    </row>
    <row r="31" spans="2:14" x14ac:dyDescent="0.2">
      <c r="B31" s="50" t="s">
        <v>105</v>
      </c>
      <c r="C31" s="39" t="s">
        <v>156</v>
      </c>
      <c r="E31" s="81">
        <f>E135/E$114</f>
        <v>3.0000000000000001E-3</v>
      </c>
      <c r="F31" s="81">
        <f t="shared" ref="F31:G31" si="10">F135/F$114</f>
        <v>4.0000000000000001E-3</v>
      </c>
      <c r="G31" s="81">
        <f t="shared" si="10"/>
        <v>3.0000000000000001E-3</v>
      </c>
      <c r="H31" s="77">
        <f t="shared" ref="H31:L31" si="11">AVERAGE(E31:G31)</f>
        <v>3.3333333333333335E-3</v>
      </c>
      <c r="I31" s="77">
        <f t="shared" si="11"/>
        <v>3.4444444444444444E-3</v>
      </c>
      <c r="J31" s="77">
        <f t="shared" si="11"/>
        <v>3.2592592592592591E-3</v>
      </c>
      <c r="K31" s="77">
        <f t="shared" si="11"/>
        <v>3.345679012345679E-3</v>
      </c>
      <c r="L31" s="77">
        <f t="shared" si="11"/>
        <v>3.3497942386831272E-3</v>
      </c>
      <c r="N31" s="70" t="s">
        <v>103</v>
      </c>
    </row>
    <row r="32" spans="2:14" x14ac:dyDescent="0.2">
      <c r="E32" s="80"/>
      <c r="F32" s="80"/>
      <c r="G32" s="80"/>
    </row>
    <row r="33" spans="2:14" x14ac:dyDescent="0.2">
      <c r="B33" s="50" t="s">
        <v>25</v>
      </c>
      <c r="C33" s="39" t="s">
        <v>107</v>
      </c>
      <c r="E33" s="81">
        <f>E139/E137</f>
        <v>0.35</v>
      </c>
      <c r="F33" s="81">
        <f t="shared" ref="F33:G33" si="12">F139/F137</f>
        <v>0.35</v>
      </c>
      <c r="G33" s="81">
        <f t="shared" si="12"/>
        <v>0.35</v>
      </c>
      <c r="H33" s="78">
        <v>0.35</v>
      </c>
      <c r="I33" s="78">
        <v>0.35</v>
      </c>
      <c r="J33" s="78">
        <v>0.35</v>
      </c>
      <c r="K33" s="78">
        <v>0.35</v>
      </c>
      <c r="L33" s="78">
        <v>0.35</v>
      </c>
    </row>
    <row r="34" spans="2:14" x14ac:dyDescent="0.2">
      <c r="B34" s="50"/>
      <c r="E34" s="85"/>
      <c r="F34" s="85"/>
      <c r="G34" s="85"/>
      <c r="H34" s="78"/>
      <c r="I34" s="78"/>
      <c r="J34" s="78"/>
      <c r="K34" s="78"/>
      <c r="L34" s="78"/>
    </row>
    <row r="35" spans="2:14" x14ac:dyDescent="0.2">
      <c r="B35" s="76" t="s">
        <v>106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</row>
    <row r="36" spans="2:14" x14ac:dyDescent="0.2">
      <c r="B36" s="50"/>
      <c r="E36" s="90"/>
      <c r="F36" s="90"/>
      <c r="G36" s="90"/>
      <c r="H36" s="91"/>
      <c r="I36" s="91"/>
      <c r="J36" s="91"/>
      <c r="K36" s="91"/>
      <c r="L36" s="91"/>
    </row>
    <row r="37" spans="2:14" x14ac:dyDescent="0.2">
      <c r="B37" s="87" t="s">
        <v>108</v>
      </c>
      <c r="C37" s="88"/>
      <c r="D37" s="88"/>
      <c r="E37" s="92"/>
      <c r="F37" s="92"/>
      <c r="G37" s="92"/>
      <c r="H37" s="110">
        <f>H48</f>
        <v>0</v>
      </c>
      <c r="I37" s="93">
        <f>H40</f>
        <v>0</v>
      </c>
      <c r="J37" s="93">
        <f t="shared" ref="J37:L37" si="13">I40</f>
        <v>0</v>
      </c>
      <c r="K37" s="93">
        <f t="shared" si="13"/>
        <v>0</v>
      </c>
      <c r="L37" s="93">
        <f t="shared" si="13"/>
        <v>0</v>
      </c>
    </row>
    <row r="38" spans="2:14" x14ac:dyDescent="0.2">
      <c r="B38" s="86" t="s">
        <v>109</v>
      </c>
      <c r="E38" s="90"/>
      <c r="F38" s="90"/>
      <c r="G38" s="90"/>
      <c r="H38" s="102">
        <v>0</v>
      </c>
      <c r="I38" s="102">
        <v>0</v>
      </c>
      <c r="J38" s="102">
        <v>0</v>
      </c>
      <c r="K38" s="102">
        <v>0</v>
      </c>
      <c r="L38" s="102">
        <v>0</v>
      </c>
      <c r="N38" s="70" t="s">
        <v>123</v>
      </c>
    </row>
    <row r="39" spans="2:14" x14ac:dyDescent="0.2">
      <c r="B39" s="86" t="s">
        <v>110</v>
      </c>
      <c r="E39" s="90"/>
      <c r="F39" s="90"/>
      <c r="G39" s="90"/>
      <c r="H39" s="91">
        <f>SUMIFS($K$44:$K$54,$F$44:$F$54,H7)</f>
        <v>0</v>
      </c>
      <c r="I39" s="91">
        <f t="shared" ref="I39:L39" si="14">SUMIFS($K$44:$K$54,$F$44:$F$54,I7)</f>
        <v>0</v>
      </c>
      <c r="J39" s="91">
        <f t="shared" si="14"/>
        <v>0</v>
      </c>
      <c r="K39" s="91">
        <f t="shared" si="14"/>
        <v>0</v>
      </c>
      <c r="L39" s="91">
        <f t="shared" si="14"/>
        <v>0</v>
      </c>
    </row>
    <row r="40" spans="2:14" x14ac:dyDescent="0.2">
      <c r="B40" s="51" t="s">
        <v>111</v>
      </c>
      <c r="C40" s="89"/>
      <c r="D40" s="89"/>
      <c r="E40" s="94"/>
      <c r="F40" s="94"/>
      <c r="G40" s="94"/>
      <c r="H40" s="95">
        <f>SUM(H37:H39)</f>
        <v>0</v>
      </c>
      <c r="I40" s="95">
        <f t="shared" ref="I40:L40" si="15">SUM(I37:I39)</f>
        <v>0</v>
      </c>
      <c r="J40" s="95">
        <f t="shared" si="15"/>
        <v>0</v>
      </c>
      <c r="K40" s="95">
        <f t="shared" si="15"/>
        <v>0</v>
      </c>
      <c r="L40" s="95">
        <f t="shared" si="15"/>
        <v>0</v>
      </c>
    </row>
    <row r="41" spans="2:14" x14ac:dyDescent="0.2">
      <c r="B41" s="50"/>
      <c r="E41" s="90"/>
      <c r="F41" s="90"/>
      <c r="G41" s="90"/>
      <c r="H41" s="91"/>
      <c r="I41" s="91"/>
      <c r="J41" s="91"/>
      <c r="K41" s="91"/>
      <c r="L41" s="91"/>
    </row>
    <row r="42" spans="2:14" x14ac:dyDescent="0.2">
      <c r="B42" s="51" t="s">
        <v>112</v>
      </c>
      <c r="C42" s="89"/>
      <c r="D42" s="89"/>
      <c r="E42" s="94"/>
      <c r="F42" s="94"/>
      <c r="G42" s="94"/>
      <c r="H42" s="95">
        <f>SUMIFS($J$44:$J$54,$F$44:$F$54,H7)</f>
        <v>0</v>
      </c>
      <c r="I42" s="95">
        <f t="shared" ref="I42:L42" si="16">SUMIFS($J$44:$J$54,$F$44:$F$54,I7)</f>
        <v>0</v>
      </c>
      <c r="J42" s="95">
        <f t="shared" si="16"/>
        <v>0</v>
      </c>
      <c r="K42" s="95">
        <f t="shared" si="16"/>
        <v>0</v>
      </c>
      <c r="L42" s="95">
        <f t="shared" si="16"/>
        <v>0</v>
      </c>
    </row>
    <row r="43" spans="2:14" x14ac:dyDescent="0.2">
      <c r="B43" s="50"/>
      <c r="E43" s="90"/>
      <c r="F43" s="90"/>
      <c r="G43" s="90"/>
      <c r="H43" s="91"/>
      <c r="I43" s="91"/>
      <c r="J43" s="91"/>
      <c r="K43" s="91"/>
      <c r="L43" s="91"/>
    </row>
    <row r="44" spans="2:14" x14ac:dyDescent="0.2">
      <c r="B44" s="97" t="s">
        <v>113</v>
      </c>
      <c r="C44" s="98"/>
      <c r="D44" s="79"/>
      <c r="E44" s="99"/>
      <c r="F44" s="100" t="s">
        <v>117</v>
      </c>
      <c r="G44" s="100" t="s">
        <v>118</v>
      </c>
      <c r="H44" s="100" t="s">
        <v>119</v>
      </c>
      <c r="I44" s="100" t="s">
        <v>120</v>
      </c>
      <c r="J44" s="100" t="s">
        <v>22</v>
      </c>
      <c r="K44" s="100" t="s">
        <v>121</v>
      </c>
      <c r="L44" s="100" t="s">
        <v>122</v>
      </c>
    </row>
    <row r="45" spans="2:14" x14ac:dyDescent="0.2">
      <c r="B45" s="101" t="s">
        <v>114</v>
      </c>
      <c r="C45" s="102">
        <v>0</v>
      </c>
      <c r="D45" s="79"/>
      <c r="E45" s="99"/>
      <c r="F45" s="103">
        <f>YEAR(C48)</f>
        <v>2020</v>
      </c>
      <c r="G45" s="104">
        <v>1</v>
      </c>
      <c r="H45" s="104">
        <f>C45</f>
        <v>0</v>
      </c>
      <c r="I45" s="104">
        <f>PMT($C$46,$C$47,$C$45)</f>
        <v>0</v>
      </c>
      <c r="J45" s="104">
        <f t="shared" ref="J45:J51" si="17">IFERROR(IPMT($C$46,G45,$C$47,$C$45),0)</f>
        <v>0</v>
      </c>
      <c r="K45" s="104">
        <f>IFERROR(PPMT($C$46,G45,$C$47,$C$45),0)</f>
        <v>0</v>
      </c>
      <c r="L45" s="104">
        <f>H45+K45</f>
        <v>0</v>
      </c>
    </row>
    <row r="46" spans="2:14" x14ac:dyDescent="0.2">
      <c r="B46" s="101" t="s">
        <v>22</v>
      </c>
      <c r="C46" s="105">
        <v>0.06</v>
      </c>
      <c r="D46" s="79"/>
      <c r="E46" s="99"/>
      <c r="F46" s="103">
        <f>F45+1</f>
        <v>2021</v>
      </c>
      <c r="G46" s="104">
        <f>G45+1</f>
        <v>2</v>
      </c>
      <c r="H46" s="104">
        <f>L45</f>
        <v>0</v>
      </c>
      <c r="I46" s="104">
        <f t="shared" ref="I46:I54" si="18">PMT($C$46,$C$47,$C$45)</f>
        <v>0</v>
      </c>
      <c r="J46" s="104">
        <f t="shared" si="17"/>
        <v>0</v>
      </c>
      <c r="K46" s="104">
        <f t="shared" ref="K46:K54" si="19">IFERROR(PPMT($C$46,G46,$C$47,$C$45),0)</f>
        <v>0</v>
      </c>
      <c r="L46" s="104">
        <f t="shared" ref="L46:L54" si="20">H46+K46</f>
        <v>0</v>
      </c>
    </row>
    <row r="47" spans="2:14" x14ac:dyDescent="0.2">
      <c r="B47" s="101" t="s">
        <v>115</v>
      </c>
      <c r="C47" s="106">
        <v>7</v>
      </c>
      <c r="D47" s="79"/>
      <c r="E47" s="99"/>
      <c r="F47" s="103">
        <f t="shared" ref="F47:G54" si="21">F46+1</f>
        <v>2022</v>
      </c>
      <c r="G47" s="104">
        <f t="shared" si="21"/>
        <v>3</v>
      </c>
      <c r="H47" s="104">
        <f t="shared" ref="H47:H54" si="22">L46</f>
        <v>0</v>
      </c>
      <c r="I47" s="104">
        <f t="shared" si="18"/>
        <v>0</v>
      </c>
      <c r="J47" s="104">
        <f t="shared" si="17"/>
        <v>0</v>
      </c>
      <c r="K47" s="104">
        <f t="shared" si="19"/>
        <v>0</v>
      </c>
      <c r="L47" s="104">
        <f t="shared" si="20"/>
        <v>0</v>
      </c>
    </row>
    <row r="48" spans="2:14" x14ac:dyDescent="0.2">
      <c r="B48" s="107" t="s">
        <v>116</v>
      </c>
      <c r="C48" s="108">
        <v>43831</v>
      </c>
      <c r="D48" s="79"/>
      <c r="E48" s="99"/>
      <c r="F48" s="103">
        <f t="shared" si="21"/>
        <v>2023</v>
      </c>
      <c r="G48" s="104">
        <f t="shared" si="21"/>
        <v>4</v>
      </c>
      <c r="H48" s="104">
        <f t="shared" si="22"/>
        <v>0</v>
      </c>
      <c r="I48" s="104">
        <f t="shared" si="18"/>
        <v>0</v>
      </c>
      <c r="J48" s="104">
        <f t="shared" si="17"/>
        <v>0</v>
      </c>
      <c r="K48" s="104">
        <f t="shared" si="19"/>
        <v>0</v>
      </c>
      <c r="L48" s="104">
        <f t="shared" si="20"/>
        <v>0</v>
      </c>
    </row>
    <row r="49" spans="2:12" x14ac:dyDescent="0.2">
      <c r="B49" s="101"/>
      <c r="C49" s="79"/>
      <c r="D49" s="79"/>
      <c r="E49" s="99"/>
      <c r="F49" s="103">
        <f t="shared" si="21"/>
        <v>2024</v>
      </c>
      <c r="G49" s="104">
        <f t="shared" si="21"/>
        <v>5</v>
      </c>
      <c r="H49" s="104">
        <f t="shared" si="22"/>
        <v>0</v>
      </c>
      <c r="I49" s="104">
        <f t="shared" si="18"/>
        <v>0</v>
      </c>
      <c r="J49" s="104">
        <f t="shared" si="17"/>
        <v>0</v>
      </c>
      <c r="K49" s="104">
        <f t="shared" si="19"/>
        <v>0</v>
      </c>
      <c r="L49" s="104">
        <f t="shared" si="20"/>
        <v>0</v>
      </c>
    </row>
    <row r="50" spans="2:12" x14ac:dyDescent="0.2">
      <c r="B50" s="101"/>
      <c r="C50" s="79"/>
      <c r="D50" s="79"/>
      <c r="E50" s="99"/>
      <c r="F50" s="103">
        <f t="shared" si="21"/>
        <v>2025</v>
      </c>
      <c r="G50" s="104">
        <f t="shared" si="21"/>
        <v>6</v>
      </c>
      <c r="H50" s="104">
        <f t="shared" si="22"/>
        <v>0</v>
      </c>
      <c r="I50" s="104">
        <f t="shared" si="18"/>
        <v>0</v>
      </c>
      <c r="J50" s="104">
        <f t="shared" si="17"/>
        <v>0</v>
      </c>
      <c r="K50" s="104">
        <f t="shared" si="19"/>
        <v>0</v>
      </c>
      <c r="L50" s="104">
        <f t="shared" si="20"/>
        <v>0</v>
      </c>
    </row>
    <row r="51" spans="2:12" x14ac:dyDescent="0.2">
      <c r="B51" s="101"/>
      <c r="C51" s="79"/>
      <c r="D51" s="79"/>
      <c r="E51" s="99"/>
      <c r="F51" s="103">
        <f t="shared" si="21"/>
        <v>2026</v>
      </c>
      <c r="G51" s="104">
        <f t="shared" si="21"/>
        <v>7</v>
      </c>
      <c r="H51" s="104">
        <f t="shared" si="22"/>
        <v>0</v>
      </c>
      <c r="I51" s="104">
        <f t="shared" si="18"/>
        <v>0</v>
      </c>
      <c r="J51" s="104">
        <f t="shared" si="17"/>
        <v>0</v>
      </c>
      <c r="K51" s="104">
        <f t="shared" si="19"/>
        <v>0</v>
      </c>
      <c r="L51" s="104">
        <f t="shared" si="20"/>
        <v>0</v>
      </c>
    </row>
    <row r="52" spans="2:12" x14ac:dyDescent="0.2">
      <c r="B52" s="79"/>
      <c r="C52" s="79"/>
      <c r="D52" s="79"/>
      <c r="E52" s="104"/>
      <c r="F52" s="103">
        <f t="shared" si="21"/>
        <v>2027</v>
      </c>
      <c r="G52" s="104">
        <f t="shared" si="21"/>
        <v>8</v>
      </c>
      <c r="H52" s="104">
        <f t="shared" si="22"/>
        <v>0</v>
      </c>
      <c r="I52" s="104">
        <f t="shared" si="18"/>
        <v>0</v>
      </c>
      <c r="J52" s="104">
        <f>IFERROR(IPMT($C$46,G52,$C$47,$C$45),0)</f>
        <v>0</v>
      </c>
      <c r="K52" s="104">
        <f t="shared" si="19"/>
        <v>0</v>
      </c>
      <c r="L52" s="104">
        <f t="shared" si="20"/>
        <v>0</v>
      </c>
    </row>
    <row r="53" spans="2:12" x14ac:dyDescent="0.2">
      <c r="B53" s="79"/>
      <c r="C53" s="79"/>
      <c r="D53" s="79"/>
      <c r="E53" s="104"/>
      <c r="F53" s="103">
        <f t="shared" si="21"/>
        <v>2028</v>
      </c>
      <c r="G53" s="104">
        <f t="shared" si="21"/>
        <v>9</v>
      </c>
      <c r="H53" s="104">
        <f t="shared" si="22"/>
        <v>0</v>
      </c>
      <c r="I53" s="104">
        <f t="shared" si="18"/>
        <v>0</v>
      </c>
      <c r="J53" s="104">
        <f t="shared" ref="J53:J54" si="23">IFERROR(IPMT($C$46,G53,$C$47,$C$45),0)</f>
        <v>0</v>
      </c>
      <c r="K53" s="104">
        <f t="shared" si="19"/>
        <v>0</v>
      </c>
      <c r="L53" s="104">
        <f t="shared" si="20"/>
        <v>0</v>
      </c>
    </row>
    <row r="54" spans="2:12" x14ac:dyDescent="0.2">
      <c r="B54" s="79"/>
      <c r="C54" s="79"/>
      <c r="D54" s="79"/>
      <c r="E54" s="79"/>
      <c r="F54" s="109">
        <f t="shared" si="21"/>
        <v>2029</v>
      </c>
      <c r="G54" s="104">
        <f t="shared" si="21"/>
        <v>10</v>
      </c>
      <c r="H54" s="104">
        <f t="shared" si="22"/>
        <v>0</v>
      </c>
      <c r="I54" s="104">
        <f t="shared" si="18"/>
        <v>0</v>
      </c>
      <c r="J54" s="104">
        <f t="shared" si="23"/>
        <v>0</v>
      </c>
      <c r="K54" s="104">
        <f t="shared" si="19"/>
        <v>0</v>
      </c>
      <c r="L54" s="104">
        <f t="shared" si="20"/>
        <v>0</v>
      </c>
    </row>
    <row r="55" spans="2:12" x14ac:dyDescent="0.2">
      <c r="F55" s="96"/>
      <c r="G55" s="96"/>
      <c r="H55" s="96"/>
      <c r="I55" s="96"/>
      <c r="J55" s="96"/>
      <c r="K55" s="96"/>
      <c r="L55" s="96"/>
    </row>
    <row r="56" spans="2:12" x14ac:dyDescent="0.2">
      <c r="B56" s="76" t="s">
        <v>126</v>
      </c>
      <c r="C56" s="76"/>
      <c r="D56" s="76"/>
      <c r="E56" s="76"/>
      <c r="F56" s="76"/>
      <c r="G56" s="76"/>
      <c r="H56" s="76"/>
      <c r="I56" s="76"/>
      <c r="J56" s="76"/>
      <c r="K56" s="76"/>
      <c r="L56" s="76"/>
    </row>
    <row r="57" spans="2:12" x14ac:dyDescent="0.2">
      <c r="B57" s="47"/>
      <c r="C57" s="47"/>
      <c r="D57" s="47"/>
      <c r="E57" s="1"/>
      <c r="F57" s="1"/>
      <c r="G57" s="1"/>
    </row>
    <row r="58" spans="2:12" x14ac:dyDescent="0.2">
      <c r="B58" s="113" t="s">
        <v>30</v>
      </c>
      <c r="C58" s="113"/>
      <c r="D58" s="113"/>
      <c r="E58" s="73"/>
      <c r="F58" s="73"/>
      <c r="G58" s="73"/>
      <c r="H58" s="73"/>
      <c r="I58" s="73"/>
      <c r="J58" s="73"/>
      <c r="K58" s="73"/>
      <c r="L58" s="73"/>
    </row>
    <row r="59" spans="2:12" x14ac:dyDescent="0.2">
      <c r="B59" s="47" t="s">
        <v>127</v>
      </c>
      <c r="C59" s="47"/>
      <c r="D59" s="47"/>
      <c r="E59" s="114">
        <v>365</v>
      </c>
      <c r="F59" s="114">
        <v>365</v>
      </c>
      <c r="G59" s="114">
        <v>365</v>
      </c>
      <c r="H59" s="114">
        <v>365</v>
      </c>
      <c r="I59" s="114">
        <v>365</v>
      </c>
      <c r="J59" s="114">
        <v>365</v>
      </c>
      <c r="K59" s="114">
        <v>365</v>
      </c>
      <c r="L59" s="114">
        <v>365</v>
      </c>
    </row>
    <row r="60" spans="2:12" x14ac:dyDescent="0.2">
      <c r="B60" s="47" t="s">
        <v>128</v>
      </c>
      <c r="C60" s="47"/>
      <c r="D60" s="47"/>
      <c r="E60" s="116">
        <f>IFERROR(E62/E61*E59,0)</f>
        <v>36.865000000000002</v>
      </c>
      <c r="F60" s="116">
        <f t="shared" ref="F60:G60" si="24">IFERROR(F62/F61*F59,0)</f>
        <v>36.991294063079771</v>
      </c>
      <c r="G60" s="116">
        <f t="shared" si="24"/>
        <v>37.246758494031219</v>
      </c>
      <c r="H60" s="120">
        <f>AVERAGE(E60:G60)</f>
        <v>37.034350852370331</v>
      </c>
      <c r="I60" s="120">
        <f t="shared" ref="I60:L60" si="25">AVERAGE(F60:H60)</f>
        <v>37.090801136493774</v>
      </c>
      <c r="J60" s="120">
        <f t="shared" si="25"/>
        <v>37.123970160965108</v>
      </c>
      <c r="K60" s="120">
        <f t="shared" si="25"/>
        <v>37.083040716609737</v>
      </c>
      <c r="L60" s="120">
        <f t="shared" si="25"/>
        <v>37.099270671356209</v>
      </c>
    </row>
    <row r="61" spans="2:12" x14ac:dyDescent="0.2">
      <c r="B61" s="47" t="s">
        <v>129</v>
      </c>
      <c r="C61" s="47"/>
      <c r="D61" s="47"/>
      <c r="E61" s="117">
        <f>E114</f>
        <v>135697</v>
      </c>
      <c r="F61" s="117">
        <f t="shared" ref="F61:L61" si="26">F114</f>
        <v>146281.36600000001</v>
      </c>
      <c r="G61" s="117">
        <f t="shared" si="26"/>
        <v>159300.40757400001</v>
      </c>
      <c r="H61" s="117">
        <f t="shared" si="26"/>
        <v>167265.42795270003</v>
      </c>
      <c r="I61" s="117">
        <f t="shared" si="26"/>
        <v>175628.69935033505</v>
      </c>
      <c r="J61" s="117">
        <f t="shared" si="26"/>
        <v>184410.1343178518</v>
      </c>
      <c r="K61" s="117">
        <f t="shared" si="26"/>
        <v>193630.64103374441</v>
      </c>
      <c r="L61" s="117">
        <f t="shared" si="26"/>
        <v>203312.17308543163</v>
      </c>
    </row>
    <row r="62" spans="2:12" x14ac:dyDescent="0.2">
      <c r="B62" s="47" t="s">
        <v>130</v>
      </c>
      <c r="C62" s="47"/>
      <c r="D62" s="47"/>
      <c r="E62" s="116">
        <f>AVERAGE(E63:E64)</f>
        <v>13705.397000000001</v>
      </c>
      <c r="F62" s="116">
        <f t="shared" ref="F62:G62" si="27">AVERAGE(F63:F64)</f>
        <v>14825.032947</v>
      </c>
      <c r="G62" s="116">
        <f t="shared" si="27"/>
        <v>16255.955640848002</v>
      </c>
      <c r="H62" s="84">
        <f>H60/H59*H61</f>
        <v>16971.415189786752</v>
      </c>
      <c r="I62" s="84">
        <f t="shared" ref="I62:L62" si="28">I60/I59*I61</f>
        <v>17847.14838757351</v>
      </c>
      <c r="J62" s="84">
        <f t="shared" si="28"/>
        <v>18756.263900809583</v>
      </c>
      <c r="K62" s="84">
        <f t="shared" si="28"/>
        <v>19672.364234075587</v>
      </c>
      <c r="L62" s="84">
        <f t="shared" si="28"/>
        <v>20665.022849528905</v>
      </c>
    </row>
    <row r="63" spans="2:12" x14ac:dyDescent="0.2">
      <c r="B63" s="47" t="s">
        <v>108</v>
      </c>
      <c r="C63" s="47"/>
      <c r="D63" s="47"/>
      <c r="E63" s="118"/>
      <c r="F63" s="117">
        <f>E64</f>
        <v>13705.397000000001</v>
      </c>
      <c r="G63" s="117">
        <f t="shared" ref="G63:L63" si="29">F64</f>
        <v>15944.668894</v>
      </c>
      <c r="H63" s="117">
        <f t="shared" si="29"/>
        <v>16567.242387696002</v>
      </c>
      <c r="I63" s="117">
        <f t="shared" si="29"/>
        <v>17375.587991877503</v>
      </c>
      <c r="J63" s="117">
        <f t="shared" si="29"/>
        <v>18318.708783269518</v>
      </c>
      <c r="K63" s="117">
        <f t="shared" si="29"/>
        <v>19193.819018349648</v>
      </c>
      <c r="L63" s="117">
        <f t="shared" si="29"/>
        <v>20150.909449801526</v>
      </c>
    </row>
    <row r="64" spans="2:12" x14ac:dyDescent="0.2">
      <c r="B64" s="115" t="s">
        <v>111</v>
      </c>
      <c r="C64" s="115"/>
      <c r="D64" s="115"/>
      <c r="E64" s="119">
        <f>E146</f>
        <v>13705.397000000001</v>
      </c>
      <c r="F64" s="119">
        <f t="shared" ref="F64:G64" si="30">F146</f>
        <v>15944.668894</v>
      </c>
      <c r="G64" s="119">
        <f t="shared" si="30"/>
        <v>16567.242387696002</v>
      </c>
      <c r="H64" s="121">
        <f>H62*2-H63</f>
        <v>17375.587991877503</v>
      </c>
      <c r="I64" s="121">
        <f t="shared" ref="I64:L64" si="31">I62*2-I63</f>
        <v>18318.708783269518</v>
      </c>
      <c r="J64" s="121">
        <f t="shared" si="31"/>
        <v>19193.819018349648</v>
      </c>
      <c r="K64" s="121">
        <f t="shared" si="31"/>
        <v>20150.909449801526</v>
      </c>
      <c r="L64" s="121">
        <f t="shared" si="31"/>
        <v>21179.136249256284</v>
      </c>
    </row>
    <row r="65" spans="2:12" x14ac:dyDescent="0.2">
      <c r="B65" s="47"/>
      <c r="C65" s="47"/>
      <c r="D65" s="47"/>
      <c r="E65" s="1"/>
      <c r="F65" s="1"/>
      <c r="G65" s="1"/>
    </row>
    <row r="66" spans="2:12" x14ac:dyDescent="0.2">
      <c r="B66" s="113" t="s">
        <v>32</v>
      </c>
      <c r="C66" s="113"/>
      <c r="D66" s="113"/>
      <c r="E66" s="73"/>
      <c r="F66" s="73"/>
      <c r="G66" s="73"/>
      <c r="H66" s="73"/>
      <c r="I66" s="73"/>
      <c r="J66" s="73"/>
      <c r="K66" s="73"/>
      <c r="L66" s="73"/>
    </row>
    <row r="67" spans="2:12" x14ac:dyDescent="0.2">
      <c r="B67" s="47" t="s">
        <v>127</v>
      </c>
      <c r="C67" s="47"/>
      <c r="D67" s="47"/>
      <c r="E67" s="114">
        <v>365</v>
      </c>
      <c r="F67" s="114">
        <v>365</v>
      </c>
      <c r="G67" s="114">
        <v>365</v>
      </c>
      <c r="H67" s="114">
        <v>365</v>
      </c>
      <c r="I67" s="114">
        <v>365</v>
      </c>
      <c r="J67" s="114">
        <v>365</v>
      </c>
      <c r="K67" s="114">
        <v>365</v>
      </c>
      <c r="L67" s="114">
        <v>365</v>
      </c>
    </row>
    <row r="68" spans="2:12" x14ac:dyDescent="0.2">
      <c r="B68" s="47" t="s">
        <v>133</v>
      </c>
      <c r="C68" s="47"/>
      <c r="D68" s="47"/>
      <c r="E68" s="116">
        <f>IFERROR(E70/E69*E67,0)</f>
        <v>775.625</v>
      </c>
      <c r="F68" s="116">
        <f t="shared" ref="F68:G68" si="32">IFERROR(F70/F69*F67,0)</f>
        <v>708.07218959958209</v>
      </c>
      <c r="G68" s="116">
        <f t="shared" si="32"/>
        <v>688.19952774498233</v>
      </c>
      <c r="H68" s="120">
        <f>AVERAGE(E68:G68)</f>
        <v>723.96557244818814</v>
      </c>
      <c r="I68" s="120">
        <f t="shared" ref="I68:L68" si="33">AVERAGE(F68:H68)</f>
        <v>706.74576326425085</v>
      </c>
      <c r="J68" s="120">
        <f t="shared" si="33"/>
        <v>706.30362115247374</v>
      </c>
      <c r="K68" s="120">
        <f t="shared" si="33"/>
        <v>712.33831895497087</v>
      </c>
      <c r="L68" s="120">
        <f t="shared" si="33"/>
        <v>708.46256779056512</v>
      </c>
    </row>
    <row r="69" spans="2:12" x14ac:dyDescent="0.2">
      <c r="B69" s="47" t="s">
        <v>134</v>
      </c>
      <c r="C69" s="47"/>
      <c r="D69" s="47"/>
      <c r="E69" s="117">
        <f>E120</f>
        <v>5427.88</v>
      </c>
      <c r="F69" s="117">
        <f t="shared" ref="F69:L69" si="34">F120</f>
        <v>6026.7922792000008</v>
      </c>
      <c r="G69" s="117">
        <f t="shared" si="34"/>
        <v>6690.6171181080008</v>
      </c>
      <c r="H69" s="117">
        <f t="shared" si="34"/>
        <v>6869.0335745908815</v>
      </c>
      <c r="I69" s="117">
        <f t="shared" si="34"/>
        <v>7274.9310130894337</v>
      </c>
      <c r="J69" s="117">
        <f t="shared" si="34"/>
        <v>7652.3375736933776</v>
      </c>
      <c r="K69" s="117">
        <f t="shared" si="34"/>
        <v>8002.4436286983064</v>
      </c>
      <c r="L69" s="117">
        <f t="shared" si="34"/>
        <v>8420.3033330526087</v>
      </c>
    </row>
    <row r="70" spans="2:12" x14ac:dyDescent="0.2">
      <c r="B70" s="47" t="s">
        <v>130</v>
      </c>
      <c r="C70" s="47"/>
      <c r="D70" s="47"/>
      <c r="E70" s="116">
        <f>AVERAGE(E71:E72)</f>
        <v>11534.245000000001</v>
      </c>
      <c r="F70" s="116">
        <f t="shared" ref="F70:G70" si="35">AVERAGE(F71:F72)</f>
        <v>11691.517823000002</v>
      </c>
      <c r="G70" s="116">
        <f t="shared" si="35"/>
        <v>12615.012441108001</v>
      </c>
      <c r="H70" s="84">
        <f>H68/H67*H69</f>
        <v>13624.503627382222</v>
      </c>
      <c r="I70" s="84">
        <f t="shared" ref="I70:L70" si="36">I68/I67*I69</f>
        <v>14086.374442577155</v>
      </c>
      <c r="J70" s="84">
        <f t="shared" si="36"/>
        <v>14807.873256385665</v>
      </c>
      <c r="K70" s="84">
        <f t="shared" si="36"/>
        <v>15617.66367670923</v>
      </c>
      <c r="L70" s="84">
        <f t="shared" si="36"/>
        <v>16343.752660027138</v>
      </c>
    </row>
    <row r="71" spans="2:12" x14ac:dyDescent="0.2">
      <c r="B71" s="47" t="s">
        <v>108</v>
      </c>
      <c r="C71" s="47"/>
      <c r="D71" s="47"/>
      <c r="E71" s="118"/>
      <c r="F71" s="117">
        <f>E72</f>
        <v>11534.245000000001</v>
      </c>
      <c r="G71" s="117">
        <f t="shared" ref="G71:L71" si="37">F72</f>
        <v>11848.790646000001</v>
      </c>
      <c r="H71" s="117">
        <f t="shared" si="37"/>
        <v>13381.234236216002</v>
      </c>
      <c r="I71" s="117">
        <f t="shared" si="37"/>
        <v>13867.773018548443</v>
      </c>
      <c r="J71" s="117">
        <f t="shared" si="37"/>
        <v>14304.975866605866</v>
      </c>
      <c r="K71" s="117">
        <f t="shared" si="37"/>
        <v>15310.770646165463</v>
      </c>
      <c r="L71" s="117">
        <f t="shared" si="37"/>
        <v>15924.556707252996</v>
      </c>
    </row>
    <row r="72" spans="2:12" x14ac:dyDescent="0.2">
      <c r="B72" s="115" t="s">
        <v>111</v>
      </c>
      <c r="C72" s="115"/>
      <c r="D72" s="115"/>
      <c r="E72" s="119">
        <f>E148</f>
        <v>11534.245000000001</v>
      </c>
      <c r="F72" s="119">
        <f t="shared" ref="F72:G72" si="38">F148</f>
        <v>11848.790646000001</v>
      </c>
      <c r="G72" s="119">
        <f t="shared" si="38"/>
        <v>13381.234236216002</v>
      </c>
      <c r="H72" s="121">
        <f>H70*2-H71</f>
        <v>13867.773018548443</v>
      </c>
      <c r="I72" s="121">
        <f t="shared" ref="I72:L72" si="39">I70*2-I71</f>
        <v>14304.975866605866</v>
      </c>
      <c r="J72" s="121">
        <f t="shared" si="39"/>
        <v>15310.770646165463</v>
      </c>
      <c r="K72" s="121">
        <f t="shared" si="39"/>
        <v>15924.556707252996</v>
      </c>
      <c r="L72" s="121">
        <f t="shared" si="39"/>
        <v>16762.94861280128</v>
      </c>
    </row>
    <row r="73" spans="2:12" x14ac:dyDescent="0.2">
      <c r="B73" s="47"/>
      <c r="C73" s="47"/>
      <c r="D73" s="47"/>
      <c r="E73" s="1"/>
      <c r="F73" s="1"/>
      <c r="G73" s="1"/>
    </row>
    <row r="74" spans="2:12" x14ac:dyDescent="0.2">
      <c r="B74" s="113" t="s">
        <v>36</v>
      </c>
      <c r="C74" s="113"/>
      <c r="D74" s="113"/>
      <c r="E74" s="73"/>
      <c r="F74" s="73"/>
      <c r="G74" s="73"/>
      <c r="H74" s="73"/>
      <c r="I74" s="73"/>
      <c r="J74" s="73"/>
      <c r="K74" s="73"/>
      <c r="L74" s="73"/>
    </row>
    <row r="75" spans="2:12" x14ac:dyDescent="0.2">
      <c r="B75" s="47" t="s">
        <v>127</v>
      </c>
      <c r="C75" s="47"/>
      <c r="D75" s="47"/>
      <c r="E75" s="114">
        <v>365</v>
      </c>
      <c r="F75" s="114">
        <v>365</v>
      </c>
      <c r="G75" s="114">
        <v>365</v>
      </c>
      <c r="H75" s="114">
        <v>365</v>
      </c>
      <c r="I75" s="114">
        <v>365</v>
      </c>
      <c r="J75" s="114">
        <v>365</v>
      </c>
      <c r="K75" s="114">
        <v>365</v>
      </c>
      <c r="L75" s="114">
        <v>365</v>
      </c>
    </row>
    <row r="76" spans="2:12" x14ac:dyDescent="0.2">
      <c r="B76" s="47" t="s">
        <v>131</v>
      </c>
      <c r="C76" s="47"/>
      <c r="D76" s="47"/>
      <c r="E76" s="116">
        <f>IFERROR(E78/E77*E75,0)</f>
        <v>238.3161512027491</v>
      </c>
      <c r="F76" s="116">
        <f t="shared" ref="F76:G76" si="40">IFERROR(F78/F77*F75,0)</f>
        <v>234.00434623076876</v>
      </c>
      <c r="G76" s="116">
        <f t="shared" si="40"/>
        <v>229.56783746556471</v>
      </c>
      <c r="H76" s="120">
        <f>AVERAGE(E76:G76)</f>
        <v>233.96277829969418</v>
      </c>
      <c r="I76" s="120">
        <f t="shared" ref="I76:L76" si="41">AVERAGE(F76:H76)</f>
        <v>232.51165399867588</v>
      </c>
      <c r="J76" s="120">
        <f t="shared" si="41"/>
        <v>232.01408992131158</v>
      </c>
      <c r="K76" s="120">
        <f t="shared" si="41"/>
        <v>232.82950740656054</v>
      </c>
      <c r="L76" s="120">
        <f t="shared" si="41"/>
        <v>232.45175044218266</v>
      </c>
    </row>
    <row r="77" spans="2:12" x14ac:dyDescent="0.2">
      <c r="B77" s="47" t="s">
        <v>132</v>
      </c>
      <c r="C77" s="47"/>
      <c r="D77" s="47"/>
      <c r="E77" s="117">
        <f>E129</f>
        <v>39487.827000000005</v>
      </c>
      <c r="F77" s="117">
        <f t="shared" ref="F77:L77" si="42">F129</f>
        <v>42012.008315200015</v>
      </c>
      <c r="G77" s="117">
        <f t="shared" si="42"/>
        <v>46515.719011608009</v>
      </c>
      <c r="H77" s="117">
        <f t="shared" si="42"/>
        <v>48518.125134813199</v>
      </c>
      <c r="I77" s="117">
        <f t="shared" si="42"/>
        <v>50889.39135175597</v>
      </c>
      <c r="J77" s="117">
        <f t="shared" si="42"/>
        <v>53590.951033762671</v>
      </c>
      <c r="K77" s="117">
        <f t="shared" si="42"/>
        <v>56180.615719983303</v>
      </c>
      <c r="L77" s="117">
        <f t="shared" si="42"/>
        <v>58994.83389476077</v>
      </c>
    </row>
    <row r="78" spans="2:12" x14ac:dyDescent="0.2">
      <c r="B78" s="47" t="s">
        <v>130</v>
      </c>
      <c r="C78" s="47"/>
      <c r="D78" s="47"/>
      <c r="E78" s="116">
        <f>AVERAGE(E79:E80)</f>
        <v>25782.43</v>
      </c>
      <c r="F78" s="116">
        <f t="shared" ref="F78:G78" si="43">AVERAGE(F79:F80)</f>
        <v>26934.226136000001</v>
      </c>
      <c r="G78" s="116">
        <f t="shared" si="43"/>
        <v>29256.200059317001</v>
      </c>
      <c r="H78" s="84">
        <f>H76/H75*H77</f>
        <v>31099.822888857867</v>
      </c>
      <c r="I78" s="84">
        <f t="shared" ref="I78:L78" si="44">I76/I75*I77</f>
        <v>32417.470011459431</v>
      </c>
      <c r="J78" s="84">
        <f t="shared" si="44"/>
        <v>34065.358170180873</v>
      </c>
      <c r="K78" s="84">
        <f t="shared" si="44"/>
        <v>35837.000229810918</v>
      </c>
      <c r="L78" s="84">
        <f t="shared" si="44"/>
        <v>37571.102481871094</v>
      </c>
    </row>
    <row r="79" spans="2:12" x14ac:dyDescent="0.2">
      <c r="B79" s="47" t="s">
        <v>108</v>
      </c>
      <c r="C79" s="47"/>
      <c r="D79" s="47"/>
      <c r="E79" s="118"/>
      <c r="F79" s="117">
        <f>E80</f>
        <v>25782.43</v>
      </c>
      <c r="G79" s="117">
        <f t="shared" ref="G79:L79" si="45">F80</f>
        <v>28086.022272000002</v>
      </c>
      <c r="H79" s="117">
        <f t="shared" si="45"/>
        <v>30426.377846634005</v>
      </c>
      <c r="I79" s="117">
        <f t="shared" si="45"/>
        <v>31773.267931081729</v>
      </c>
      <c r="J79" s="117">
        <f t="shared" si="45"/>
        <v>33061.672091837128</v>
      </c>
      <c r="K79" s="117">
        <f t="shared" si="45"/>
        <v>35069.044248524617</v>
      </c>
      <c r="L79" s="117">
        <f t="shared" si="45"/>
        <v>36604.956211097218</v>
      </c>
    </row>
    <row r="80" spans="2:12" x14ac:dyDescent="0.2">
      <c r="B80" s="115" t="s">
        <v>111</v>
      </c>
      <c r="C80" s="115"/>
      <c r="D80" s="115"/>
      <c r="E80" s="119">
        <f>E155</f>
        <v>25782.43</v>
      </c>
      <c r="F80" s="119">
        <f t="shared" ref="F80:G80" si="46">F155</f>
        <v>28086.022272000002</v>
      </c>
      <c r="G80" s="119">
        <f t="shared" si="46"/>
        <v>30426.377846634005</v>
      </c>
      <c r="H80" s="121">
        <f>H78*2-H79</f>
        <v>31773.267931081729</v>
      </c>
      <c r="I80" s="121">
        <f t="shared" ref="I80:L80" si="47">I78*2-I79</f>
        <v>33061.672091837128</v>
      </c>
      <c r="J80" s="121">
        <f t="shared" si="47"/>
        <v>35069.044248524617</v>
      </c>
      <c r="K80" s="121">
        <f t="shared" si="47"/>
        <v>36604.956211097218</v>
      </c>
      <c r="L80" s="121">
        <f t="shared" si="47"/>
        <v>38537.248752644969</v>
      </c>
    </row>
    <row r="81" spans="2:12" x14ac:dyDescent="0.2">
      <c r="B81" s="47"/>
      <c r="C81" s="47"/>
      <c r="D81" s="47"/>
      <c r="E81" s="1"/>
      <c r="F81" s="1"/>
      <c r="G81" s="1"/>
    </row>
    <row r="82" spans="2:12" x14ac:dyDescent="0.2">
      <c r="B82" s="47" t="s">
        <v>135</v>
      </c>
      <c r="C82" s="47"/>
      <c r="D82" s="47"/>
      <c r="E82" s="117">
        <f>E64+E72-E80</f>
        <v>-542.78800000000047</v>
      </c>
      <c r="F82" s="117">
        <f t="shared" ref="F82:L82" si="48">F64+F72-F80</f>
        <v>-292.5627319999985</v>
      </c>
      <c r="G82" s="117">
        <f t="shared" si="48"/>
        <v>-477.90122272200097</v>
      </c>
      <c r="H82" s="117">
        <f t="shared" si="48"/>
        <v>-529.90692065578332</v>
      </c>
      <c r="I82" s="117">
        <f t="shared" si="48"/>
        <v>-437.98744196174448</v>
      </c>
      <c r="J82" s="117">
        <f t="shared" si="48"/>
        <v>-564.45458400950884</v>
      </c>
      <c r="K82" s="117">
        <f t="shared" si="48"/>
        <v>-529.49005404269701</v>
      </c>
      <c r="L82" s="117">
        <f t="shared" si="48"/>
        <v>-595.16389058740606</v>
      </c>
    </row>
    <row r="83" spans="2:12" ht="10.8" thickBot="1" x14ac:dyDescent="0.25">
      <c r="B83" s="122" t="s">
        <v>136</v>
      </c>
      <c r="C83" s="122"/>
      <c r="D83" s="122"/>
      <c r="E83" s="123"/>
      <c r="F83" s="124">
        <f>F82-E82</f>
        <v>250.22526800000196</v>
      </c>
      <c r="G83" s="124">
        <f t="shared" ref="G83:L83" si="49">G82-F82</f>
        <v>-185.33849072200246</v>
      </c>
      <c r="H83" s="124">
        <f t="shared" si="49"/>
        <v>-52.005697933782358</v>
      </c>
      <c r="I83" s="124">
        <f t="shared" si="49"/>
        <v>91.919478694038844</v>
      </c>
      <c r="J83" s="124">
        <f t="shared" si="49"/>
        <v>-126.46714204776436</v>
      </c>
      <c r="K83" s="124">
        <f t="shared" si="49"/>
        <v>34.964529966811824</v>
      </c>
      <c r="L83" s="124">
        <f t="shared" si="49"/>
        <v>-65.673836544709047</v>
      </c>
    </row>
    <row r="84" spans="2:12" ht="10.8" thickTop="1" x14ac:dyDescent="0.2">
      <c r="B84" s="47"/>
      <c r="C84" s="47"/>
      <c r="D84" s="47"/>
      <c r="E84" s="1"/>
      <c r="F84" s="1"/>
      <c r="G84" s="1"/>
    </row>
    <row r="85" spans="2:12" x14ac:dyDescent="0.2">
      <c r="B85" s="76" t="s">
        <v>33</v>
      </c>
      <c r="C85" s="76"/>
      <c r="D85" s="76"/>
      <c r="E85" s="76"/>
      <c r="F85" s="76"/>
      <c r="G85" s="76"/>
      <c r="H85" s="76"/>
      <c r="I85" s="76"/>
      <c r="J85" s="76"/>
      <c r="K85" s="76"/>
      <c r="L85" s="76"/>
    </row>
    <row r="86" spans="2:12" x14ac:dyDescent="0.2">
      <c r="B86" s="47"/>
      <c r="C86" s="47"/>
      <c r="D86" s="47"/>
      <c r="E86" s="1"/>
      <c r="F86" s="1"/>
      <c r="G86" s="1"/>
    </row>
    <row r="87" spans="2:12" x14ac:dyDescent="0.2">
      <c r="B87" s="47" t="s">
        <v>137</v>
      </c>
      <c r="C87" s="47"/>
      <c r="D87" s="47"/>
      <c r="E87" s="1"/>
      <c r="F87" s="117">
        <f>E90</f>
        <v>22844</v>
      </c>
      <c r="G87" s="117">
        <f t="shared" ref="G87:L87" si="50">F90</f>
        <v>27159</v>
      </c>
      <c r="H87" s="117">
        <f t="shared" si="50"/>
        <v>32658</v>
      </c>
      <c r="I87" s="117">
        <f t="shared" si="50"/>
        <v>32658</v>
      </c>
      <c r="J87" s="117">
        <f t="shared" si="50"/>
        <v>32658</v>
      </c>
      <c r="K87" s="117">
        <f t="shared" si="50"/>
        <v>32658</v>
      </c>
      <c r="L87" s="117">
        <f t="shared" si="50"/>
        <v>32658</v>
      </c>
    </row>
    <row r="88" spans="2:12" x14ac:dyDescent="0.2">
      <c r="B88" s="47" t="s">
        <v>138</v>
      </c>
      <c r="C88" s="47"/>
      <c r="D88" s="47"/>
      <c r="E88" s="1"/>
      <c r="F88" s="117">
        <f>-F133</f>
        <v>-9800.8515220000008</v>
      </c>
      <c r="G88" s="117">
        <f t="shared" ref="G88:L88" si="51">-G133</f>
        <v>-9717.3248620140002</v>
      </c>
      <c r="H88" s="117">
        <f t="shared" si="51"/>
        <v>-10704.987388972802</v>
      </c>
      <c r="I88" s="117">
        <f t="shared" si="51"/>
        <v>-11240.236758421444</v>
      </c>
      <c r="J88" s="117">
        <f t="shared" si="51"/>
        <v>-11617.838462024663</v>
      </c>
      <c r="K88" s="117">
        <f t="shared" si="51"/>
        <v>-12327.817479148394</v>
      </c>
      <c r="L88" s="117">
        <f t="shared" si="51"/>
        <v>-12921.618111651875</v>
      </c>
    </row>
    <row r="89" spans="2:12" x14ac:dyDescent="0.2">
      <c r="B89" s="47" t="s">
        <v>139</v>
      </c>
      <c r="C89" s="47"/>
      <c r="D89" s="47"/>
      <c r="E89" s="1"/>
      <c r="F89" s="117">
        <f>-F178</f>
        <v>14115.851522000001</v>
      </c>
      <c r="G89" s="117">
        <f>-G178</f>
        <v>15216.324862014</v>
      </c>
      <c r="H89" s="128">
        <f>-H88</f>
        <v>10704.987388972802</v>
      </c>
      <c r="I89" s="128">
        <f t="shared" ref="I89:L89" si="52">-I88</f>
        <v>11240.236758421444</v>
      </c>
      <c r="J89" s="128">
        <f t="shared" si="52"/>
        <v>11617.838462024663</v>
      </c>
      <c r="K89" s="128">
        <f t="shared" si="52"/>
        <v>12327.817479148394</v>
      </c>
      <c r="L89" s="128">
        <f t="shared" si="52"/>
        <v>12921.618111651875</v>
      </c>
    </row>
    <row r="90" spans="2:12" ht="10.8" thickBot="1" x14ac:dyDescent="0.25">
      <c r="B90" s="125" t="s">
        <v>140</v>
      </c>
      <c r="C90" s="125"/>
      <c r="D90" s="125"/>
      <c r="E90" s="126">
        <f>E149</f>
        <v>22844</v>
      </c>
      <c r="F90" s="127">
        <f>SUM(F87:F89)</f>
        <v>27159</v>
      </c>
      <c r="G90" s="127">
        <f t="shared" ref="G90:L90" si="53">SUM(G87:G89)</f>
        <v>32658</v>
      </c>
      <c r="H90" s="127">
        <f t="shared" si="53"/>
        <v>32658</v>
      </c>
      <c r="I90" s="127">
        <f t="shared" si="53"/>
        <v>32658</v>
      </c>
      <c r="J90" s="127">
        <f t="shared" si="53"/>
        <v>32658</v>
      </c>
      <c r="K90" s="127">
        <f t="shared" si="53"/>
        <v>32658</v>
      </c>
      <c r="L90" s="127">
        <f t="shared" si="53"/>
        <v>32658</v>
      </c>
    </row>
    <row r="91" spans="2:12" x14ac:dyDescent="0.2">
      <c r="B91" s="47"/>
      <c r="C91" s="47"/>
      <c r="D91" s="47"/>
      <c r="E91" s="1"/>
      <c r="F91" s="1"/>
      <c r="G91" s="1"/>
    </row>
    <row r="92" spans="2:12" x14ac:dyDescent="0.2">
      <c r="B92" s="76" t="s">
        <v>76</v>
      </c>
      <c r="C92" s="76"/>
      <c r="D92" s="76"/>
      <c r="E92" s="76"/>
      <c r="F92" s="76"/>
      <c r="G92" s="76"/>
      <c r="H92" s="76"/>
      <c r="I92" s="76"/>
      <c r="J92" s="76"/>
      <c r="K92" s="76"/>
      <c r="L92" s="76"/>
    </row>
    <row r="93" spans="2:12" x14ac:dyDescent="0.2">
      <c r="B93" s="47"/>
      <c r="C93" s="47"/>
      <c r="D93" s="47"/>
      <c r="E93" s="1"/>
      <c r="F93" s="1"/>
      <c r="G93" s="1"/>
    </row>
    <row r="94" spans="2:12" x14ac:dyDescent="0.2">
      <c r="B94" s="47" t="s">
        <v>141</v>
      </c>
      <c r="C94" s="47"/>
      <c r="D94" s="47"/>
      <c r="E94" s="1"/>
      <c r="F94" s="117">
        <f>E96</f>
        <v>0</v>
      </c>
      <c r="G94" s="117">
        <f t="shared" ref="G94:L94" si="54">F96</f>
        <v>0</v>
      </c>
      <c r="H94" s="117">
        <f t="shared" si="54"/>
        <v>0</v>
      </c>
      <c r="I94" s="117">
        <f t="shared" si="54"/>
        <v>0</v>
      </c>
      <c r="J94" s="117">
        <f t="shared" si="54"/>
        <v>0</v>
      </c>
      <c r="K94" s="117">
        <f t="shared" si="54"/>
        <v>0</v>
      </c>
      <c r="L94" s="117">
        <f t="shared" si="54"/>
        <v>0</v>
      </c>
    </row>
    <row r="95" spans="2:12" x14ac:dyDescent="0.2">
      <c r="B95" s="47" t="s">
        <v>142</v>
      </c>
      <c r="C95" s="47"/>
      <c r="D95" s="47"/>
      <c r="E95" s="1"/>
      <c r="F95" s="118"/>
      <c r="G95" s="118"/>
      <c r="H95" s="129"/>
      <c r="I95" s="129"/>
      <c r="J95" s="129"/>
      <c r="K95" s="129"/>
      <c r="L95" s="129"/>
    </row>
    <row r="96" spans="2:12" ht="10.8" thickBot="1" x14ac:dyDescent="0.25">
      <c r="B96" s="125" t="s">
        <v>143</v>
      </c>
      <c r="C96" s="125"/>
      <c r="D96" s="125"/>
      <c r="E96" s="126">
        <f>E150</f>
        <v>0</v>
      </c>
      <c r="F96" s="127">
        <f>SUM(F94:F95)</f>
        <v>0</v>
      </c>
      <c r="G96" s="127">
        <f t="shared" ref="G96:L96" si="55">SUM(G94:G95)</f>
        <v>0</v>
      </c>
      <c r="H96" s="127">
        <f t="shared" si="55"/>
        <v>0</v>
      </c>
      <c r="I96" s="127">
        <f t="shared" si="55"/>
        <v>0</v>
      </c>
      <c r="J96" s="127">
        <f t="shared" si="55"/>
        <v>0</v>
      </c>
      <c r="K96" s="127">
        <f t="shared" si="55"/>
        <v>0</v>
      </c>
      <c r="L96" s="127">
        <f t="shared" si="55"/>
        <v>0</v>
      </c>
    </row>
    <row r="97" spans="2:12" x14ac:dyDescent="0.2">
      <c r="B97" s="47"/>
      <c r="C97" s="47"/>
      <c r="D97" s="47"/>
      <c r="E97" s="1"/>
      <c r="F97" s="1"/>
      <c r="G97" s="1"/>
    </row>
    <row r="98" spans="2:12" x14ac:dyDescent="0.2">
      <c r="B98" s="76" t="s">
        <v>144</v>
      </c>
      <c r="C98" s="76"/>
      <c r="D98" s="76"/>
      <c r="E98" s="76"/>
      <c r="F98" s="76"/>
      <c r="G98" s="76"/>
      <c r="H98" s="76"/>
      <c r="I98" s="76"/>
      <c r="J98" s="76"/>
      <c r="K98" s="76"/>
      <c r="L98" s="76"/>
    </row>
    <row r="99" spans="2:12" x14ac:dyDescent="0.2">
      <c r="B99" s="47"/>
      <c r="C99" s="47"/>
      <c r="D99" s="47"/>
      <c r="E99" s="1"/>
      <c r="F99" s="1"/>
      <c r="G99" s="1"/>
    </row>
    <row r="100" spans="2:12" x14ac:dyDescent="0.2">
      <c r="B100" s="47" t="s">
        <v>145</v>
      </c>
      <c r="C100" s="47"/>
      <c r="D100" s="47"/>
      <c r="E100" s="1"/>
      <c r="F100" s="117">
        <f>E102</f>
        <v>5000</v>
      </c>
      <c r="G100" s="117">
        <f t="shared" ref="G100:L100" si="56">F102</f>
        <v>5000</v>
      </c>
      <c r="H100" s="117">
        <f t="shared" si="56"/>
        <v>5000</v>
      </c>
      <c r="I100" s="117">
        <f t="shared" si="56"/>
        <v>5000</v>
      </c>
      <c r="J100" s="117">
        <f t="shared" si="56"/>
        <v>5000</v>
      </c>
      <c r="K100" s="117">
        <f t="shared" si="56"/>
        <v>5000</v>
      </c>
      <c r="L100" s="117">
        <f t="shared" si="56"/>
        <v>5000</v>
      </c>
    </row>
    <row r="101" spans="2:12" x14ac:dyDescent="0.2">
      <c r="B101" s="47" t="s">
        <v>146</v>
      </c>
      <c r="C101" s="47"/>
      <c r="D101" s="47"/>
      <c r="E101" s="1"/>
      <c r="F101" s="1"/>
      <c r="G101" s="1"/>
      <c r="H101" s="130">
        <v>0</v>
      </c>
      <c r="I101" s="130">
        <v>0</v>
      </c>
      <c r="J101" s="130">
        <v>0</v>
      </c>
      <c r="K101" s="130">
        <v>0</v>
      </c>
      <c r="L101" s="130">
        <v>0</v>
      </c>
    </row>
    <row r="102" spans="2:12" ht="10.8" thickBot="1" x14ac:dyDescent="0.25">
      <c r="B102" s="125" t="s">
        <v>147</v>
      </c>
      <c r="C102" s="125"/>
      <c r="D102" s="125"/>
      <c r="E102" s="126">
        <f>E161</f>
        <v>5000</v>
      </c>
      <c r="F102" s="127">
        <f>SUM(F100:F101)</f>
        <v>5000</v>
      </c>
      <c r="G102" s="127">
        <f t="shared" ref="G102:L102" si="57">SUM(G100:G101)</f>
        <v>5000</v>
      </c>
      <c r="H102" s="127">
        <f t="shared" si="57"/>
        <v>5000</v>
      </c>
      <c r="I102" s="127">
        <f t="shared" si="57"/>
        <v>5000</v>
      </c>
      <c r="J102" s="127">
        <f t="shared" si="57"/>
        <v>5000</v>
      </c>
      <c r="K102" s="127">
        <f t="shared" si="57"/>
        <v>5000</v>
      </c>
      <c r="L102" s="127">
        <f t="shared" si="57"/>
        <v>5000</v>
      </c>
    </row>
    <row r="103" spans="2:12" x14ac:dyDescent="0.2">
      <c r="B103" s="47"/>
      <c r="C103" s="47"/>
      <c r="D103" s="47"/>
      <c r="E103" s="1"/>
      <c r="F103" s="1"/>
      <c r="G103" s="1"/>
    </row>
    <row r="104" spans="2:12" x14ac:dyDescent="0.2">
      <c r="B104" s="47" t="s">
        <v>148</v>
      </c>
      <c r="C104" s="47"/>
      <c r="D104" s="47"/>
      <c r="E104" s="1"/>
      <c r="F104" s="117">
        <f>E107</f>
        <v>22660</v>
      </c>
      <c r="G104" s="117">
        <f t="shared" ref="G104:L104" si="58">F107</f>
        <v>32339.437988219994</v>
      </c>
      <c r="H104" s="117">
        <f t="shared" si="58"/>
        <v>44143.598189453383</v>
      </c>
      <c r="I104" s="117">
        <f t="shared" si="58"/>
        <v>56385.754861311492</v>
      </c>
      <c r="J104" s="117">
        <f t="shared" si="58"/>
        <v>68882.322249085672</v>
      </c>
      <c r="K104" s="117">
        <f t="shared" si="58"/>
        <v>82310.04372936544</v>
      </c>
      <c r="L104" s="117">
        <f t="shared" si="58"/>
        <v>96326.176968223619</v>
      </c>
    </row>
    <row r="105" spans="2:12" x14ac:dyDescent="0.2">
      <c r="B105" s="47" t="s">
        <v>149</v>
      </c>
      <c r="C105" s="47"/>
      <c r="D105" s="47"/>
      <c r="E105" s="1"/>
      <c r="F105" s="117">
        <f>F140</f>
        <v>9679.4379882199937</v>
      </c>
      <c r="G105" s="117">
        <f t="shared" ref="G105:L105" si="59">G140</f>
        <v>11804.160201233391</v>
      </c>
      <c r="H105" s="117">
        <f t="shared" si="59"/>
        <v>12242.156671858105</v>
      </c>
      <c r="I105" s="117">
        <f t="shared" si="59"/>
        <v>12496.567387774176</v>
      </c>
      <c r="J105" s="117">
        <f t="shared" si="59"/>
        <v>13427.721480279764</v>
      </c>
      <c r="K105" s="117">
        <f t="shared" si="59"/>
        <v>14016.133238858172</v>
      </c>
      <c r="L105" s="117">
        <f t="shared" si="59"/>
        <v>14662.447218360539</v>
      </c>
    </row>
    <row r="106" spans="2:12" x14ac:dyDescent="0.2">
      <c r="B106" s="47" t="s">
        <v>150</v>
      </c>
      <c r="C106" s="47"/>
      <c r="D106" s="47"/>
      <c r="E106" s="1"/>
      <c r="F106" s="1"/>
      <c r="G106" s="1"/>
      <c r="H106" s="130">
        <v>0</v>
      </c>
      <c r="I106" s="130">
        <v>0</v>
      </c>
      <c r="J106" s="130">
        <v>0</v>
      </c>
      <c r="K106" s="130">
        <v>0</v>
      </c>
      <c r="L106" s="130">
        <v>0</v>
      </c>
    </row>
    <row r="107" spans="2:12" ht="10.8" thickBot="1" x14ac:dyDescent="0.25">
      <c r="B107" s="125" t="s">
        <v>151</v>
      </c>
      <c r="C107" s="125"/>
      <c r="D107" s="125"/>
      <c r="E107" s="126">
        <f>E162</f>
        <v>22660</v>
      </c>
      <c r="F107" s="127">
        <f>SUM(F104:F106)</f>
        <v>32339.437988219994</v>
      </c>
      <c r="G107" s="127">
        <f t="shared" ref="G107:L107" si="60">SUM(G104:G106)</f>
        <v>44143.598189453383</v>
      </c>
      <c r="H107" s="127">
        <f t="shared" si="60"/>
        <v>56385.754861311492</v>
      </c>
      <c r="I107" s="127">
        <f t="shared" si="60"/>
        <v>68882.322249085672</v>
      </c>
      <c r="J107" s="127">
        <f t="shared" si="60"/>
        <v>82310.04372936544</v>
      </c>
      <c r="K107" s="127">
        <f t="shared" si="60"/>
        <v>96326.176968223619</v>
      </c>
      <c r="L107" s="127">
        <f t="shared" si="60"/>
        <v>110988.62418658416</v>
      </c>
    </row>
    <row r="108" spans="2:12" x14ac:dyDescent="0.2">
      <c r="B108" s="47"/>
      <c r="C108" s="47"/>
      <c r="D108" s="47"/>
      <c r="E108" s="1"/>
      <c r="F108" s="1"/>
      <c r="G108" s="1"/>
    </row>
    <row r="109" spans="2:12" x14ac:dyDescent="0.2">
      <c r="B109" s="47"/>
      <c r="C109" s="47"/>
      <c r="D109" s="47"/>
      <c r="E109" s="1"/>
      <c r="F109" s="1"/>
      <c r="G109" s="1"/>
    </row>
    <row r="110" spans="2:12" x14ac:dyDescent="0.2">
      <c r="B110" s="47"/>
      <c r="C110" s="47"/>
      <c r="D110" s="47"/>
      <c r="E110" s="1"/>
      <c r="F110" s="1"/>
      <c r="G110" s="1"/>
    </row>
    <row r="111" spans="2:12" x14ac:dyDescent="0.2">
      <c r="B111" s="47"/>
      <c r="C111" s="47"/>
      <c r="D111" s="47"/>
      <c r="E111" s="1"/>
      <c r="F111" s="1"/>
      <c r="G111" s="1"/>
    </row>
    <row r="112" spans="2:12" x14ac:dyDescent="0.2">
      <c r="B112" s="48" t="s">
        <v>3</v>
      </c>
      <c r="C112" s="48"/>
      <c r="D112" s="48"/>
      <c r="E112" s="36">
        <f>E$7</f>
        <v>2020</v>
      </c>
      <c r="F112" s="36">
        <f t="shared" ref="F112:L112" si="61">F$7</f>
        <v>2021</v>
      </c>
      <c r="G112" s="36">
        <f t="shared" si="61"/>
        <v>2022</v>
      </c>
      <c r="H112" s="36">
        <f t="shared" si="61"/>
        <v>2023</v>
      </c>
      <c r="I112" s="36">
        <f t="shared" si="61"/>
        <v>2024</v>
      </c>
      <c r="J112" s="36">
        <f t="shared" si="61"/>
        <v>2025</v>
      </c>
      <c r="K112" s="36">
        <f t="shared" si="61"/>
        <v>2026</v>
      </c>
      <c r="L112" s="36">
        <f t="shared" si="61"/>
        <v>2027</v>
      </c>
    </row>
    <row r="113" spans="2:12" x14ac:dyDescent="0.2">
      <c r="B113" s="47"/>
      <c r="C113" s="47"/>
      <c r="D113" s="47"/>
      <c r="E113" s="1"/>
      <c r="F113" s="1"/>
      <c r="G113" s="1"/>
    </row>
    <row r="114" spans="2:12" x14ac:dyDescent="0.2">
      <c r="B114" s="49" t="s">
        <v>4</v>
      </c>
      <c r="C114" s="49"/>
      <c r="D114" s="49"/>
      <c r="E114" s="17">
        <v>135697</v>
      </c>
      <c r="F114" s="17">
        <v>146281.36600000001</v>
      </c>
      <c r="G114" s="17">
        <v>159300.40757400001</v>
      </c>
      <c r="H114" s="83">
        <f>G114*(1+H13)</f>
        <v>167265.42795270003</v>
      </c>
      <c r="I114" s="83">
        <f t="shared" ref="I114:L114" si="62">H114*(1+I13)</f>
        <v>175628.69935033505</v>
      </c>
      <c r="J114" s="83">
        <f t="shared" si="62"/>
        <v>184410.1343178518</v>
      </c>
      <c r="K114" s="83">
        <f t="shared" si="62"/>
        <v>193630.64103374441</v>
      </c>
      <c r="L114" s="83">
        <f t="shared" si="62"/>
        <v>203312.17308543163</v>
      </c>
    </row>
    <row r="115" spans="2:12" x14ac:dyDescent="0.2">
      <c r="B115" s="50" t="s">
        <v>5</v>
      </c>
      <c r="C115" s="50"/>
      <c r="D115" s="50"/>
      <c r="E115" s="10">
        <v>70562.44</v>
      </c>
      <c r="F115" s="10">
        <v>78991.937640000004</v>
      </c>
      <c r="G115" s="10">
        <v>84429.216014220015</v>
      </c>
      <c r="H115" s="83">
        <f>H114*H14</f>
        <v>88650.676814931023</v>
      </c>
      <c r="I115" s="83">
        <f t="shared" ref="I115:L115" si="63">I114*I14</f>
        <v>93668.639653512029</v>
      </c>
      <c r="J115" s="83">
        <f t="shared" si="63"/>
        <v>97942.271337703511</v>
      </c>
      <c r="K115" s="83">
        <f t="shared" si="63"/>
        <v>102911.09995682343</v>
      </c>
      <c r="L115" s="83">
        <f t="shared" si="63"/>
        <v>108157.05602779319</v>
      </c>
    </row>
    <row r="116" spans="2:12" x14ac:dyDescent="0.2">
      <c r="B116" s="51" t="s">
        <v>6</v>
      </c>
      <c r="C116" s="51"/>
      <c r="D116" s="51"/>
      <c r="E116" s="22">
        <f>E114-E115</f>
        <v>65134.559999999998</v>
      </c>
      <c r="F116" s="22">
        <f t="shared" ref="F116:L116" si="64">F114-F115</f>
        <v>67289.428360000005</v>
      </c>
      <c r="G116" s="22">
        <f t="shared" si="64"/>
        <v>74871.191559779996</v>
      </c>
      <c r="H116" s="22">
        <f t="shared" si="64"/>
        <v>78614.75113776901</v>
      </c>
      <c r="I116" s="22">
        <f t="shared" si="64"/>
        <v>81960.059696823024</v>
      </c>
      <c r="J116" s="22">
        <f t="shared" si="64"/>
        <v>86467.862980148289</v>
      </c>
      <c r="K116" s="22">
        <f t="shared" si="64"/>
        <v>90719.541076920985</v>
      </c>
      <c r="L116" s="22">
        <f t="shared" si="64"/>
        <v>95155.117057638432</v>
      </c>
    </row>
    <row r="117" spans="2:12" x14ac:dyDescent="0.2">
      <c r="B117" s="52"/>
      <c r="C117" s="52"/>
      <c r="D117" s="52"/>
      <c r="E117" s="14"/>
      <c r="F117" s="14"/>
      <c r="G117" s="14"/>
    </row>
    <row r="118" spans="2:12" x14ac:dyDescent="0.2">
      <c r="B118" s="52" t="s">
        <v>7</v>
      </c>
      <c r="C118" s="52"/>
      <c r="D118" s="52"/>
      <c r="E118" s="15"/>
      <c r="F118" s="15"/>
      <c r="G118" s="15"/>
    </row>
    <row r="119" spans="2:12" x14ac:dyDescent="0.2">
      <c r="B119" s="49" t="s">
        <v>8</v>
      </c>
      <c r="C119" s="49"/>
      <c r="D119" s="49"/>
      <c r="E119" s="17">
        <v>16419.337</v>
      </c>
      <c r="F119" s="17">
        <v>16968.638456000001</v>
      </c>
      <c r="G119" s="17">
        <v>20390.452169472002</v>
      </c>
      <c r="H119" s="83">
        <f>H17*H$114</f>
        <v>20350.627067578502</v>
      </c>
      <c r="I119" s="83">
        <f t="shared" ref="I119:L119" si="65">I17*I$114</f>
        <v>21407.18702081306</v>
      </c>
      <c r="J119" s="83">
        <f t="shared" si="65"/>
        <v>22839.53663551468</v>
      </c>
      <c r="K119" s="83">
        <f t="shared" si="65"/>
        <v>23713.777272280793</v>
      </c>
      <c r="L119" s="83">
        <f t="shared" si="65"/>
        <v>24953.85005050616</v>
      </c>
    </row>
    <row r="120" spans="2:12" x14ac:dyDescent="0.2">
      <c r="B120" s="49" t="s">
        <v>9</v>
      </c>
      <c r="C120" s="49"/>
      <c r="D120" s="49"/>
      <c r="E120" s="17">
        <v>5427.88</v>
      </c>
      <c r="F120" s="17">
        <v>6026.7922792000008</v>
      </c>
      <c r="G120" s="17">
        <v>6690.6171181080008</v>
      </c>
      <c r="H120" s="83">
        <f t="shared" ref="H120:L128" si="66">H18*H$114</f>
        <v>6869.0335745908815</v>
      </c>
      <c r="I120" s="83">
        <f t="shared" si="66"/>
        <v>7274.9310130894337</v>
      </c>
      <c r="J120" s="83">
        <f t="shared" si="66"/>
        <v>7652.3375736933776</v>
      </c>
      <c r="K120" s="83">
        <f t="shared" si="66"/>
        <v>8002.4436286983064</v>
      </c>
      <c r="L120" s="83">
        <f t="shared" si="66"/>
        <v>8420.3033330526087</v>
      </c>
    </row>
    <row r="121" spans="2:12" x14ac:dyDescent="0.2">
      <c r="B121" s="49" t="s">
        <v>10</v>
      </c>
      <c r="C121" s="49"/>
      <c r="D121" s="49"/>
      <c r="E121" s="17">
        <v>5292.183</v>
      </c>
      <c r="F121" s="17">
        <v>4534.7223460000005</v>
      </c>
      <c r="G121" s="17">
        <v>4779.0122272200006</v>
      </c>
      <c r="H121" s="83">
        <f t="shared" si="66"/>
        <v>5575.5142650900007</v>
      </c>
      <c r="I121" s="83">
        <f t="shared" si="66"/>
        <v>5522.5468795716461</v>
      </c>
      <c r="J121" s="83">
        <f t="shared" si="66"/>
        <v>5825.9942434491704</v>
      </c>
      <c r="K121" s="83">
        <f t="shared" si="66"/>
        <v>6220.0855304913939</v>
      </c>
      <c r="L121" s="83">
        <f t="shared" si="66"/>
        <v>6449.0955972942675</v>
      </c>
    </row>
    <row r="122" spans="2:12" x14ac:dyDescent="0.2">
      <c r="B122" s="49" t="s">
        <v>11</v>
      </c>
      <c r="C122" s="49"/>
      <c r="D122" s="49"/>
      <c r="E122" s="17">
        <v>2849.6370000000002</v>
      </c>
      <c r="F122" s="17">
        <v>3510.7527840000002</v>
      </c>
      <c r="G122" s="17">
        <v>3504.608966628</v>
      </c>
      <c r="H122" s="83">
        <f t="shared" si="66"/>
        <v>3735.5945576103009</v>
      </c>
      <c r="I122" s="83">
        <f t="shared" si="66"/>
        <v>4000.4314852020757</v>
      </c>
      <c r="J122" s="83">
        <f t="shared" si="66"/>
        <v>4125.3230047400921</v>
      </c>
      <c r="K122" s="83">
        <f t="shared" si="66"/>
        <v>4355.4941723886695</v>
      </c>
      <c r="L122" s="83">
        <f t="shared" si="66"/>
        <v>4584.1456639303697</v>
      </c>
    </row>
    <row r="123" spans="2:12" x14ac:dyDescent="0.2">
      <c r="B123" s="49" t="s">
        <v>12</v>
      </c>
      <c r="C123" s="49"/>
      <c r="D123" s="49"/>
      <c r="E123" s="17">
        <v>3392.4250000000002</v>
      </c>
      <c r="F123" s="17">
        <v>3803.3155160000001</v>
      </c>
      <c r="G123" s="17">
        <v>3823.2097817760005</v>
      </c>
      <c r="H123" s="83">
        <f t="shared" si="66"/>
        <v>4181.6356988175012</v>
      </c>
      <c r="I123" s="83">
        <f t="shared" si="66"/>
        <v>4390.7174837583771</v>
      </c>
      <c r="J123" s="83">
        <f t="shared" si="66"/>
        <v>4548.7833131736779</v>
      </c>
      <c r="K123" s="83">
        <f t="shared" si="66"/>
        <v>4819.2515101731951</v>
      </c>
      <c r="L123" s="83">
        <f t="shared" si="66"/>
        <v>5052.6840051972094</v>
      </c>
    </row>
    <row r="124" spans="2:12" x14ac:dyDescent="0.2">
      <c r="B124" s="49" t="s">
        <v>13</v>
      </c>
      <c r="C124" s="49"/>
      <c r="D124" s="49"/>
      <c r="E124" s="17">
        <v>1221.2729999999999</v>
      </c>
      <c r="F124" s="17">
        <v>1609.095026</v>
      </c>
      <c r="G124" s="17">
        <v>1274.4032605920002</v>
      </c>
      <c r="H124" s="83">
        <f t="shared" si="66"/>
        <v>1561.1439942252002</v>
      </c>
      <c r="I124" s="83">
        <f t="shared" si="66"/>
        <v>1658.7154938642755</v>
      </c>
      <c r="J124" s="83">
        <f t="shared" si="66"/>
        <v>1646.0311989111956</v>
      </c>
      <c r="K124" s="83">
        <f t="shared" si="66"/>
        <v>1788.0953023856889</v>
      </c>
      <c r="L124" s="83">
        <f t="shared" si="66"/>
        <v>1870.8066626297327</v>
      </c>
    </row>
    <row r="125" spans="2:12" x14ac:dyDescent="0.2">
      <c r="B125" s="49" t="s">
        <v>14</v>
      </c>
      <c r="C125" s="49"/>
      <c r="D125" s="49"/>
      <c r="E125" s="17">
        <v>814.18200000000002</v>
      </c>
      <c r="F125" s="17">
        <v>877.68819600000006</v>
      </c>
      <c r="G125" s="17">
        <v>955.80244544400011</v>
      </c>
      <c r="H125" s="83">
        <f t="shared" si="66"/>
        <v>1003.5925677162004</v>
      </c>
      <c r="I125" s="83">
        <f t="shared" si="66"/>
        <v>1053.7721961020104</v>
      </c>
      <c r="J125" s="83">
        <f t="shared" si="66"/>
        <v>1106.4608059071111</v>
      </c>
      <c r="K125" s="83">
        <f t="shared" si="66"/>
        <v>1161.7838462024667</v>
      </c>
      <c r="L125" s="83">
        <f t="shared" si="66"/>
        <v>1219.87303851259</v>
      </c>
    </row>
    <row r="126" spans="2:12" x14ac:dyDescent="0.2">
      <c r="B126" s="49" t="s">
        <v>15</v>
      </c>
      <c r="C126" s="49"/>
      <c r="D126" s="49"/>
      <c r="E126" s="17">
        <v>814.18200000000002</v>
      </c>
      <c r="F126" s="17">
        <v>731.40683000000001</v>
      </c>
      <c r="G126" s="17">
        <v>1274.4032605920002</v>
      </c>
      <c r="H126" s="83">
        <f t="shared" si="66"/>
        <v>1059.3477103671003</v>
      </c>
      <c r="I126" s="83">
        <f t="shared" si="66"/>
        <v>1131.8293958132704</v>
      </c>
      <c r="J126" s="83">
        <f t="shared" si="66"/>
        <v>1277.210930275492</v>
      </c>
      <c r="K126" s="83">
        <f t="shared" si="66"/>
        <v>1271.746926295704</v>
      </c>
      <c r="L126" s="83">
        <f t="shared" si="66"/>
        <v>1351.2311091891854</v>
      </c>
    </row>
    <row r="127" spans="2:12" x14ac:dyDescent="0.2">
      <c r="B127" s="49" t="s">
        <v>16</v>
      </c>
      <c r="C127" s="49"/>
      <c r="D127" s="49"/>
      <c r="E127" s="17">
        <v>1356.97</v>
      </c>
      <c r="F127" s="17">
        <v>1609.095026</v>
      </c>
      <c r="G127" s="17">
        <v>1433.7036681659999</v>
      </c>
      <c r="H127" s="83">
        <f t="shared" si="66"/>
        <v>1672.6542795270004</v>
      </c>
      <c r="I127" s="83">
        <f t="shared" si="66"/>
        <v>1756.2869935033505</v>
      </c>
      <c r="J127" s="83">
        <f t="shared" si="66"/>
        <v>1782.6312984059005</v>
      </c>
      <c r="K127" s="83">
        <f t="shared" si="66"/>
        <v>1914.7918946670281</v>
      </c>
      <c r="L127" s="83">
        <f t="shared" si="66"/>
        <v>2003.0014089157339</v>
      </c>
    </row>
    <row r="128" spans="2:12" x14ac:dyDescent="0.2">
      <c r="B128" s="49" t="s">
        <v>17</v>
      </c>
      <c r="C128" s="49"/>
      <c r="D128" s="49"/>
      <c r="E128" s="17">
        <v>1899.758</v>
      </c>
      <c r="F128" s="17">
        <v>2340.5018560000003</v>
      </c>
      <c r="G128" s="17">
        <v>2389.5061136100003</v>
      </c>
      <c r="H128" s="83">
        <f t="shared" si="66"/>
        <v>2508.9814192905005</v>
      </c>
      <c r="I128" s="83">
        <f t="shared" si="66"/>
        <v>2692.9733900384708</v>
      </c>
      <c r="J128" s="83">
        <f t="shared" si="66"/>
        <v>2786.6420296919823</v>
      </c>
      <c r="K128" s="83">
        <f t="shared" si="66"/>
        <v>2933.1456364000537</v>
      </c>
      <c r="L128" s="83">
        <f t="shared" si="66"/>
        <v>3089.8430255329172</v>
      </c>
    </row>
    <row r="129" spans="2:14" x14ac:dyDescent="0.2">
      <c r="B129" s="51" t="s">
        <v>18</v>
      </c>
      <c r="C129" s="51"/>
      <c r="D129" s="51"/>
      <c r="E129" s="25">
        <f>SUM(E119:E128)</f>
        <v>39487.827000000005</v>
      </c>
      <c r="F129" s="25">
        <f t="shared" ref="F129:L129" si="67">SUM(F119:F128)</f>
        <v>42012.008315200015</v>
      </c>
      <c r="G129" s="25">
        <f t="shared" si="67"/>
        <v>46515.719011608009</v>
      </c>
      <c r="H129" s="25">
        <f t="shared" si="67"/>
        <v>48518.125134813199</v>
      </c>
      <c r="I129" s="25">
        <f t="shared" si="67"/>
        <v>50889.39135175597</v>
      </c>
      <c r="J129" s="25">
        <f t="shared" si="67"/>
        <v>53590.951033762671</v>
      </c>
      <c r="K129" s="25">
        <f t="shared" si="67"/>
        <v>56180.615719983303</v>
      </c>
      <c r="L129" s="25">
        <f t="shared" si="67"/>
        <v>58994.83389476077</v>
      </c>
    </row>
    <row r="130" spans="2:14" ht="10.8" thickBot="1" x14ac:dyDescent="0.25">
      <c r="B130" s="53" t="s">
        <v>20</v>
      </c>
      <c r="C130" s="53"/>
      <c r="D130" s="53"/>
      <c r="E130" s="41">
        <f>E116-E129</f>
        <v>25646.732999999993</v>
      </c>
      <c r="F130" s="41">
        <f t="shared" ref="F130:L130" si="68">F116-F129</f>
        <v>25277.42004479999</v>
      </c>
      <c r="G130" s="41">
        <f t="shared" si="68"/>
        <v>28355.472548171987</v>
      </c>
      <c r="H130" s="41">
        <f t="shared" si="68"/>
        <v>30096.626002955811</v>
      </c>
      <c r="I130" s="41">
        <f t="shared" si="68"/>
        <v>31070.668345067053</v>
      </c>
      <c r="J130" s="41">
        <f t="shared" si="68"/>
        <v>32876.911946385619</v>
      </c>
      <c r="K130" s="41">
        <f t="shared" si="68"/>
        <v>34538.925356937681</v>
      </c>
      <c r="L130" s="41">
        <f t="shared" si="68"/>
        <v>36160.283162877662</v>
      </c>
    </row>
    <row r="131" spans="2:14" x14ac:dyDescent="0.2">
      <c r="B131" s="54" t="s">
        <v>85</v>
      </c>
      <c r="C131" s="54"/>
      <c r="D131" s="54"/>
      <c r="E131" s="17"/>
      <c r="F131" s="17"/>
      <c r="G131" s="17"/>
    </row>
    <row r="132" spans="2:14" x14ac:dyDescent="0.2">
      <c r="B132" s="49"/>
      <c r="C132" s="49"/>
      <c r="D132" s="49"/>
      <c r="E132" s="17"/>
      <c r="F132" s="17"/>
      <c r="G132" s="17"/>
    </row>
    <row r="133" spans="2:14" x14ac:dyDescent="0.2">
      <c r="B133" s="49" t="s">
        <v>21</v>
      </c>
      <c r="C133" s="49"/>
      <c r="D133" s="49"/>
      <c r="E133" s="17">
        <v>8684.6080000000002</v>
      </c>
      <c r="F133" s="17">
        <v>9800.8515220000008</v>
      </c>
      <c r="G133" s="17">
        <v>9717.3248620140002</v>
      </c>
      <c r="H133" s="83">
        <f>H29*H$114</f>
        <v>10704.987388972802</v>
      </c>
      <c r="I133" s="83">
        <f t="shared" ref="I133:L135" si="69">I29*I$114</f>
        <v>11240.236758421444</v>
      </c>
      <c r="J133" s="83">
        <f t="shared" si="69"/>
        <v>11617.838462024663</v>
      </c>
      <c r="K133" s="83">
        <f t="shared" si="69"/>
        <v>12327.817479148394</v>
      </c>
      <c r="L133" s="83">
        <f t="shared" si="69"/>
        <v>12921.618111651875</v>
      </c>
    </row>
    <row r="134" spans="2:14" x14ac:dyDescent="0.2">
      <c r="B134" s="50" t="s">
        <v>22</v>
      </c>
      <c r="C134" s="50"/>
      <c r="D134" s="50"/>
      <c r="E134" s="17">
        <v>0</v>
      </c>
      <c r="F134" s="17">
        <v>0</v>
      </c>
      <c r="G134" s="17">
        <v>0</v>
      </c>
      <c r="H134" s="83">
        <f>-H42</f>
        <v>0</v>
      </c>
      <c r="I134" s="83">
        <f t="shared" ref="I134:L134" si="70">-I42</f>
        <v>0</v>
      </c>
      <c r="J134" s="83">
        <f t="shared" si="70"/>
        <v>0</v>
      </c>
      <c r="K134" s="83">
        <f t="shared" si="70"/>
        <v>0</v>
      </c>
      <c r="L134" s="83">
        <f t="shared" si="70"/>
        <v>0</v>
      </c>
      <c r="N134" s="70" t="s">
        <v>106</v>
      </c>
    </row>
    <row r="135" spans="2:14" x14ac:dyDescent="0.2">
      <c r="B135" s="50" t="s">
        <v>75</v>
      </c>
      <c r="C135" s="50"/>
      <c r="D135" s="50"/>
      <c r="E135" s="17">
        <v>407.09100000000001</v>
      </c>
      <c r="F135" s="17">
        <v>585.12546400000008</v>
      </c>
      <c r="G135" s="17">
        <v>477.90122272200006</v>
      </c>
      <c r="H135" s="83">
        <f>H31*H$114</f>
        <v>557.55142650900018</v>
      </c>
      <c r="I135" s="83">
        <f t="shared" si="69"/>
        <v>604.94329776226516</v>
      </c>
      <c r="J135" s="83">
        <f t="shared" si="69"/>
        <v>601.04043777670211</v>
      </c>
      <c r="K135" s="83">
        <f t="shared" si="69"/>
        <v>647.82597185363875</v>
      </c>
      <c r="L135" s="83">
        <f t="shared" si="69"/>
        <v>681.05394605572565</v>
      </c>
    </row>
    <row r="136" spans="2:14" x14ac:dyDescent="0.2">
      <c r="B136" s="51" t="s">
        <v>23</v>
      </c>
      <c r="C136" s="51"/>
      <c r="D136" s="51"/>
      <c r="E136" s="22">
        <f>SUM(E133:E135)</f>
        <v>9091.6990000000005</v>
      </c>
      <c r="F136" s="22">
        <f t="shared" ref="F136:L136" si="71">SUM(F133:F135)</f>
        <v>10385.976986000001</v>
      </c>
      <c r="G136" s="22">
        <f t="shared" si="71"/>
        <v>10195.226084736001</v>
      </c>
      <c r="H136" s="22">
        <f t="shared" si="71"/>
        <v>11262.538815481803</v>
      </c>
      <c r="I136" s="22">
        <f t="shared" si="71"/>
        <v>11845.18005618371</v>
      </c>
      <c r="J136" s="22">
        <f t="shared" si="71"/>
        <v>12218.878899801366</v>
      </c>
      <c r="K136" s="22">
        <f t="shared" si="71"/>
        <v>12975.643451002034</v>
      </c>
      <c r="L136" s="22">
        <f t="shared" si="71"/>
        <v>13602.672057707601</v>
      </c>
    </row>
    <row r="137" spans="2:14" x14ac:dyDescent="0.2">
      <c r="B137" s="55" t="s">
        <v>24</v>
      </c>
      <c r="C137" s="55"/>
      <c r="D137" s="55"/>
      <c r="E137" s="12">
        <f>E130-E136</f>
        <v>16555.033999999992</v>
      </c>
      <c r="F137" s="12">
        <f t="shared" ref="F137:L137" si="72">F130-F136</f>
        <v>14891.443058799989</v>
      </c>
      <c r="G137" s="12">
        <f t="shared" si="72"/>
        <v>18160.246463435986</v>
      </c>
      <c r="H137" s="12">
        <f t="shared" si="72"/>
        <v>18834.087187474008</v>
      </c>
      <c r="I137" s="12">
        <f t="shared" si="72"/>
        <v>19225.488288883345</v>
      </c>
      <c r="J137" s="12">
        <f t="shared" si="72"/>
        <v>20658.033046584253</v>
      </c>
      <c r="K137" s="12">
        <f t="shared" si="72"/>
        <v>21563.281905935648</v>
      </c>
      <c r="L137" s="12">
        <f t="shared" si="72"/>
        <v>22557.611105170061</v>
      </c>
    </row>
    <row r="138" spans="2:14" x14ac:dyDescent="0.2">
      <c r="B138" s="52"/>
      <c r="C138" s="52"/>
      <c r="D138" s="52"/>
      <c r="E138" s="15"/>
      <c r="F138" s="15"/>
      <c r="G138" s="15"/>
    </row>
    <row r="139" spans="2:14" x14ac:dyDescent="0.2">
      <c r="B139" s="50" t="s">
        <v>25</v>
      </c>
      <c r="C139" s="50"/>
      <c r="D139" s="50"/>
      <c r="E139" s="17">
        <v>5794.2618999999968</v>
      </c>
      <c r="F139" s="17">
        <v>5212.0050705799958</v>
      </c>
      <c r="G139" s="17">
        <v>6356.0862622025943</v>
      </c>
      <c r="H139" s="84">
        <f>IF(H137&gt;0,H137*H33,0)</f>
        <v>6591.9305156159026</v>
      </c>
      <c r="I139" s="84">
        <f t="shared" ref="I139:L139" si="73">IF(I137&gt;0,I137*I33,0)</f>
        <v>6728.9209011091707</v>
      </c>
      <c r="J139" s="84">
        <f t="shared" si="73"/>
        <v>7230.3115663044882</v>
      </c>
      <c r="K139" s="84">
        <f t="shared" si="73"/>
        <v>7547.1486670774766</v>
      </c>
      <c r="L139" s="84">
        <f t="shared" si="73"/>
        <v>7895.1638868095206</v>
      </c>
    </row>
    <row r="140" spans="2:14" ht="10.8" thickBot="1" x14ac:dyDescent="0.25">
      <c r="B140" s="56" t="s">
        <v>26</v>
      </c>
      <c r="C140" s="56"/>
      <c r="D140" s="56"/>
      <c r="E140" s="24">
        <f>E137-E139</f>
        <v>10760.772099999995</v>
      </c>
      <c r="F140" s="24">
        <f t="shared" ref="F140:L140" si="74">F137-F139</f>
        <v>9679.4379882199937</v>
      </c>
      <c r="G140" s="24">
        <f t="shared" si="74"/>
        <v>11804.160201233391</v>
      </c>
      <c r="H140" s="24">
        <f t="shared" si="74"/>
        <v>12242.156671858105</v>
      </c>
      <c r="I140" s="24">
        <f t="shared" si="74"/>
        <v>12496.567387774176</v>
      </c>
      <c r="J140" s="24">
        <f t="shared" si="74"/>
        <v>13427.721480279764</v>
      </c>
      <c r="K140" s="24">
        <f t="shared" si="74"/>
        <v>14016.133238858172</v>
      </c>
      <c r="L140" s="24">
        <f t="shared" si="74"/>
        <v>14662.447218360539</v>
      </c>
    </row>
    <row r="141" spans="2:14" ht="10.8" thickTop="1" x14ac:dyDescent="0.2">
      <c r="B141" s="54" t="s">
        <v>86</v>
      </c>
      <c r="C141" s="54"/>
      <c r="D141" s="54"/>
      <c r="E141" s="4"/>
      <c r="F141" s="4"/>
      <c r="G141" s="4"/>
    </row>
    <row r="142" spans="2:14" x14ac:dyDescent="0.2">
      <c r="B142" s="57"/>
      <c r="C142" s="57"/>
      <c r="D142" s="57"/>
      <c r="E142" s="4"/>
      <c r="F142" s="4"/>
      <c r="G142" s="4"/>
    </row>
    <row r="143" spans="2:14" x14ac:dyDescent="0.2">
      <c r="B143" s="48" t="s">
        <v>27</v>
      </c>
      <c r="C143" s="48"/>
      <c r="D143" s="48"/>
      <c r="E143" s="36">
        <f>E$7</f>
        <v>2020</v>
      </c>
      <c r="F143" s="36">
        <f t="shared" ref="F143:L143" si="75">F$7</f>
        <v>2021</v>
      </c>
      <c r="G143" s="36">
        <f t="shared" si="75"/>
        <v>2022</v>
      </c>
      <c r="H143" s="36">
        <f t="shared" si="75"/>
        <v>2023</v>
      </c>
      <c r="I143" s="36">
        <f t="shared" si="75"/>
        <v>2024</v>
      </c>
      <c r="J143" s="36">
        <f t="shared" si="75"/>
        <v>2025</v>
      </c>
      <c r="K143" s="36">
        <f t="shared" si="75"/>
        <v>2026</v>
      </c>
      <c r="L143" s="36">
        <f t="shared" si="75"/>
        <v>2027</v>
      </c>
    </row>
    <row r="144" spans="2:14" x14ac:dyDescent="0.2">
      <c r="B144" s="58" t="s">
        <v>28</v>
      </c>
      <c r="C144" s="58"/>
      <c r="D144" s="58"/>
      <c r="E144" s="26"/>
      <c r="F144" s="26"/>
      <c r="G144" s="26"/>
    </row>
    <row r="145" spans="2:14" x14ac:dyDescent="0.2">
      <c r="B145" s="49" t="s">
        <v>29</v>
      </c>
      <c r="C145" s="49"/>
      <c r="D145" s="49"/>
      <c r="E145" s="17">
        <v>5359.1680999999953</v>
      </c>
      <c r="F145" s="17">
        <v>10473.380820219987</v>
      </c>
      <c r="G145" s="17">
        <v>16963.879512175379</v>
      </c>
      <c r="H145" s="83">
        <f>H191</f>
        <v>29258.041881967263</v>
      </c>
      <c r="I145" s="83">
        <f t="shared" ref="I145:L145" si="76">I191</f>
        <v>41662.6897910474</v>
      </c>
      <c r="J145" s="83">
        <f t="shared" si="76"/>
        <v>55216.878413374929</v>
      </c>
      <c r="K145" s="83">
        <f t="shared" si="76"/>
        <v>69198.047122266289</v>
      </c>
      <c r="L145" s="83">
        <f t="shared" si="76"/>
        <v>83926.168177171538</v>
      </c>
      <c r="N145" s="39" t="s">
        <v>45</v>
      </c>
    </row>
    <row r="146" spans="2:14" x14ac:dyDescent="0.2">
      <c r="B146" s="49" t="s">
        <v>30</v>
      </c>
      <c r="C146" s="49"/>
      <c r="D146" s="49"/>
      <c r="E146" s="17">
        <v>13705.397000000001</v>
      </c>
      <c r="F146" s="17">
        <v>15944.668894</v>
      </c>
      <c r="G146" s="17">
        <v>16567.242387696002</v>
      </c>
      <c r="H146" s="83">
        <f>H64</f>
        <v>17375.587991877503</v>
      </c>
      <c r="I146" s="83">
        <f t="shared" ref="I146:L146" si="77">I64</f>
        <v>18318.708783269518</v>
      </c>
      <c r="J146" s="83">
        <f t="shared" si="77"/>
        <v>19193.819018349648</v>
      </c>
      <c r="K146" s="83">
        <f t="shared" si="77"/>
        <v>20150.909449801526</v>
      </c>
      <c r="L146" s="83">
        <f t="shared" si="77"/>
        <v>21179.136249256284</v>
      </c>
      <c r="N146" s="39" t="s">
        <v>126</v>
      </c>
    </row>
    <row r="147" spans="2:14" x14ac:dyDescent="0.2">
      <c r="B147" s="49" t="s">
        <v>31</v>
      </c>
      <c r="C147" s="49"/>
      <c r="D147" s="49"/>
      <c r="E147" s="17">
        <v>0</v>
      </c>
      <c r="F147" s="17">
        <v>0</v>
      </c>
      <c r="G147" s="17">
        <v>0</v>
      </c>
      <c r="H147" s="83">
        <f>G147</f>
        <v>0</v>
      </c>
      <c r="I147" s="83">
        <f t="shared" ref="I147:L147" si="78">H147</f>
        <v>0</v>
      </c>
      <c r="J147" s="83">
        <f t="shared" si="78"/>
        <v>0</v>
      </c>
      <c r="K147" s="83">
        <f t="shared" si="78"/>
        <v>0</v>
      </c>
      <c r="L147" s="83">
        <f t="shared" si="78"/>
        <v>0</v>
      </c>
      <c r="N147" s="39" t="s">
        <v>152</v>
      </c>
    </row>
    <row r="148" spans="2:14" x14ac:dyDescent="0.2">
      <c r="B148" s="49" t="s">
        <v>32</v>
      </c>
      <c r="C148" s="49"/>
      <c r="D148" s="49"/>
      <c r="E148" s="17">
        <v>11534.245000000001</v>
      </c>
      <c r="F148" s="17">
        <v>11848.790646000001</v>
      </c>
      <c r="G148" s="17">
        <v>13381.234236216002</v>
      </c>
      <c r="H148" s="83">
        <f>H72</f>
        <v>13867.773018548443</v>
      </c>
      <c r="I148" s="83">
        <f t="shared" ref="I148:L148" si="79">I72</f>
        <v>14304.975866605866</v>
      </c>
      <c r="J148" s="83">
        <f t="shared" si="79"/>
        <v>15310.770646165463</v>
      </c>
      <c r="K148" s="83">
        <f t="shared" si="79"/>
        <v>15924.556707252996</v>
      </c>
      <c r="L148" s="83">
        <f t="shared" si="79"/>
        <v>16762.94861280128</v>
      </c>
      <c r="N148" s="39" t="s">
        <v>126</v>
      </c>
    </row>
    <row r="149" spans="2:14" x14ac:dyDescent="0.2">
      <c r="B149" s="49" t="s">
        <v>33</v>
      </c>
      <c r="C149" s="49"/>
      <c r="D149" s="49"/>
      <c r="E149" s="17">
        <v>22844</v>
      </c>
      <c r="F149" s="17">
        <v>27159</v>
      </c>
      <c r="G149" s="17">
        <v>32658</v>
      </c>
      <c r="H149" s="83">
        <f>H90</f>
        <v>32658</v>
      </c>
      <c r="I149" s="83">
        <f t="shared" ref="I149:L149" si="80">I90</f>
        <v>32658</v>
      </c>
      <c r="J149" s="83">
        <f t="shared" si="80"/>
        <v>32658</v>
      </c>
      <c r="K149" s="83">
        <f t="shared" si="80"/>
        <v>32658</v>
      </c>
      <c r="L149" s="83">
        <f t="shared" si="80"/>
        <v>32658</v>
      </c>
      <c r="N149" s="39" t="s">
        <v>153</v>
      </c>
    </row>
    <row r="150" spans="2:14" x14ac:dyDescent="0.2">
      <c r="B150" s="49" t="s">
        <v>76</v>
      </c>
      <c r="C150" s="49"/>
      <c r="D150" s="49"/>
      <c r="E150" s="17">
        <v>0</v>
      </c>
      <c r="F150" s="17">
        <v>0</v>
      </c>
      <c r="G150" s="17">
        <v>0</v>
      </c>
      <c r="H150" s="83">
        <f>H96</f>
        <v>0</v>
      </c>
      <c r="I150" s="83">
        <f t="shared" ref="I150:L150" si="81">I96</f>
        <v>0</v>
      </c>
      <c r="J150" s="83">
        <f t="shared" si="81"/>
        <v>0</v>
      </c>
      <c r="K150" s="83">
        <f t="shared" si="81"/>
        <v>0</v>
      </c>
      <c r="L150" s="83">
        <f t="shared" si="81"/>
        <v>0</v>
      </c>
      <c r="N150" s="39" t="s">
        <v>154</v>
      </c>
    </row>
    <row r="151" spans="2:14" x14ac:dyDescent="0.2">
      <c r="B151" s="49" t="s">
        <v>77</v>
      </c>
      <c r="C151" s="49"/>
      <c r="D151" s="49"/>
      <c r="E151" s="17">
        <v>0</v>
      </c>
      <c r="F151" s="17">
        <v>0</v>
      </c>
      <c r="G151" s="17">
        <v>0</v>
      </c>
      <c r="H151" s="83">
        <f>G151</f>
        <v>0</v>
      </c>
      <c r="I151" s="83">
        <f t="shared" ref="I151:L151" si="82">H151</f>
        <v>0</v>
      </c>
      <c r="J151" s="83">
        <f t="shared" si="82"/>
        <v>0</v>
      </c>
      <c r="K151" s="83">
        <f t="shared" si="82"/>
        <v>0</v>
      </c>
      <c r="L151" s="83">
        <f t="shared" si="82"/>
        <v>0</v>
      </c>
      <c r="N151" s="39" t="s">
        <v>152</v>
      </c>
    </row>
    <row r="152" spans="2:14" ht="10.8" thickBot="1" x14ac:dyDescent="0.25">
      <c r="B152" s="56" t="s">
        <v>34</v>
      </c>
      <c r="C152" s="56"/>
      <c r="D152" s="56"/>
      <c r="E152" s="24">
        <f>SUM(E145:E151)</f>
        <v>53442.810099999995</v>
      </c>
      <c r="F152" s="24">
        <f t="shared" ref="F152:L152" si="83">SUM(F145:F151)</f>
        <v>65425.840360219991</v>
      </c>
      <c r="G152" s="24">
        <f t="shared" si="83"/>
        <v>79570.356136087386</v>
      </c>
      <c r="H152" s="24">
        <f t="shared" si="83"/>
        <v>93159.402892393206</v>
      </c>
      <c r="I152" s="24">
        <f t="shared" si="83"/>
        <v>106944.37444092278</v>
      </c>
      <c r="J152" s="24">
        <f t="shared" si="83"/>
        <v>122379.46807789004</v>
      </c>
      <c r="K152" s="24">
        <f t="shared" si="83"/>
        <v>137931.51327932079</v>
      </c>
      <c r="L152" s="24">
        <f t="shared" si="83"/>
        <v>154526.25303922908</v>
      </c>
    </row>
    <row r="153" spans="2:14" ht="10.8" thickTop="1" x14ac:dyDescent="0.2">
      <c r="B153" s="52"/>
      <c r="C153" s="52"/>
      <c r="D153" s="52"/>
      <c r="E153" s="15"/>
      <c r="F153" s="15"/>
      <c r="G153" s="15"/>
    </row>
    <row r="154" spans="2:14" x14ac:dyDescent="0.2">
      <c r="B154" s="58" t="s">
        <v>35</v>
      </c>
      <c r="C154" s="58"/>
      <c r="D154" s="58"/>
      <c r="E154" s="26"/>
      <c r="F154" s="26"/>
      <c r="G154" s="26"/>
    </row>
    <row r="155" spans="2:14" x14ac:dyDescent="0.2">
      <c r="B155" s="49" t="s">
        <v>36</v>
      </c>
      <c r="C155" s="49"/>
      <c r="D155" s="49"/>
      <c r="E155" s="17">
        <v>25782.43</v>
      </c>
      <c r="F155" s="17">
        <v>28086.022272000002</v>
      </c>
      <c r="G155" s="17">
        <v>30426.377846634005</v>
      </c>
      <c r="H155" s="83">
        <f>H80</f>
        <v>31773.267931081729</v>
      </c>
      <c r="I155" s="83">
        <f t="shared" ref="I155:L155" si="84">I80</f>
        <v>33061.672091837128</v>
      </c>
      <c r="J155" s="83">
        <f t="shared" si="84"/>
        <v>35069.044248524617</v>
      </c>
      <c r="K155" s="83">
        <f t="shared" si="84"/>
        <v>36604.956211097218</v>
      </c>
      <c r="L155" s="83">
        <f t="shared" si="84"/>
        <v>38537.248752644969</v>
      </c>
      <c r="N155" s="39" t="s">
        <v>126</v>
      </c>
    </row>
    <row r="156" spans="2:14" x14ac:dyDescent="0.2">
      <c r="B156" s="49" t="s">
        <v>37</v>
      </c>
      <c r="C156" s="49"/>
      <c r="D156" s="49"/>
      <c r="E156" s="17">
        <v>0</v>
      </c>
      <c r="F156" s="17">
        <v>0</v>
      </c>
      <c r="G156" s="17">
        <v>0</v>
      </c>
      <c r="H156" s="83">
        <f>G156</f>
        <v>0</v>
      </c>
      <c r="I156" s="83">
        <f t="shared" ref="I156:L156" si="85">H156</f>
        <v>0</v>
      </c>
      <c r="J156" s="83">
        <f t="shared" si="85"/>
        <v>0</v>
      </c>
      <c r="K156" s="83">
        <f t="shared" si="85"/>
        <v>0</v>
      </c>
      <c r="L156" s="83">
        <f t="shared" si="85"/>
        <v>0</v>
      </c>
      <c r="N156" s="39" t="s">
        <v>152</v>
      </c>
    </row>
    <row r="157" spans="2:14" x14ac:dyDescent="0.2">
      <c r="B157" s="49" t="s">
        <v>38</v>
      </c>
      <c r="C157" s="49"/>
      <c r="D157" s="49"/>
      <c r="E157" s="17">
        <v>0</v>
      </c>
      <c r="F157" s="17">
        <v>0</v>
      </c>
      <c r="G157" s="17">
        <v>0</v>
      </c>
      <c r="H157" s="83">
        <f>H40</f>
        <v>0</v>
      </c>
      <c r="I157" s="83">
        <f t="shared" ref="I157:L157" si="86">I40</f>
        <v>0</v>
      </c>
      <c r="J157" s="83">
        <f t="shared" si="86"/>
        <v>0</v>
      </c>
      <c r="K157" s="83">
        <f t="shared" si="86"/>
        <v>0</v>
      </c>
      <c r="L157" s="83">
        <f t="shared" si="86"/>
        <v>0</v>
      </c>
      <c r="N157" s="39" t="s">
        <v>106</v>
      </c>
    </row>
    <row r="158" spans="2:14" x14ac:dyDescent="0.2">
      <c r="B158" s="44" t="s">
        <v>87</v>
      </c>
      <c r="C158" s="44"/>
      <c r="D158" s="44"/>
      <c r="E158" s="17">
        <v>0</v>
      </c>
      <c r="F158" s="17">
        <v>0</v>
      </c>
      <c r="G158" s="17">
        <v>0</v>
      </c>
      <c r="H158" s="83">
        <f>G158</f>
        <v>0</v>
      </c>
      <c r="I158" s="83">
        <f t="shared" ref="I158:L158" si="87">H158</f>
        <v>0</v>
      </c>
      <c r="J158" s="83">
        <f t="shared" si="87"/>
        <v>0</v>
      </c>
      <c r="K158" s="83">
        <f t="shared" si="87"/>
        <v>0</v>
      </c>
      <c r="L158" s="83">
        <f t="shared" si="87"/>
        <v>0</v>
      </c>
      <c r="N158" s="39" t="s">
        <v>152</v>
      </c>
    </row>
    <row r="159" spans="2:14" x14ac:dyDescent="0.2">
      <c r="B159" s="55" t="s">
        <v>39</v>
      </c>
      <c r="C159" s="55"/>
      <c r="D159" s="55"/>
      <c r="E159" s="12">
        <f>SUM(E155:E158)</f>
        <v>25782.43</v>
      </c>
      <c r="F159" s="12">
        <f t="shared" ref="F159:L159" si="88">SUM(F155:F158)</f>
        <v>28086.022272000002</v>
      </c>
      <c r="G159" s="12">
        <f t="shared" si="88"/>
        <v>30426.377846634005</v>
      </c>
      <c r="H159" s="12">
        <f t="shared" si="88"/>
        <v>31773.267931081729</v>
      </c>
      <c r="I159" s="12">
        <f t="shared" si="88"/>
        <v>33061.672091837128</v>
      </c>
      <c r="J159" s="12">
        <f t="shared" si="88"/>
        <v>35069.044248524617</v>
      </c>
      <c r="K159" s="12">
        <f t="shared" si="88"/>
        <v>36604.956211097218</v>
      </c>
      <c r="L159" s="12">
        <f t="shared" si="88"/>
        <v>38537.248752644969</v>
      </c>
    </row>
    <row r="160" spans="2:14" x14ac:dyDescent="0.2">
      <c r="B160" s="58" t="s">
        <v>40</v>
      </c>
      <c r="C160" s="58"/>
      <c r="D160" s="58"/>
      <c r="E160" s="26"/>
      <c r="F160" s="26"/>
      <c r="G160" s="26"/>
    </row>
    <row r="161" spans="2:14" x14ac:dyDescent="0.2">
      <c r="B161" s="49" t="s">
        <v>41</v>
      </c>
      <c r="C161" s="49"/>
      <c r="D161" s="49"/>
      <c r="E161" s="17">
        <v>5000</v>
      </c>
      <c r="F161" s="17">
        <v>5000</v>
      </c>
      <c r="G161" s="17">
        <v>5000</v>
      </c>
      <c r="H161" s="83">
        <f>H102</f>
        <v>5000</v>
      </c>
      <c r="I161" s="83">
        <f t="shared" ref="I161:L161" si="89">I102</f>
        <v>5000</v>
      </c>
      <c r="J161" s="83">
        <f t="shared" si="89"/>
        <v>5000</v>
      </c>
      <c r="K161" s="83">
        <f t="shared" si="89"/>
        <v>5000</v>
      </c>
      <c r="L161" s="83">
        <f t="shared" si="89"/>
        <v>5000</v>
      </c>
      <c r="N161" s="39" t="s">
        <v>144</v>
      </c>
    </row>
    <row r="162" spans="2:14" x14ac:dyDescent="0.2">
      <c r="B162" s="49" t="s">
        <v>42</v>
      </c>
      <c r="C162" s="49"/>
      <c r="D162" s="49"/>
      <c r="E162" s="17">
        <v>22660</v>
      </c>
      <c r="F162" s="17">
        <v>32339.437988219994</v>
      </c>
      <c r="G162" s="17">
        <v>44143.598189453383</v>
      </c>
      <c r="H162" s="83">
        <f>H107</f>
        <v>56385.754861311492</v>
      </c>
      <c r="I162" s="83">
        <f t="shared" ref="I162:L162" si="90">I107</f>
        <v>68882.322249085672</v>
      </c>
      <c r="J162" s="83">
        <f t="shared" si="90"/>
        <v>82310.04372936544</v>
      </c>
      <c r="K162" s="83">
        <f t="shared" si="90"/>
        <v>96326.176968223619</v>
      </c>
      <c r="L162" s="83">
        <f t="shared" si="90"/>
        <v>110988.62418658416</v>
      </c>
      <c r="N162" s="39" t="s">
        <v>144</v>
      </c>
    </row>
    <row r="163" spans="2:14" x14ac:dyDescent="0.2">
      <c r="B163" s="51" t="s">
        <v>40</v>
      </c>
      <c r="C163" s="51"/>
      <c r="D163" s="51"/>
      <c r="E163" s="22">
        <f>SUM(E161:E162)</f>
        <v>27660</v>
      </c>
      <c r="F163" s="22">
        <f t="shared" ref="F163:L163" si="91">SUM(F161:F162)</f>
        <v>37339.437988219994</v>
      </c>
      <c r="G163" s="22">
        <f t="shared" si="91"/>
        <v>49143.598189453383</v>
      </c>
      <c r="H163" s="22">
        <f t="shared" si="91"/>
        <v>61385.754861311492</v>
      </c>
      <c r="I163" s="22">
        <f t="shared" si="91"/>
        <v>73882.322249085672</v>
      </c>
      <c r="J163" s="22">
        <f t="shared" si="91"/>
        <v>87310.04372936544</v>
      </c>
      <c r="K163" s="22">
        <f t="shared" si="91"/>
        <v>101326.17696822362</v>
      </c>
      <c r="L163" s="22">
        <f t="shared" si="91"/>
        <v>115988.62418658416</v>
      </c>
    </row>
    <row r="164" spans="2:14" ht="10.8" thickBot="1" x14ac:dyDescent="0.25">
      <c r="B164" s="56" t="s">
        <v>43</v>
      </c>
      <c r="C164" s="56"/>
      <c r="D164" s="56"/>
      <c r="E164" s="24">
        <f>E159+E163</f>
        <v>53442.43</v>
      </c>
      <c r="F164" s="24">
        <f t="shared" ref="F164:L164" si="92">F159+F163</f>
        <v>65425.460260219996</v>
      </c>
      <c r="G164" s="24">
        <f t="shared" si="92"/>
        <v>79569.976036087392</v>
      </c>
      <c r="H164" s="24">
        <f t="shared" si="92"/>
        <v>93159.022792393225</v>
      </c>
      <c r="I164" s="24">
        <f t="shared" si="92"/>
        <v>106943.9943409228</v>
      </c>
      <c r="J164" s="24">
        <f t="shared" si="92"/>
        <v>122379.08797789006</v>
      </c>
      <c r="K164" s="24">
        <f t="shared" si="92"/>
        <v>137931.13317932084</v>
      </c>
      <c r="L164" s="24">
        <f t="shared" si="92"/>
        <v>154525.87293922913</v>
      </c>
    </row>
    <row r="165" spans="2:14" ht="10.8" thickTop="1" x14ac:dyDescent="0.2">
      <c r="B165" s="49"/>
      <c r="C165" s="49"/>
      <c r="D165" s="49"/>
      <c r="E165" s="26"/>
      <c r="F165" s="26"/>
      <c r="G165" s="26"/>
      <c r="H165" s="26"/>
      <c r="I165" s="26"/>
      <c r="J165" s="26"/>
      <c r="K165" s="26"/>
      <c r="L165" s="26"/>
    </row>
    <row r="166" spans="2:14" x14ac:dyDescent="0.2">
      <c r="B166" s="59" t="s">
        <v>44</v>
      </c>
      <c r="C166" s="59"/>
      <c r="D166" s="59"/>
      <c r="E166" s="5">
        <f>E164-E152</f>
        <v>-0.38009999999485444</v>
      </c>
      <c r="F166" s="5">
        <f>F164-F152</f>
        <v>-0.38009999999485444</v>
      </c>
      <c r="G166" s="5">
        <f>G164-G152</f>
        <v>-0.38009999999485444</v>
      </c>
      <c r="H166" s="5">
        <f t="shared" ref="H166:L166" si="93">H164-H152</f>
        <v>-0.38009999998030253</v>
      </c>
      <c r="I166" s="5">
        <f t="shared" si="93"/>
        <v>-0.38009999998030253</v>
      </c>
      <c r="J166" s="5">
        <f t="shared" si="93"/>
        <v>-0.38009999998030253</v>
      </c>
      <c r="K166" s="5">
        <f t="shared" si="93"/>
        <v>-0.3800999999511987</v>
      </c>
      <c r="L166" s="5">
        <f t="shared" si="93"/>
        <v>-0.3800999999511987</v>
      </c>
    </row>
    <row r="167" spans="2:14" x14ac:dyDescent="0.2">
      <c r="B167" s="59"/>
      <c r="C167" s="59"/>
      <c r="D167" s="59"/>
      <c r="E167" s="5"/>
      <c r="F167" s="5"/>
      <c r="G167" s="5"/>
    </row>
    <row r="168" spans="2:14" x14ac:dyDescent="0.2">
      <c r="B168" s="59"/>
      <c r="C168" s="59"/>
      <c r="D168" s="59"/>
      <c r="E168" s="5"/>
      <c r="F168" s="5"/>
      <c r="G168" s="5"/>
    </row>
    <row r="169" spans="2:14" x14ac:dyDescent="0.2">
      <c r="B169" s="60" t="s">
        <v>45</v>
      </c>
      <c r="C169" s="60"/>
      <c r="D169" s="60"/>
      <c r="E169" s="36">
        <f>E$7</f>
        <v>2020</v>
      </c>
      <c r="F169" s="36">
        <f t="shared" ref="F169:L169" si="94">F$7</f>
        <v>2021</v>
      </c>
      <c r="G169" s="36">
        <f t="shared" si="94"/>
        <v>2022</v>
      </c>
      <c r="H169" s="36">
        <f t="shared" si="94"/>
        <v>2023</v>
      </c>
      <c r="I169" s="36">
        <f t="shared" si="94"/>
        <v>2024</v>
      </c>
      <c r="J169" s="36">
        <f t="shared" si="94"/>
        <v>2025</v>
      </c>
      <c r="K169" s="36">
        <f t="shared" si="94"/>
        <v>2026</v>
      </c>
      <c r="L169" s="36">
        <f t="shared" si="94"/>
        <v>2027</v>
      </c>
    </row>
    <row r="170" spans="2:14" x14ac:dyDescent="0.2">
      <c r="B170" s="58" t="s">
        <v>46</v>
      </c>
      <c r="C170" s="58"/>
      <c r="D170" s="58"/>
      <c r="E170" s="26"/>
      <c r="F170" s="26"/>
      <c r="G170" s="26"/>
    </row>
    <row r="171" spans="2:14" x14ac:dyDescent="0.2">
      <c r="B171" s="49" t="s">
        <v>26</v>
      </c>
      <c r="C171" s="49"/>
      <c r="D171" s="49"/>
      <c r="E171" s="17">
        <v>10760.772099999995</v>
      </c>
      <c r="F171" s="17">
        <v>9679.4379882199937</v>
      </c>
      <c r="G171" s="17">
        <v>11804.160201233391</v>
      </c>
      <c r="H171" s="83">
        <f>H140</f>
        <v>12242.156671858105</v>
      </c>
      <c r="I171" s="83">
        <f t="shared" ref="I171:L171" si="95">I140</f>
        <v>12496.567387774176</v>
      </c>
      <c r="J171" s="83">
        <f t="shared" si="95"/>
        <v>13427.721480279764</v>
      </c>
      <c r="K171" s="83">
        <f t="shared" si="95"/>
        <v>14016.133238858172</v>
      </c>
      <c r="L171" s="83">
        <f t="shared" si="95"/>
        <v>14662.447218360539</v>
      </c>
    </row>
    <row r="172" spans="2:14" x14ac:dyDescent="0.2">
      <c r="B172" s="49" t="s">
        <v>47</v>
      </c>
      <c r="C172" s="49"/>
      <c r="D172" s="49"/>
      <c r="E172" s="17">
        <v>8684.6080000000002</v>
      </c>
      <c r="F172" s="17">
        <v>9800.8515220000008</v>
      </c>
      <c r="G172" s="17">
        <v>9717.3248620140002</v>
      </c>
      <c r="H172" s="83">
        <f>H133</f>
        <v>10704.987388972802</v>
      </c>
      <c r="I172" s="83">
        <f t="shared" ref="I172:L173" si="96">I133</f>
        <v>11240.236758421444</v>
      </c>
      <c r="J172" s="83">
        <f t="shared" si="96"/>
        <v>11617.838462024663</v>
      </c>
      <c r="K172" s="83">
        <f t="shared" si="96"/>
        <v>12327.817479148394</v>
      </c>
      <c r="L172" s="83">
        <f t="shared" si="96"/>
        <v>12921.618111651875</v>
      </c>
    </row>
    <row r="173" spans="2:14" x14ac:dyDescent="0.2">
      <c r="B173" s="49" t="s">
        <v>48</v>
      </c>
      <c r="C173" s="49"/>
      <c r="D173" s="49"/>
      <c r="E173" s="17">
        <v>0</v>
      </c>
      <c r="F173" s="17">
        <v>0</v>
      </c>
      <c r="G173" s="17">
        <v>0</v>
      </c>
      <c r="H173" s="83">
        <f>H134</f>
        <v>0</v>
      </c>
      <c r="I173" s="83">
        <f t="shared" si="96"/>
        <v>0</v>
      </c>
      <c r="J173" s="83">
        <f t="shared" si="96"/>
        <v>0</v>
      </c>
      <c r="K173" s="83">
        <f t="shared" si="96"/>
        <v>0</v>
      </c>
      <c r="L173" s="83">
        <f t="shared" si="96"/>
        <v>0</v>
      </c>
    </row>
    <row r="174" spans="2:14" x14ac:dyDescent="0.2">
      <c r="B174" s="49" t="s">
        <v>49</v>
      </c>
      <c r="C174" s="49"/>
      <c r="D174" s="49"/>
      <c r="E174" s="17">
        <v>-542.78800000000047</v>
      </c>
      <c r="F174" s="17">
        <v>250.22526800000196</v>
      </c>
      <c r="G174" s="17">
        <v>-185.33849072200246</v>
      </c>
      <c r="H174" s="83">
        <f>H83</f>
        <v>-52.005697933782358</v>
      </c>
      <c r="I174" s="83">
        <f t="shared" ref="I174:L174" si="97">I83</f>
        <v>91.919478694038844</v>
      </c>
      <c r="J174" s="83">
        <f t="shared" si="97"/>
        <v>-126.46714204776436</v>
      </c>
      <c r="K174" s="83">
        <f t="shared" si="97"/>
        <v>34.964529966811824</v>
      </c>
      <c r="L174" s="83">
        <f t="shared" si="97"/>
        <v>-65.673836544709047</v>
      </c>
    </row>
    <row r="175" spans="2:14" x14ac:dyDescent="0.2">
      <c r="B175" s="51" t="s">
        <v>50</v>
      </c>
      <c r="C175" s="51"/>
      <c r="D175" s="51"/>
      <c r="E175" s="22">
        <f>E171+E172+E173-E174</f>
        <v>19988.168099999995</v>
      </c>
      <c r="F175" s="22">
        <f t="shared" ref="F175:L175" si="98">F171+F172+F173-F174</f>
        <v>19230.064242219993</v>
      </c>
      <c r="G175" s="22">
        <f t="shared" si="98"/>
        <v>21706.823553969392</v>
      </c>
      <c r="H175" s="22">
        <f t="shared" si="98"/>
        <v>22999.149758764688</v>
      </c>
      <c r="I175" s="22">
        <f t="shared" si="98"/>
        <v>23644.884667501581</v>
      </c>
      <c r="J175" s="22">
        <f t="shared" si="98"/>
        <v>25172.02708435219</v>
      </c>
      <c r="K175" s="22">
        <f t="shared" si="98"/>
        <v>26308.986188039755</v>
      </c>
      <c r="L175" s="22">
        <f t="shared" si="98"/>
        <v>27649.739166557123</v>
      </c>
    </row>
    <row r="176" spans="2:14" x14ac:dyDescent="0.2">
      <c r="B176" s="52"/>
      <c r="C176" s="52"/>
      <c r="D176" s="52"/>
      <c r="E176" s="15"/>
      <c r="F176" s="15"/>
      <c r="G176" s="15"/>
    </row>
    <row r="177" spans="2:12" x14ac:dyDescent="0.2">
      <c r="B177" s="58" t="s">
        <v>51</v>
      </c>
      <c r="C177" s="58"/>
      <c r="D177" s="58"/>
      <c r="E177" s="31"/>
      <c r="F177" s="31"/>
      <c r="G177" s="31"/>
    </row>
    <row r="178" spans="2:12" x14ac:dyDescent="0.2">
      <c r="B178" s="49" t="s">
        <v>52</v>
      </c>
      <c r="C178" s="49"/>
      <c r="D178" s="49"/>
      <c r="E178" s="10">
        <v>-21587</v>
      </c>
      <c r="F178" s="10">
        <v>-14115.851522000001</v>
      </c>
      <c r="G178" s="10">
        <v>-15216.324862014</v>
      </c>
      <c r="H178" s="83">
        <f>-H89</f>
        <v>-10704.987388972802</v>
      </c>
      <c r="I178" s="83">
        <f t="shared" ref="I178:L178" si="99">-I89</f>
        <v>-11240.236758421444</v>
      </c>
      <c r="J178" s="83">
        <f t="shared" si="99"/>
        <v>-11617.838462024663</v>
      </c>
      <c r="K178" s="83">
        <f t="shared" si="99"/>
        <v>-12327.817479148394</v>
      </c>
      <c r="L178" s="83">
        <f t="shared" si="99"/>
        <v>-12921.618111651875</v>
      </c>
    </row>
    <row r="179" spans="2:12" x14ac:dyDescent="0.2">
      <c r="B179" s="49" t="s">
        <v>78</v>
      </c>
      <c r="C179" s="49"/>
      <c r="D179" s="49"/>
      <c r="E179" s="17">
        <v>0</v>
      </c>
      <c r="F179" s="17">
        <v>0</v>
      </c>
      <c r="G179" s="17">
        <v>0</v>
      </c>
      <c r="H179" s="84">
        <f>-H95</f>
        <v>0</v>
      </c>
      <c r="I179" s="84">
        <f t="shared" ref="I179:L179" si="100">-I95</f>
        <v>0</v>
      </c>
      <c r="J179" s="84">
        <f t="shared" si="100"/>
        <v>0</v>
      </c>
      <c r="K179" s="84">
        <f t="shared" si="100"/>
        <v>0</v>
      </c>
      <c r="L179" s="84">
        <f t="shared" si="100"/>
        <v>0</v>
      </c>
    </row>
    <row r="180" spans="2:12" x14ac:dyDescent="0.2">
      <c r="B180" s="49" t="s">
        <v>79</v>
      </c>
      <c r="C180" s="49"/>
      <c r="D180" s="49"/>
      <c r="E180" s="17">
        <v>0</v>
      </c>
      <c r="F180" s="17">
        <v>0</v>
      </c>
      <c r="G180" s="17">
        <v>0</v>
      </c>
      <c r="H180" s="129"/>
      <c r="I180" s="129"/>
      <c r="J180" s="129"/>
      <c r="K180" s="129"/>
      <c r="L180" s="129"/>
    </row>
    <row r="181" spans="2:12" x14ac:dyDescent="0.2">
      <c r="B181" s="49" t="s">
        <v>88</v>
      </c>
      <c r="C181" s="49"/>
      <c r="D181" s="49"/>
      <c r="E181" s="10">
        <v>0</v>
      </c>
      <c r="F181" s="10">
        <v>0</v>
      </c>
      <c r="G181" s="10">
        <v>0</v>
      </c>
      <c r="H181" s="83">
        <f>-H106</f>
        <v>0</v>
      </c>
      <c r="I181" s="83">
        <f t="shared" ref="I181:L181" si="101">-I106</f>
        <v>0</v>
      </c>
      <c r="J181" s="83">
        <f t="shared" si="101"/>
        <v>0</v>
      </c>
      <c r="K181" s="83">
        <f t="shared" si="101"/>
        <v>0</v>
      </c>
      <c r="L181" s="83">
        <f t="shared" si="101"/>
        <v>0</v>
      </c>
    </row>
    <row r="182" spans="2:12" x14ac:dyDescent="0.2">
      <c r="B182" s="61" t="s">
        <v>54</v>
      </c>
      <c r="C182" s="61"/>
      <c r="D182" s="61"/>
      <c r="E182" s="22">
        <f>SUM(E178:E181)</f>
        <v>-21587</v>
      </c>
      <c r="F182" s="22">
        <f t="shared" ref="F182:L182" si="102">SUM(F178:F181)</f>
        <v>-14115.851522000001</v>
      </c>
      <c r="G182" s="22">
        <f t="shared" si="102"/>
        <v>-15216.324862014</v>
      </c>
      <c r="H182" s="22">
        <f t="shared" si="102"/>
        <v>-10704.987388972802</v>
      </c>
      <c r="I182" s="22">
        <f t="shared" si="102"/>
        <v>-11240.236758421444</v>
      </c>
      <c r="J182" s="22">
        <f t="shared" si="102"/>
        <v>-11617.838462024663</v>
      </c>
      <c r="K182" s="22">
        <f t="shared" si="102"/>
        <v>-12327.817479148394</v>
      </c>
      <c r="L182" s="22">
        <f t="shared" si="102"/>
        <v>-12921.618111651875</v>
      </c>
    </row>
    <row r="183" spans="2:12" x14ac:dyDescent="0.2">
      <c r="B183" s="52"/>
      <c r="C183" s="52"/>
      <c r="D183" s="52"/>
      <c r="E183" s="15"/>
      <c r="F183" s="15"/>
      <c r="G183" s="15"/>
    </row>
    <row r="184" spans="2:12" x14ac:dyDescent="0.2">
      <c r="B184" s="58" t="s">
        <v>55</v>
      </c>
      <c r="C184" s="58"/>
      <c r="D184" s="58"/>
      <c r="E184" s="31"/>
      <c r="F184" s="31"/>
      <c r="G184" s="31"/>
    </row>
    <row r="185" spans="2:12" x14ac:dyDescent="0.2">
      <c r="B185" s="49" t="s">
        <v>56</v>
      </c>
      <c r="C185" s="49"/>
      <c r="D185" s="49"/>
      <c r="E185" s="10">
        <v>0</v>
      </c>
      <c r="F185" s="10">
        <v>0</v>
      </c>
      <c r="G185" s="10">
        <v>0</v>
      </c>
      <c r="H185" s="83">
        <f>H39+H42</f>
        <v>0</v>
      </c>
      <c r="I185" s="83">
        <f t="shared" ref="I185:L185" si="103">I39+I42</f>
        <v>0</v>
      </c>
      <c r="J185" s="83">
        <f t="shared" si="103"/>
        <v>0</v>
      </c>
      <c r="K185" s="83">
        <f t="shared" si="103"/>
        <v>0</v>
      </c>
      <c r="L185" s="83">
        <f t="shared" si="103"/>
        <v>0</v>
      </c>
    </row>
    <row r="186" spans="2:12" x14ac:dyDescent="0.2">
      <c r="B186" s="49" t="s">
        <v>57</v>
      </c>
      <c r="C186" s="49"/>
      <c r="D186" s="49"/>
      <c r="E186" s="10">
        <v>0</v>
      </c>
      <c r="F186" s="10">
        <v>0</v>
      </c>
      <c r="G186" s="10">
        <v>0</v>
      </c>
      <c r="H186" s="83">
        <f>H101</f>
        <v>0</v>
      </c>
      <c r="I186" s="83">
        <f t="shared" ref="I186:L186" si="104">I101</f>
        <v>0</v>
      </c>
      <c r="J186" s="83">
        <f t="shared" si="104"/>
        <v>0</v>
      </c>
      <c r="K186" s="83">
        <f t="shared" si="104"/>
        <v>0</v>
      </c>
      <c r="L186" s="83">
        <f t="shared" si="104"/>
        <v>0</v>
      </c>
    </row>
    <row r="187" spans="2:12" x14ac:dyDescent="0.2">
      <c r="B187" s="61" t="s">
        <v>58</v>
      </c>
      <c r="C187" s="61"/>
      <c r="D187" s="61"/>
      <c r="E187" s="22">
        <f>SUM(E185:E186)</f>
        <v>0</v>
      </c>
      <c r="F187" s="22">
        <f t="shared" ref="F187:L187" si="105">SUM(F185:F186)</f>
        <v>0</v>
      </c>
      <c r="G187" s="22">
        <f t="shared" si="105"/>
        <v>0</v>
      </c>
      <c r="H187" s="22">
        <f t="shared" si="105"/>
        <v>0</v>
      </c>
      <c r="I187" s="22">
        <f t="shared" si="105"/>
        <v>0</v>
      </c>
      <c r="J187" s="22">
        <f t="shared" si="105"/>
        <v>0</v>
      </c>
      <c r="K187" s="22">
        <f t="shared" si="105"/>
        <v>0</v>
      </c>
      <c r="L187" s="22">
        <f t="shared" si="105"/>
        <v>0</v>
      </c>
    </row>
    <row r="188" spans="2:12" x14ac:dyDescent="0.2">
      <c r="B188" s="52"/>
      <c r="C188" s="52"/>
      <c r="D188" s="52"/>
      <c r="E188" s="15"/>
      <c r="F188" s="15"/>
      <c r="G188" s="15"/>
      <c r="H188" s="15"/>
      <c r="I188" s="15"/>
      <c r="J188" s="15"/>
      <c r="K188" s="15"/>
      <c r="L188" s="15"/>
    </row>
    <row r="189" spans="2:12" x14ac:dyDescent="0.2">
      <c r="B189" s="51" t="s">
        <v>59</v>
      </c>
      <c r="C189" s="51"/>
      <c r="D189" s="51"/>
      <c r="E189" s="22">
        <f>E175+E182+E187</f>
        <v>-1598.8319000000047</v>
      </c>
      <c r="F189" s="22">
        <f t="shared" ref="F189:L189" si="106">F175+F182+F187</f>
        <v>5114.2127202199918</v>
      </c>
      <c r="G189" s="22">
        <f t="shared" si="106"/>
        <v>6490.4986919553921</v>
      </c>
      <c r="H189" s="22">
        <f t="shared" si="106"/>
        <v>12294.162369791886</v>
      </c>
      <c r="I189" s="22">
        <f t="shared" si="106"/>
        <v>12404.647909080137</v>
      </c>
      <c r="J189" s="22">
        <f t="shared" si="106"/>
        <v>13554.188622327527</v>
      </c>
      <c r="K189" s="22">
        <f t="shared" si="106"/>
        <v>13981.16870889136</v>
      </c>
      <c r="L189" s="22">
        <f t="shared" si="106"/>
        <v>14728.121054905248</v>
      </c>
    </row>
    <row r="190" spans="2:12" x14ac:dyDescent="0.2">
      <c r="B190" s="49" t="s">
        <v>60</v>
      </c>
      <c r="C190" s="49"/>
      <c r="D190" s="49"/>
      <c r="E190" s="10">
        <v>6958</v>
      </c>
      <c r="F190" s="32">
        <f>E191</f>
        <v>5359.1680999999953</v>
      </c>
      <c r="G190" s="32">
        <f>F191</f>
        <v>10473.380820219987</v>
      </c>
      <c r="H190" s="32">
        <f t="shared" ref="H190:L190" si="107">G191</f>
        <v>16963.879512175379</v>
      </c>
      <c r="I190" s="32">
        <f t="shared" si="107"/>
        <v>29258.041881967263</v>
      </c>
      <c r="J190" s="32">
        <f t="shared" si="107"/>
        <v>41662.6897910474</v>
      </c>
      <c r="K190" s="32">
        <f t="shared" si="107"/>
        <v>55216.878413374929</v>
      </c>
      <c r="L190" s="32">
        <f t="shared" si="107"/>
        <v>69198.047122266289</v>
      </c>
    </row>
    <row r="191" spans="2:12" ht="10.8" thickBot="1" x14ac:dyDescent="0.25">
      <c r="B191" s="53" t="s">
        <v>61</v>
      </c>
      <c r="C191" s="53"/>
      <c r="D191" s="53"/>
      <c r="E191" s="41">
        <f>SUM(E189:E190)</f>
        <v>5359.1680999999953</v>
      </c>
      <c r="F191" s="41">
        <f t="shared" ref="F191:L191" si="108">SUM(F189:F190)</f>
        <v>10473.380820219987</v>
      </c>
      <c r="G191" s="41">
        <f t="shared" si="108"/>
        <v>16963.879512175379</v>
      </c>
      <c r="H191" s="41">
        <f t="shared" si="108"/>
        <v>29258.041881967263</v>
      </c>
      <c r="I191" s="41">
        <f t="shared" si="108"/>
        <v>41662.6897910474</v>
      </c>
      <c r="J191" s="41">
        <f t="shared" si="108"/>
        <v>55216.878413374929</v>
      </c>
      <c r="K191" s="41">
        <f t="shared" si="108"/>
        <v>69198.047122266289</v>
      </c>
      <c r="L191" s="41">
        <f t="shared" si="108"/>
        <v>83926.168177171538</v>
      </c>
    </row>
    <row r="192" spans="2:12" x14ac:dyDescent="0.2">
      <c r="B192" s="58"/>
      <c r="C192" s="58"/>
      <c r="D192" s="58"/>
      <c r="E192" s="15"/>
      <c r="F192" s="26"/>
      <c r="G192" s="26"/>
      <c r="H192" s="26"/>
      <c r="I192" s="26"/>
      <c r="J192" s="26"/>
      <c r="K192" s="26"/>
      <c r="L192" s="26"/>
    </row>
    <row r="193" spans="2:12" x14ac:dyDescent="0.2">
      <c r="B193" s="131" t="s">
        <v>62</v>
      </c>
      <c r="C193" s="131"/>
      <c r="D193" s="131"/>
      <c r="E193" s="28">
        <f>E191-E145</f>
        <v>0</v>
      </c>
      <c r="F193" s="28">
        <f>F191-F145</f>
        <v>0</v>
      </c>
      <c r="G193" s="28">
        <f>G191-G145</f>
        <v>0</v>
      </c>
      <c r="H193" s="28">
        <f t="shared" ref="H193:L193" si="109">H191-H145</f>
        <v>0</v>
      </c>
      <c r="I193" s="28">
        <f t="shared" si="109"/>
        <v>0</v>
      </c>
      <c r="J193" s="28">
        <f t="shared" si="109"/>
        <v>0</v>
      </c>
      <c r="K193" s="28">
        <f t="shared" si="109"/>
        <v>0</v>
      </c>
      <c r="L193" s="28">
        <f t="shared" si="109"/>
        <v>0</v>
      </c>
    </row>
    <row r="194" spans="2:12" x14ac:dyDescent="0.2">
      <c r="B194" s="131" t="s">
        <v>63</v>
      </c>
      <c r="C194" s="131"/>
      <c r="D194" s="131"/>
      <c r="E194" s="28">
        <f>E171-E140</f>
        <v>0</v>
      </c>
      <c r="F194" s="28">
        <f>F171-F140</f>
        <v>0</v>
      </c>
      <c r="G194" s="28">
        <f>G171-G140</f>
        <v>0</v>
      </c>
      <c r="H194" s="28">
        <f t="shared" ref="H194:L194" si="110">H171-H140</f>
        <v>0</v>
      </c>
      <c r="I194" s="28">
        <f t="shared" si="110"/>
        <v>0</v>
      </c>
      <c r="J194" s="28">
        <f t="shared" si="110"/>
        <v>0</v>
      </c>
      <c r="K194" s="28">
        <f t="shared" si="110"/>
        <v>0</v>
      </c>
      <c r="L194" s="28">
        <f t="shared" si="110"/>
        <v>0</v>
      </c>
    </row>
    <row r="195" spans="2:12" x14ac:dyDescent="0.2">
      <c r="B195" s="131" t="s">
        <v>64</v>
      </c>
      <c r="C195" s="131"/>
      <c r="D195" s="131"/>
      <c r="E195" s="28">
        <f t="shared" ref="E195:L196" si="111">E172-E133</f>
        <v>0</v>
      </c>
      <c r="F195" s="28">
        <f t="shared" si="111"/>
        <v>0</v>
      </c>
      <c r="G195" s="28">
        <f t="shared" si="111"/>
        <v>0</v>
      </c>
      <c r="H195" s="28">
        <f t="shared" si="111"/>
        <v>0</v>
      </c>
      <c r="I195" s="28">
        <f t="shared" si="111"/>
        <v>0</v>
      </c>
      <c r="J195" s="28">
        <f t="shared" si="111"/>
        <v>0</v>
      </c>
      <c r="K195" s="28">
        <f t="shared" si="111"/>
        <v>0</v>
      </c>
      <c r="L195" s="28">
        <f t="shared" si="111"/>
        <v>0</v>
      </c>
    </row>
    <row r="196" spans="2:12" x14ac:dyDescent="0.2">
      <c r="B196" s="131" t="s">
        <v>65</v>
      </c>
      <c r="C196" s="131"/>
      <c r="D196" s="131"/>
      <c r="E196" s="28">
        <f t="shared" si="111"/>
        <v>0</v>
      </c>
      <c r="F196" s="28">
        <f t="shared" si="111"/>
        <v>0</v>
      </c>
      <c r="G196" s="28">
        <f t="shared" si="111"/>
        <v>0</v>
      </c>
      <c r="H196" s="28">
        <f t="shared" si="111"/>
        <v>0</v>
      </c>
      <c r="I196" s="28">
        <f t="shared" si="111"/>
        <v>0</v>
      </c>
      <c r="J196" s="28">
        <f t="shared" si="111"/>
        <v>0</v>
      </c>
      <c r="K196" s="28">
        <f t="shared" si="111"/>
        <v>0</v>
      </c>
      <c r="L196" s="28">
        <f t="shared" si="111"/>
        <v>0</v>
      </c>
    </row>
  </sheetData>
  <hyperlinks>
    <hyperlink ref="B1" location="'TOC'!A1" display="Table of Contents" xr:uid="{E24CFA54-E589-492A-9AC9-78C63E4FFA12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EE22-BAAA-4161-9A61-9257B4062E14}">
  <sheetPr>
    <tabColor rgb="FF92D050"/>
  </sheetPr>
  <dimension ref="B1:AN237"/>
  <sheetViews>
    <sheetView showGridLines="0" zoomScaleNormal="100" workbookViewId="0">
      <pane xSplit="2" ySplit="7" topLeftCell="C151" activePane="bottomRight" state="frozen"/>
      <selection pane="topRight" activeCell="C1" sqref="C1"/>
      <selection pane="bottomLeft" activeCell="A8" sqref="A8"/>
      <selection pane="bottomRight"/>
    </sheetView>
  </sheetViews>
  <sheetFormatPr defaultColWidth="9.109375" defaultRowHeight="10.199999999999999" x14ac:dyDescent="0.2"/>
  <cols>
    <col min="1" max="1" width="2" style="39" customWidth="1"/>
    <col min="2" max="2" width="33" style="39" bestFit="1" customWidth="1"/>
    <col min="3" max="3" width="11.109375" style="39" customWidth="1"/>
    <col min="4" max="4" width="8.44140625" style="39" customWidth="1"/>
    <col min="5" max="12" width="10.5546875" style="39" customWidth="1"/>
    <col min="13" max="13" width="2.44140625" style="39" customWidth="1"/>
    <col min="14" max="15" width="9.109375" style="39"/>
    <col min="16" max="16" width="11.109375" style="39" customWidth="1"/>
    <col min="17" max="17" width="8.44140625" style="39" customWidth="1"/>
    <col min="18" max="25" width="10.5546875" style="39" customWidth="1"/>
    <col min="26" max="26" width="2.44140625" style="39" customWidth="1"/>
    <col min="27" max="28" width="9.109375" style="39"/>
    <col min="29" max="29" width="11.109375" style="39" customWidth="1"/>
    <col min="30" max="30" width="8.44140625" style="39" customWidth="1"/>
    <col min="31" max="38" width="10.5546875" style="39" customWidth="1"/>
    <col min="39" max="39" width="2.44140625" style="39" customWidth="1"/>
    <col min="40" max="16384" width="9.109375" style="39"/>
  </cols>
  <sheetData>
    <row r="1" spans="2:40" x14ac:dyDescent="0.2">
      <c r="B1" s="256" t="s">
        <v>343</v>
      </c>
    </row>
    <row r="2" spans="2:40" ht="15.6" x14ac:dyDescent="0.3">
      <c r="B2" s="37" t="s">
        <v>157</v>
      </c>
      <c r="C2" s="37"/>
      <c r="D2" s="37"/>
      <c r="P2" s="37"/>
      <c r="Q2" s="37"/>
      <c r="AC2" s="37"/>
      <c r="AD2" s="37"/>
    </row>
    <row r="3" spans="2:40" x14ac:dyDescent="0.2">
      <c r="B3" s="38" t="s">
        <v>94</v>
      </c>
      <c r="C3" s="38"/>
      <c r="D3" s="38"/>
      <c r="P3" s="38"/>
      <c r="Q3" s="38"/>
      <c r="AC3" s="38"/>
      <c r="AD3" s="38"/>
    </row>
    <row r="5" spans="2:40" x14ac:dyDescent="0.2">
      <c r="B5" s="40" t="s">
        <v>80</v>
      </c>
      <c r="C5" s="169" t="str" cm="1">
        <f t="array" ref="C5">"Selected Scenario: "&amp;_xlfn.SWITCH(C11,1,B11,2,B12)</f>
        <v>Selected Scenario: Proforma View</v>
      </c>
      <c r="D5" s="167"/>
      <c r="E5" s="168"/>
      <c r="F5" s="168"/>
      <c r="G5" s="168"/>
      <c r="H5" s="168"/>
      <c r="I5" s="168"/>
      <c r="J5" s="168"/>
      <c r="K5" s="168"/>
      <c r="L5" s="168"/>
      <c r="M5" s="168"/>
      <c r="N5" s="168"/>
      <c r="P5" s="169" t="s">
        <v>175</v>
      </c>
      <c r="Q5" s="167"/>
      <c r="R5" s="168"/>
      <c r="S5" s="168"/>
      <c r="T5" s="168"/>
      <c r="U5" s="168"/>
      <c r="V5" s="168"/>
      <c r="W5" s="168"/>
      <c r="X5" s="168"/>
      <c r="Y5" s="168"/>
      <c r="Z5" s="168"/>
      <c r="AA5" s="168"/>
      <c r="AC5" s="169" t="s">
        <v>176</v>
      </c>
      <c r="AD5" s="167"/>
      <c r="AE5" s="168"/>
      <c r="AF5" s="168"/>
      <c r="AG5" s="168"/>
      <c r="AH5" s="168"/>
      <c r="AI5" s="168"/>
      <c r="AJ5" s="168"/>
      <c r="AK5" s="168"/>
      <c r="AL5" s="168"/>
      <c r="AM5" s="168"/>
      <c r="AN5" s="168"/>
    </row>
    <row r="6" spans="2:40" x14ac:dyDescent="0.2">
      <c r="E6" s="71" t="s">
        <v>95</v>
      </c>
      <c r="F6" s="71" t="s">
        <v>95</v>
      </c>
      <c r="G6" s="71" t="s">
        <v>95</v>
      </c>
      <c r="H6" s="72" t="s">
        <v>96</v>
      </c>
      <c r="I6" s="72" t="s">
        <v>96</v>
      </c>
      <c r="J6" s="72" t="s">
        <v>96</v>
      </c>
      <c r="K6" s="72" t="s">
        <v>96</v>
      </c>
      <c r="L6" s="72" t="s">
        <v>96</v>
      </c>
      <c r="R6" s="71" t="s">
        <v>95</v>
      </c>
      <c r="S6" s="71" t="s">
        <v>95</v>
      </c>
      <c r="T6" s="71" t="s">
        <v>95</v>
      </c>
      <c r="U6" s="72" t="s">
        <v>96</v>
      </c>
      <c r="V6" s="72" t="s">
        <v>96</v>
      </c>
      <c r="W6" s="72" t="s">
        <v>96</v>
      </c>
      <c r="X6" s="72" t="s">
        <v>96</v>
      </c>
      <c r="Y6" s="72" t="s">
        <v>96</v>
      </c>
      <c r="AE6" s="71" t="s">
        <v>95</v>
      </c>
      <c r="AF6" s="71" t="s">
        <v>95</v>
      </c>
      <c r="AG6" s="71" t="s">
        <v>95</v>
      </c>
      <c r="AH6" s="72" t="s">
        <v>96</v>
      </c>
      <c r="AI6" s="72" t="s">
        <v>96</v>
      </c>
      <c r="AJ6" s="72" t="s">
        <v>96</v>
      </c>
      <c r="AK6" s="72" t="s">
        <v>96</v>
      </c>
      <c r="AL6" s="72" t="s">
        <v>96</v>
      </c>
    </row>
    <row r="7" spans="2:40" x14ac:dyDescent="0.2">
      <c r="B7" s="33"/>
      <c r="C7" s="33"/>
      <c r="D7" s="33"/>
      <c r="E7" s="74">
        <v>2020</v>
      </c>
      <c r="F7" s="74">
        <f>E7+1</f>
        <v>2021</v>
      </c>
      <c r="G7" s="74">
        <f t="shared" ref="G7:L7" si="0">F7+1</f>
        <v>2022</v>
      </c>
      <c r="H7" s="74">
        <f t="shared" si="0"/>
        <v>2023</v>
      </c>
      <c r="I7" s="74">
        <f t="shared" si="0"/>
        <v>2024</v>
      </c>
      <c r="J7" s="74">
        <f t="shared" si="0"/>
        <v>2025</v>
      </c>
      <c r="K7" s="74">
        <f t="shared" si="0"/>
        <v>2026</v>
      </c>
      <c r="L7" s="74">
        <f t="shared" si="0"/>
        <v>2027</v>
      </c>
      <c r="N7" s="74" t="s">
        <v>97</v>
      </c>
      <c r="P7" s="33"/>
      <c r="Q7" s="33"/>
      <c r="R7" s="74">
        <v>2020</v>
      </c>
      <c r="S7" s="74">
        <f>R7+1</f>
        <v>2021</v>
      </c>
      <c r="T7" s="74">
        <f t="shared" ref="T7" si="1">S7+1</f>
        <v>2022</v>
      </c>
      <c r="U7" s="74">
        <f t="shared" ref="U7" si="2">T7+1</f>
        <v>2023</v>
      </c>
      <c r="V7" s="74">
        <f t="shared" ref="V7" si="3">U7+1</f>
        <v>2024</v>
      </c>
      <c r="W7" s="74">
        <f t="shared" ref="W7" si="4">V7+1</f>
        <v>2025</v>
      </c>
      <c r="X7" s="74">
        <f t="shared" ref="X7" si="5">W7+1</f>
        <v>2026</v>
      </c>
      <c r="Y7" s="74">
        <f t="shared" ref="Y7" si="6">X7+1</f>
        <v>2027</v>
      </c>
      <c r="AA7" s="74" t="s">
        <v>97</v>
      </c>
      <c r="AC7" s="33"/>
      <c r="AD7" s="33"/>
      <c r="AE7" s="74">
        <v>2020</v>
      </c>
      <c r="AF7" s="74">
        <f>AE7+1</f>
        <v>2021</v>
      </c>
      <c r="AG7" s="74">
        <f t="shared" ref="AG7" si="7">AF7+1</f>
        <v>2022</v>
      </c>
      <c r="AH7" s="74">
        <f t="shared" ref="AH7" si="8">AG7+1</f>
        <v>2023</v>
      </c>
      <c r="AI7" s="74">
        <f t="shared" ref="AI7" si="9">AH7+1</f>
        <v>2024</v>
      </c>
      <c r="AJ7" s="74">
        <f t="shared" ref="AJ7" si="10">AI7+1</f>
        <v>2025</v>
      </c>
      <c r="AK7" s="74">
        <f t="shared" ref="AK7" si="11">AJ7+1</f>
        <v>2026</v>
      </c>
      <c r="AL7" s="74">
        <f t="shared" ref="AL7" si="12">AK7+1</f>
        <v>2027</v>
      </c>
      <c r="AN7" s="74" t="s">
        <v>97</v>
      </c>
    </row>
    <row r="9" spans="2:40" ht="10.8" thickBot="1" x14ac:dyDescent="0.25">
      <c r="B9" s="48" t="s">
        <v>177</v>
      </c>
      <c r="C9" s="48"/>
      <c r="D9" s="48"/>
      <c r="E9" s="36">
        <f>E$7</f>
        <v>2020</v>
      </c>
      <c r="F9" s="36">
        <f t="shared" ref="F9:L9" si="13">F$7</f>
        <v>2021</v>
      </c>
      <c r="G9" s="36">
        <f t="shared" si="13"/>
        <v>2022</v>
      </c>
      <c r="H9" s="36">
        <f t="shared" si="13"/>
        <v>2023</v>
      </c>
      <c r="I9" s="36">
        <f t="shared" si="13"/>
        <v>2024</v>
      </c>
      <c r="J9" s="36">
        <f t="shared" si="13"/>
        <v>2025</v>
      </c>
      <c r="K9" s="36">
        <f t="shared" si="13"/>
        <v>2026</v>
      </c>
      <c r="L9" s="36">
        <f t="shared" si="13"/>
        <v>2027</v>
      </c>
    </row>
    <row r="10" spans="2:40" x14ac:dyDescent="0.2">
      <c r="B10" s="171" t="s">
        <v>178</v>
      </c>
      <c r="C10" s="172" t="s">
        <v>180</v>
      </c>
      <c r="D10" s="173"/>
    </row>
    <row r="11" spans="2:40" x14ac:dyDescent="0.2">
      <c r="B11" s="174" t="s">
        <v>175</v>
      </c>
      <c r="C11" s="179">
        <v>1</v>
      </c>
      <c r="D11" s="175"/>
    </row>
    <row r="12" spans="2:40" x14ac:dyDescent="0.2">
      <c r="B12" s="174" t="s">
        <v>179</v>
      </c>
      <c r="D12" s="175"/>
    </row>
    <row r="13" spans="2:40" ht="10.8" thickBot="1" x14ac:dyDescent="0.25">
      <c r="B13" s="176"/>
      <c r="C13" s="177"/>
      <c r="D13" s="178"/>
    </row>
    <row r="16" spans="2:40" x14ac:dyDescent="0.2">
      <c r="B16" s="48" t="s">
        <v>98</v>
      </c>
      <c r="C16" s="48"/>
      <c r="D16" s="48"/>
      <c r="E16" s="36">
        <f>E$7</f>
        <v>2020</v>
      </c>
      <c r="F16" s="36">
        <f t="shared" ref="F16:L16" si="14">F$7</f>
        <v>2021</v>
      </c>
      <c r="G16" s="36">
        <f t="shared" si="14"/>
        <v>2022</v>
      </c>
      <c r="H16" s="36">
        <f t="shared" si="14"/>
        <v>2023</v>
      </c>
      <c r="I16" s="36">
        <f t="shared" si="14"/>
        <v>2024</v>
      </c>
      <c r="J16" s="36">
        <f t="shared" si="14"/>
        <v>2025</v>
      </c>
      <c r="K16" s="36">
        <f t="shared" si="14"/>
        <v>2026</v>
      </c>
      <c r="L16" s="36">
        <f t="shared" si="14"/>
        <v>2027</v>
      </c>
      <c r="P16" s="48"/>
      <c r="Q16" s="48"/>
      <c r="R16" s="36">
        <f>R$7</f>
        <v>2020</v>
      </c>
      <c r="S16" s="36">
        <f t="shared" ref="S16:Y16" si="15">S$7</f>
        <v>2021</v>
      </c>
      <c r="T16" s="36">
        <f t="shared" si="15"/>
        <v>2022</v>
      </c>
      <c r="U16" s="36">
        <f t="shared" si="15"/>
        <v>2023</v>
      </c>
      <c r="V16" s="36">
        <f t="shared" si="15"/>
        <v>2024</v>
      </c>
      <c r="W16" s="36">
        <f t="shared" si="15"/>
        <v>2025</v>
      </c>
      <c r="X16" s="36">
        <f t="shared" si="15"/>
        <v>2026</v>
      </c>
      <c r="Y16" s="36">
        <f t="shared" si="15"/>
        <v>2027</v>
      </c>
      <c r="AC16" s="48"/>
      <c r="AD16" s="48"/>
      <c r="AE16" s="36">
        <f>AE$7</f>
        <v>2020</v>
      </c>
      <c r="AF16" s="36">
        <f t="shared" ref="AF16:AL16" si="16">AF$7</f>
        <v>2021</v>
      </c>
      <c r="AG16" s="36">
        <f t="shared" si="16"/>
        <v>2022</v>
      </c>
      <c r="AH16" s="36">
        <f t="shared" si="16"/>
        <v>2023</v>
      </c>
      <c r="AI16" s="36">
        <f t="shared" si="16"/>
        <v>2024</v>
      </c>
      <c r="AJ16" s="36">
        <f t="shared" si="16"/>
        <v>2025</v>
      </c>
      <c r="AK16" s="36">
        <f t="shared" si="16"/>
        <v>2026</v>
      </c>
      <c r="AL16" s="36">
        <f t="shared" si="16"/>
        <v>2027</v>
      </c>
    </row>
    <row r="18" spans="2:40" x14ac:dyDescent="0.2">
      <c r="B18" s="76" t="s">
        <v>99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</row>
    <row r="20" spans="2:40" x14ac:dyDescent="0.2">
      <c r="B20" s="39" t="s">
        <v>129</v>
      </c>
      <c r="C20" s="39" t="s">
        <v>101</v>
      </c>
      <c r="E20" s="80"/>
      <c r="F20" s="81"/>
      <c r="G20" s="81"/>
      <c r="H20" s="78"/>
      <c r="I20" s="78"/>
      <c r="J20" s="78"/>
      <c r="K20" s="78"/>
      <c r="L20" s="78"/>
      <c r="P20" s="39" t="s">
        <v>101</v>
      </c>
      <c r="R20" s="80"/>
      <c r="S20" s="81">
        <f>S155/R155-1</f>
        <v>0.21500000000000008</v>
      </c>
      <c r="T20" s="81">
        <f>T155/S155-1</f>
        <v>0.27800000000000002</v>
      </c>
      <c r="U20" s="78">
        <v>0.05</v>
      </c>
      <c r="V20" s="78">
        <v>0.05</v>
      </c>
      <c r="W20" s="78">
        <v>0.05</v>
      </c>
      <c r="X20" s="78">
        <v>0.05</v>
      </c>
      <c r="Y20" s="78">
        <v>0.05</v>
      </c>
      <c r="AC20" s="39" t="s">
        <v>101</v>
      </c>
      <c r="AE20" s="186">
        <f>R20</f>
        <v>0</v>
      </c>
      <c r="AF20" s="186">
        <f t="shared" ref="AF20:AG20" si="17">S20</f>
        <v>0.21500000000000008</v>
      </c>
      <c r="AG20" s="186">
        <f t="shared" si="17"/>
        <v>0.27800000000000002</v>
      </c>
      <c r="AH20" s="78">
        <v>0.05</v>
      </c>
      <c r="AI20" s="78">
        <v>0.05</v>
      </c>
      <c r="AJ20" s="78">
        <v>0.05</v>
      </c>
      <c r="AK20" s="78">
        <v>0.05</v>
      </c>
      <c r="AL20" s="78">
        <v>0.05</v>
      </c>
    </row>
    <row r="21" spans="2:40" x14ac:dyDescent="0.2">
      <c r="B21" s="39" t="s">
        <v>5</v>
      </c>
      <c r="C21" s="39" t="s">
        <v>156</v>
      </c>
      <c r="E21" s="81"/>
      <c r="F21" s="81"/>
      <c r="G21" s="81"/>
      <c r="H21" s="77"/>
      <c r="I21" s="77"/>
      <c r="J21" s="77"/>
      <c r="K21" s="77"/>
      <c r="L21" s="77"/>
      <c r="N21" s="70" t="s">
        <v>103</v>
      </c>
      <c r="P21" s="39" t="s">
        <v>156</v>
      </c>
      <c r="R21" s="81">
        <f>R156/R155</f>
        <v>0.33400000000000002</v>
      </c>
      <c r="S21" s="81">
        <f t="shared" ref="S21:T21" si="18">S156/S155</f>
        <v>0.32900000000000001</v>
      </c>
      <c r="T21" s="81">
        <f t="shared" si="18"/>
        <v>0.33700000000000002</v>
      </c>
      <c r="U21" s="77">
        <f>AVERAGE(R21:T21)</f>
        <v>0.33333333333333331</v>
      </c>
      <c r="V21" s="77">
        <f t="shared" ref="V21" si="19">AVERAGE(S21:U21)</f>
        <v>0.33311111111111114</v>
      </c>
      <c r="W21" s="77">
        <f t="shared" ref="W21" si="20">AVERAGE(T21:V21)</f>
        <v>0.33448148148148144</v>
      </c>
      <c r="X21" s="77">
        <f t="shared" ref="X21" si="21">AVERAGE(U21:W21)</f>
        <v>0.33364197530864192</v>
      </c>
      <c r="Y21" s="77">
        <f t="shared" ref="Y21" si="22">AVERAGE(V21:X21)</f>
        <v>0.33374485596707815</v>
      </c>
      <c r="AA21" s="70" t="s">
        <v>103</v>
      </c>
      <c r="AC21" s="39" t="s">
        <v>156</v>
      </c>
      <c r="AE21" s="186">
        <f>R21</f>
        <v>0.33400000000000002</v>
      </c>
      <c r="AF21" s="186">
        <f t="shared" ref="AF21" si="23">S21</f>
        <v>0.32900000000000001</v>
      </c>
      <c r="AG21" s="186">
        <f t="shared" ref="AG21" si="24">T21</f>
        <v>0.33700000000000002</v>
      </c>
      <c r="AH21" s="77">
        <f>AVERAGE(AE21:AG21)</f>
        <v>0.33333333333333331</v>
      </c>
      <c r="AI21" s="77">
        <f t="shared" ref="AI21" si="25">AVERAGE(AF21:AH21)</f>
        <v>0.33311111111111114</v>
      </c>
      <c r="AJ21" s="77">
        <f t="shared" ref="AJ21" si="26">AVERAGE(AG21:AI21)</f>
        <v>0.33448148148148144</v>
      </c>
      <c r="AK21" s="77">
        <f t="shared" ref="AK21" si="27">AVERAGE(AH21:AJ21)</f>
        <v>0.33364197530864192</v>
      </c>
      <c r="AL21" s="77">
        <f t="shared" ref="AL21" si="28">AVERAGE(AI21:AK21)</f>
        <v>0.33374485596707815</v>
      </c>
      <c r="AN21" s="70" t="s">
        <v>103</v>
      </c>
    </row>
    <row r="22" spans="2:40" x14ac:dyDescent="0.2">
      <c r="E22" s="80"/>
      <c r="F22" s="80"/>
      <c r="G22" s="80"/>
      <c r="R22" s="80"/>
      <c r="S22" s="80"/>
      <c r="T22" s="80"/>
      <c r="AE22" s="80"/>
      <c r="AF22" s="80"/>
      <c r="AG22" s="80"/>
    </row>
    <row r="23" spans="2:40" x14ac:dyDescent="0.2">
      <c r="B23" s="75" t="s">
        <v>100</v>
      </c>
      <c r="E23" s="80"/>
      <c r="F23" s="80"/>
      <c r="G23" s="80"/>
      <c r="R23" s="80"/>
      <c r="S23" s="80"/>
      <c r="T23" s="80"/>
      <c r="AE23" s="80"/>
      <c r="AF23" s="80"/>
      <c r="AG23" s="80"/>
    </row>
    <row r="24" spans="2:40" x14ac:dyDescent="0.2">
      <c r="B24" s="49" t="s">
        <v>8</v>
      </c>
      <c r="C24" s="39" t="s">
        <v>156</v>
      </c>
      <c r="E24" s="81"/>
      <c r="F24" s="81"/>
      <c r="G24" s="81"/>
      <c r="H24" s="77"/>
      <c r="I24" s="77"/>
      <c r="J24" s="77"/>
      <c r="K24" s="77"/>
      <c r="L24" s="77"/>
      <c r="N24" s="70" t="s">
        <v>103</v>
      </c>
      <c r="P24" s="39" t="s">
        <v>156</v>
      </c>
      <c r="R24" s="81">
        <f>R160/R$155</f>
        <v>0.113</v>
      </c>
      <c r="S24" s="81">
        <f t="shared" ref="S24:T24" si="29">S160/S$155</f>
        <v>0.11899999999999999</v>
      </c>
      <c r="T24" s="81">
        <f t="shared" si="29"/>
        <v>0.115</v>
      </c>
      <c r="U24" s="77">
        <f>AVERAGE(R24:T24)</f>
        <v>0.11566666666666665</v>
      </c>
      <c r="V24" s="77">
        <f t="shared" ref="V24:V33" si="30">AVERAGE(S24:U24)</f>
        <v>0.11655555555555554</v>
      </c>
      <c r="W24" s="77">
        <f t="shared" ref="W24:W33" si="31">AVERAGE(T24:V24)</f>
        <v>0.11574074074074074</v>
      </c>
      <c r="X24" s="77">
        <f t="shared" ref="X24:X33" si="32">AVERAGE(U24:W24)</f>
        <v>0.11598765432098763</v>
      </c>
      <c r="Y24" s="77">
        <f t="shared" ref="Y24:Y33" si="33">AVERAGE(V24:X24)</f>
        <v>0.1160946502057613</v>
      </c>
      <c r="AA24" s="70" t="s">
        <v>103</v>
      </c>
      <c r="AC24" s="39" t="s">
        <v>156</v>
      </c>
      <c r="AE24" s="186">
        <f t="shared" ref="AE24:AE33" si="34">R24</f>
        <v>0.113</v>
      </c>
      <c r="AF24" s="186">
        <f t="shared" ref="AF24:AF33" si="35">S24</f>
        <v>0.11899999999999999</v>
      </c>
      <c r="AG24" s="186">
        <f t="shared" ref="AG24:AG33" si="36">T24</f>
        <v>0.115</v>
      </c>
      <c r="AH24" s="77">
        <f>AVERAGE(AE24:AG24)</f>
        <v>0.11566666666666665</v>
      </c>
      <c r="AI24" s="77">
        <f t="shared" ref="AI24:AI33" si="37">AVERAGE(AF24:AH24)</f>
        <v>0.11655555555555554</v>
      </c>
      <c r="AJ24" s="77">
        <f t="shared" ref="AJ24:AJ33" si="38">AVERAGE(AG24:AI24)</f>
        <v>0.11574074074074074</v>
      </c>
      <c r="AK24" s="77">
        <f t="shared" ref="AK24:AK33" si="39">AVERAGE(AH24:AJ24)</f>
        <v>0.11598765432098763</v>
      </c>
      <c r="AL24" s="77">
        <f t="shared" ref="AL24:AL33" si="40">AVERAGE(AI24:AK24)</f>
        <v>0.1160946502057613</v>
      </c>
      <c r="AN24" s="70" t="s">
        <v>103</v>
      </c>
    </row>
    <row r="25" spans="2:40" x14ac:dyDescent="0.2">
      <c r="B25" s="49" t="s">
        <v>9</v>
      </c>
      <c r="C25" s="39" t="s">
        <v>156</v>
      </c>
      <c r="E25" s="81"/>
      <c r="F25" s="81"/>
      <c r="G25" s="81"/>
      <c r="H25" s="77"/>
      <c r="I25" s="77"/>
      <c r="J25" s="77"/>
      <c r="K25" s="77"/>
      <c r="L25" s="77"/>
      <c r="N25" s="70" t="s">
        <v>103</v>
      </c>
      <c r="P25" s="39" t="s">
        <v>156</v>
      </c>
      <c r="R25" s="81">
        <f t="shared" ref="R25:T25" si="41">R161/R$155</f>
        <v>3.9E-2</v>
      </c>
      <c r="S25" s="81">
        <f t="shared" si="41"/>
        <v>4.1200000000000001E-2</v>
      </c>
      <c r="T25" s="81">
        <f t="shared" si="41"/>
        <v>4.2999999999999997E-2</v>
      </c>
      <c r="U25" s="77">
        <f t="shared" ref="U25:U33" si="42">AVERAGE(R25:T25)</f>
        <v>4.1066666666666661E-2</v>
      </c>
      <c r="V25" s="77">
        <f t="shared" si="30"/>
        <v>4.1755555555555553E-2</v>
      </c>
      <c r="W25" s="77">
        <f t="shared" si="31"/>
        <v>4.194074074074073E-2</v>
      </c>
      <c r="X25" s="77">
        <f t="shared" si="32"/>
        <v>4.1587654320987648E-2</v>
      </c>
      <c r="Y25" s="77">
        <f t="shared" si="33"/>
        <v>4.1761316872427977E-2</v>
      </c>
      <c r="AA25" s="70" t="s">
        <v>103</v>
      </c>
      <c r="AC25" s="39" t="s">
        <v>156</v>
      </c>
      <c r="AE25" s="186">
        <f t="shared" si="34"/>
        <v>3.9E-2</v>
      </c>
      <c r="AF25" s="186">
        <f t="shared" si="35"/>
        <v>4.1200000000000001E-2</v>
      </c>
      <c r="AG25" s="186">
        <f t="shared" si="36"/>
        <v>4.2999999999999997E-2</v>
      </c>
      <c r="AH25" s="77">
        <f t="shared" ref="AH25:AH33" si="43">AVERAGE(AE25:AG25)</f>
        <v>4.1066666666666661E-2</v>
      </c>
      <c r="AI25" s="77">
        <f t="shared" si="37"/>
        <v>4.1755555555555553E-2</v>
      </c>
      <c r="AJ25" s="77">
        <f t="shared" si="38"/>
        <v>4.194074074074073E-2</v>
      </c>
      <c r="AK25" s="77">
        <f t="shared" si="39"/>
        <v>4.1587654320987648E-2</v>
      </c>
      <c r="AL25" s="77">
        <f t="shared" si="40"/>
        <v>4.1761316872427977E-2</v>
      </c>
      <c r="AN25" s="70" t="s">
        <v>103</v>
      </c>
    </row>
    <row r="26" spans="2:40" x14ac:dyDescent="0.2">
      <c r="B26" s="49" t="s">
        <v>10</v>
      </c>
      <c r="C26" s="39" t="s">
        <v>156</v>
      </c>
      <c r="E26" s="81"/>
      <c r="F26" s="81"/>
      <c r="G26" s="81"/>
      <c r="H26" s="77"/>
      <c r="I26" s="77"/>
      <c r="J26" s="77"/>
      <c r="K26" s="77"/>
      <c r="L26" s="77"/>
      <c r="N26" s="70" t="s">
        <v>103</v>
      </c>
      <c r="P26" s="39" t="s">
        <v>156</v>
      </c>
      <c r="R26" s="81">
        <f t="shared" ref="R26:T26" si="44">R162/R$155</f>
        <v>3.2000000000000001E-2</v>
      </c>
      <c r="S26" s="81">
        <f t="shared" si="44"/>
        <v>3.4000000000000002E-2</v>
      </c>
      <c r="T26" s="81">
        <f t="shared" si="44"/>
        <v>3.6999999999999998E-2</v>
      </c>
      <c r="U26" s="77">
        <f t="shared" si="42"/>
        <v>3.4333333333333334E-2</v>
      </c>
      <c r="V26" s="77">
        <f t="shared" si="30"/>
        <v>3.5111111111111114E-2</v>
      </c>
      <c r="W26" s="77">
        <f t="shared" si="31"/>
        <v>3.5481481481481482E-2</v>
      </c>
      <c r="X26" s="77">
        <f t="shared" si="32"/>
        <v>3.497530864197531E-2</v>
      </c>
      <c r="Y26" s="77">
        <f t="shared" si="33"/>
        <v>3.5189300411522635E-2</v>
      </c>
      <c r="AA26" s="70" t="s">
        <v>103</v>
      </c>
      <c r="AC26" s="39" t="s">
        <v>156</v>
      </c>
      <c r="AE26" s="186">
        <f t="shared" si="34"/>
        <v>3.2000000000000001E-2</v>
      </c>
      <c r="AF26" s="186">
        <f t="shared" si="35"/>
        <v>3.4000000000000002E-2</v>
      </c>
      <c r="AG26" s="186">
        <f t="shared" si="36"/>
        <v>3.6999999999999998E-2</v>
      </c>
      <c r="AH26" s="77">
        <f t="shared" si="43"/>
        <v>3.4333333333333334E-2</v>
      </c>
      <c r="AI26" s="77">
        <f t="shared" si="37"/>
        <v>3.5111111111111114E-2</v>
      </c>
      <c r="AJ26" s="77">
        <f t="shared" si="38"/>
        <v>3.5481481481481482E-2</v>
      </c>
      <c r="AK26" s="77">
        <f t="shared" si="39"/>
        <v>3.497530864197531E-2</v>
      </c>
      <c r="AL26" s="77">
        <f t="shared" si="40"/>
        <v>3.5189300411522635E-2</v>
      </c>
      <c r="AN26" s="70" t="s">
        <v>103</v>
      </c>
    </row>
    <row r="27" spans="2:40" x14ac:dyDescent="0.2">
      <c r="B27" s="49" t="s">
        <v>11</v>
      </c>
      <c r="C27" s="39" t="s">
        <v>156</v>
      </c>
      <c r="E27" s="81"/>
      <c r="F27" s="81"/>
      <c r="G27" s="81"/>
      <c r="H27" s="77"/>
      <c r="I27" s="77"/>
      <c r="J27" s="77"/>
      <c r="K27" s="77"/>
      <c r="L27" s="77"/>
      <c r="N27" s="70" t="s">
        <v>103</v>
      </c>
      <c r="P27" s="39" t="s">
        <v>156</v>
      </c>
      <c r="R27" s="81">
        <f t="shared" ref="R27:T27" si="45">R163/R$155</f>
        <v>0.05</v>
      </c>
      <c r="S27" s="81">
        <f t="shared" si="45"/>
        <v>5.2999999999999999E-2</v>
      </c>
      <c r="T27" s="81">
        <f t="shared" si="45"/>
        <v>4.9000000000000002E-2</v>
      </c>
      <c r="U27" s="77">
        <f t="shared" si="42"/>
        <v>5.0666666666666672E-2</v>
      </c>
      <c r="V27" s="77">
        <f t="shared" si="30"/>
        <v>5.0888888888888893E-2</v>
      </c>
      <c r="W27" s="77">
        <f t="shared" si="31"/>
        <v>5.0185185185185194E-2</v>
      </c>
      <c r="X27" s="77">
        <f t="shared" si="32"/>
        <v>5.0580246913580255E-2</v>
      </c>
      <c r="Y27" s="77">
        <f t="shared" si="33"/>
        <v>5.0551440329218121E-2</v>
      </c>
      <c r="AA27" s="70" t="s">
        <v>103</v>
      </c>
      <c r="AC27" s="39" t="s">
        <v>156</v>
      </c>
      <c r="AE27" s="186">
        <f t="shared" si="34"/>
        <v>0.05</v>
      </c>
      <c r="AF27" s="186">
        <f t="shared" si="35"/>
        <v>5.2999999999999999E-2</v>
      </c>
      <c r="AG27" s="186">
        <f t="shared" si="36"/>
        <v>4.9000000000000002E-2</v>
      </c>
      <c r="AH27" s="77">
        <f t="shared" si="43"/>
        <v>5.0666666666666672E-2</v>
      </c>
      <c r="AI27" s="77">
        <f t="shared" si="37"/>
        <v>5.0888888888888893E-2</v>
      </c>
      <c r="AJ27" s="77">
        <f t="shared" si="38"/>
        <v>5.0185185185185194E-2</v>
      </c>
      <c r="AK27" s="77">
        <f t="shared" si="39"/>
        <v>5.0580246913580255E-2</v>
      </c>
      <c r="AL27" s="77">
        <f t="shared" si="40"/>
        <v>5.0551440329218121E-2</v>
      </c>
      <c r="AN27" s="70" t="s">
        <v>103</v>
      </c>
    </row>
    <row r="28" spans="2:40" x14ac:dyDescent="0.2">
      <c r="B28" s="49" t="s">
        <v>12</v>
      </c>
      <c r="C28" s="39" t="s">
        <v>156</v>
      </c>
      <c r="E28" s="81"/>
      <c r="F28" s="81"/>
      <c r="G28" s="81"/>
      <c r="H28" s="77"/>
      <c r="I28" s="77"/>
      <c r="J28" s="77"/>
      <c r="K28" s="77"/>
      <c r="L28" s="77"/>
      <c r="N28" s="70" t="s">
        <v>103</v>
      </c>
      <c r="P28" s="39" t="s">
        <v>156</v>
      </c>
      <c r="R28" s="81">
        <f t="shared" ref="R28:T28" si="46">R164/R$155</f>
        <v>0.125</v>
      </c>
      <c r="S28" s="81">
        <f t="shared" si="46"/>
        <v>0.129</v>
      </c>
      <c r="T28" s="81">
        <f t="shared" si="46"/>
        <v>0.12300000000000001</v>
      </c>
      <c r="U28" s="77">
        <f t="shared" si="42"/>
        <v>0.12566666666666668</v>
      </c>
      <c r="V28" s="77">
        <f t="shared" si="30"/>
        <v>0.12588888888888891</v>
      </c>
      <c r="W28" s="77">
        <f t="shared" si="31"/>
        <v>0.12485185185185188</v>
      </c>
      <c r="X28" s="77">
        <f t="shared" si="32"/>
        <v>0.12546913580246916</v>
      </c>
      <c r="Y28" s="77">
        <f t="shared" si="33"/>
        <v>0.12540329218106999</v>
      </c>
      <c r="AA28" s="70" t="s">
        <v>103</v>
      </c>
      <c r="AC28" s="39" t="s">
        <v>156</v>
      </c>
      <c r="AE28" s="186">
        <f t="shared" si="34"/>
        <v>0.125</v>
      </c>
      <c r="AF28" s="186">
        <f t="shared" si="35"/>
        <v>0.129</v>
      </c>
      <c r="AG28" s="186">
        <f t="shared" si="36"/>
        <v>0.12300000000000001</v>
      </c>
      <c r="AH28" s="77">
        <f t="shared" si="43"/>
        <v>0.12566666666666668</v>
      </c>
      <c r="AI28" s="77">
        <f t="shared" si="37"/>
        <v>0.12588888888888891</v>
      </c>
      <c r="AJ28" s="77">
        <f t="shared" si="38"/>
        <v>0.12485185185185188</v>
      </c>
      <c r="AK28" s="77">
        <f t="shared" si="39"/>
        <v>0.12546913580246916</v>
      </c>
      <c r="AL28" s="77">
        <f t="shared" si="40"/>
        <v>0.12540329218106999</v>
      </c>
      <c r="AN28" s="70" t="s">
        <v>103</v>
      </c>
    </row>
    <row r="29" spans="2:40" x14ac:dyDescent="0.2">
      <c r="B29" s="49" t="s">
        <v>13</v>
      </c>
      <c r="C29" s="39" t="s">
        <v>156</v>
      </c>
      <c r="E29" s="81"/>
      <c r="F29" s="81"/>
      <c r="G29" s="81"/>
      <c r="H29" s="77"/>
      <c r="I29" s="77"/>
      <c r="J29" s="77"/>
      <c r="K29" s="77"/>
      <c r="L29" s="77"/>
      <c r="N29" s="70" t="s">
        <v>103</v>
      </c>
      <c r="P29" s="39" t="s">
        <v>156</v>
      </c>
      <c r="R29" s="81">
        <f t="shared" ref="R29:S29" si="47">R165/R$155</f>
        <v>0</v>
      </c>
      <c r="S29" s="81">
        <f t="shared" si="47"/>
        <v>0</v>
      </c>
      <c r="T29" s="81">
        <f>T165/T$155</f>
        <v>0</v>
      </c>
      <c r="U29" s="77">
        <f t="shared" si="42"/>
        <v>0</v>
      </c>
      <c r="V29" s="77">
        <f t="shared" si="30"/>
        <v>0</v>
      </c>
      <c r="W29" s="77">
        <f t="shared" si="31"/>
        <v>0</v>
      </c>
      <c r="X29" s="77">
        <f t="shared" si="32"/>
        <v>0</v>
      </c>
      <c r="Y29" s="77">
        <f t="shared" si="33"/>
        <v>0</v>
      </c>
      <c r="AA29" s="70" t="s">
        <v>103</v>
      </c>
      <c r="AC29" s="39" t="s">
        <v>156</v>
      </c>
      <c r="AE29" s="186">
        <f t="shared" si="34"/>
        <v>0</v>
      </c>
      <c r="AF29" s="186">
        <f t="shared" si="35"/>
        <v>0</v>
      </c>
      <c r="AG29" s="186">
        <f t="shared" si="36"/>
        <v>0</v>
      </c>
      <c r="AH29" s="77">
        <f t="shared" si="43"/>
        <v>0</v>
      </c>
      <c r="AI29" s="77">
        <f t="shared" si="37"/>
        <v>0</v>
      </c>
      <c r="AJ29" s="77">
        <f t="shared" si="38"/>
        <v>0</v>
      </c>
      <c r="AK29" s="77">
        <f t="shared" si="39"/>
        <v>0</v>
      </c>
      <c r="AL29" s="77">
        <f t="shared" si="40"/>
        <v>0</v>
      </c>
      <c r="AN29" s="70" t="s">
        <v>103</v>
      </c>
    </row>
    <row r="30" spans="2:40" x14ac:dyDescent="0.2">
      <c r="B30" s="49" t="s">
        <v>14</v>
      </c>
      <c r="C30" s="39" t="s">
        <v>156</v>
      </c>
      <c r="E30" s="81"/>
      <c r="F30" s="81"/>
      <c r="G30" s="81"/>
      <c r="H30" s="77"/>
      <c r="I30" s="77"/>
      <c r="J30" s="77"/>
      <c r="K30" s="77"/>
      <c r="L30" s="77"/>
      <c r="N30" s="70" t="s">
        <v>103</v>
      </c>
      <c r="P30" s="39" t="s">
        <v>156</v>
      </c>
      <c r="R30" s="81">
        <f t="shared" ref="R30:T30" si="48">R166/R$155</f>
        <v>6.9999999999999993E-3</v>
      </c>
      <c r="S30" s="81">
        <f t="shared" si="48"/>
        <v>6.0000000000000001E-3</v>
      </c>
      <c r="T30" s="81">
        <f t="shared" si="48"/>
        <v>8.0000000000000002E-3</v>
      </c>
      <c r="U30" s="77">
        <f t="shared" si="42"/>
        <v>6.9999999999999993E-3</v>
      </c>
      <c r="V30" s="77">
        <f t="shared" si="30"/>
        <v>6.9999999999999993E-3</v>
      </c>
      <c r="W30" s="77">
        <f t="shared" si="31"/>
        <v>7.3333333333333332E-3</v>
      </c>
      <c r="X30" s="77">
        <f t="shared" si="32"/>
        <v>7.1111111111111106E-3</v>
      </c>
      <c r="Y30" s="77">
        <f t="shared" si="33"/>
        <v>7.1481481481481474E-3</v>
      </c>
      <c r="AA30" s="70" t="s">
        <v>103</v>
      </c>
      <c r="AC30" s="39" t="s">
        <v>156</v>
      </c>
      <c r="AE30" s="186">
        <f t="shared" si="34"/>
        <v>6.9999999999999993E-3</v>
      </c>
      <c r="AF30" s="186">
        <f t="shared" si="35"/>
        <v>6.0000000000000001E-3</v>
      </c>
      <c r="AG30" s="186">
        <f t="shared" si="36"/>
        <v>8.0000000000000002E-3</v>
      </c>
      <c r="AH30" s="77">
        <f t="shared" si="43"/>
        <v>6.9999999999999993E-3</v>
      </c>
      <c r="AI30" s="77">
        <f t="shared" si="37"/>
        <v>6.9999999999999993E-3</v>
      </c>
      <c r="AJ30" s="77">
        <f t="shared" si="38"/>
        <v>7.3333333333333332E-3</v>
      </c>
      <c r="AK30" s="77">
        <f t="shared" si="39"/>
        <v>7.1111111111111106E-3</v>
      </c>
      <c r="AL30" s="77">
        <f t="shared" si="40"/>
        <v>7.1481481481481474E-3</v>
      </c>
      <c r="AN30" s="70" t="s">
        <v>103</v>
      </c>
    </row>
    <row r="31" spans="2:40" x14ac:dyDescent="0.2">
      <c r="B31" s="49" t="s">
        <v>15</v>
      </c>
      <c r="C31" s="39" t="s">
        <v>156</v>
      </c>
      <c r="E31" s="81"/>
      <c r="F31" s="81"/>
      <c r="G31" s="81"/>
      <c r="H31" s="77"/>
      <c r="I31" s="77"/>
      <c r="J31" s="77"/>
      <c r="K31" s="77"/>
      <c r="L31" s="77"/>
      <c r="N31" s="70" t="s">
        <v>103</v>
      </c>
      <c r="P31" s="39" t="s">
        <v>156</v>
      </c>
      <c r="R31" s="81">
        <f t="shared" ref="R31:T31" si="49">R167/R$155</f>
        <v>0</v>
      </c>
      <c r="S31" s="81">
        <f t="shared" si="49"/>
        <v>0</v>
      </c>
      <c r="T31" s="81">
        <f t="shared" si="49"/>
        <v>0</v>
      </c>
      <c r="U31" s="77">
        <f t="shared" si="42"/>
        <v>0</v>
      </c>
      <c r="V31" s="77">
        <f t="shared" si="30"/>
        <v>0</v>
      </c>
      <c r="W31" s="77">
        <f t="shared" si="31"/>
        <v>0</v>
      </c>
      <c r="X31" s="77">
        <f t="shared" si="32"/>
        <v>0</v>
      </c>
      <c r="Y31" s="77">
        <f t="shared" si="33"/>
        <v>0</v>
      </c>
      <c r="AA31" s="70" t="s">
        <v>103</v>
      </c>
      <c r="AC31" s="39" t="s">
        <v>156</v>
      </c>
      <c r="AE31" s="186">
        <f t="shared" si="34"/>
        <v>0</v>
      </c>
      <c r="AF31" s="186">
        <f t="shared" si="35"/>
        <v>0</v>
      </c>
      <c r="AG31" s="186">
        <f t="shared" si="36"/>
        <v>0</v>
      </c>
      <c r="AH31" s="77">
        <f t="shared" si="43"/>
        <v>0</v>
      </c>
      <c r="AI31" s="77">
        <f t="shared" si="37"/>
        <v>0</v>
      </c>
      <c r="AJ31" s="77">
        <f t="shared" si="38"/>
        <v>0</v>
      </c>
      <c r="AK31" s="77">
        <f t="shared" si="39"/>
        <v>0</v>
      </c>
      <c r="AL31" s="77">
        <f t="shared" si="40"/>
        <v>0</v>
      </c>
      <c r="AN31" s="70" t="s">
        <v>103</v>
      </c>
    </row>
    <row r="32" spans="2:40" x14ac:dyDescent="0.2">
      <c r="B32" s="49" t="s">
        <v>16</v>
      </c>
      <c r="C32" s="39" t="s">
        <v>156</v>
      </c>
      <c r="E32" s="81"/>
      <c r="F32" s="81"/>
      <c r="G32" s="81"/>
      <c r="H32" s="77"/>
      <c r="I32" s="77"/>
      <c r="J32" s="77"/>
      <c r="K32" s="77"/>
      <c r="L32" s="77"/>
      <c r="N32" s="70" t="s">
        <v>103</v>
      </c>
      <c r="P32" s="39" t="s">
        <v>156</v>
      </c>
      <c r="R32" s="81">
        <f t="shared" ref="R32:T32" si="50">R168/R$155</f>
        <v>3.5000000000000003E-2</v>
      </c>
      <c r="S32" s="81">
        <f t="shared" si="50"/>
        <v>3.7999999999999999E-2</v>
      </c>
      <c r="T32" s="81">
        <f t="shared" si="50"/>
        <v>4.1000000000000002E-2</v>
      </c>
      <c r="U32" s="77">
        <f t="shared" si="42"/>
        <v>3.8000000000000006E-2</v>
      </c>
      <c r="V32" s="77">
        <f t="shared" si="30"/>
        <v>3.9E-2</v>
      </c>
      <c r="W32" s="77">
        <f t="shared" si="31"/>
        <v>3.9333333333333338E-2</v>
      </c>
      <c r="X32" s="77">
        <f t="shared" si="32"/>
        <v>3.8777777777777779E-2</v>
      </c>
      <c r="Y32" s="77">
        <f t="shared" si="33"/>
        <v>3.9037037037037037E-2</v>
      </c>
      <c r="AA32" s="70" t="s">
        <v>103</v>
      </c>
      <c r="AC32" s="39" t="s">
        <v>156</v>
      </c>
      <c r="AE32" s="186">
        <f t="shared" si="34"/>
        <v>3.5000000000000003E-2</v>
      </c>
      <c r="AF32" s="186">
        <f t="shared" si="35"/>
        <v>3.7999999999999999E-2</v>
      </c>
      <c r="AG32" s="186">
        <f t="shared" si="36"/>
        <v>4.1000000000000002E-2</v>
      </c>
      <c r="AH32" s="77">
        <f t="shared" si="43"/>
        <v>3.8000000000000006E-2</v>
      </c>
      <c r="AI32" s="77">
        <f t="shared" si="37"/>
        <v>3.9E-2</v>
      </c>
      <c r="AJ32" s="77">
        <f t="shared" si="38"/>
        <v>3.9333333333333338E-2</v>
      </c>
      <c r="AK32" s="77">
        <f t="shared" si="39"/>
        <v>3.8777777777777779E-2</v>
      </c>
      <c r="AL32" s="77">
        <f t="shared" si="40"/>
        <v>3.9037037037037037E-2</v>
      </c>
      <c r="AN32" s="70" t="s">
        <v>103</v>
      </c>
    </row>
    <row r="33" spans="2:40" x14ac:dyDescent="0.2">
      <c r="B33" s="49" t="s">
        <v>17</v>
      </c>
      <c r="C33" s="39" t="s">
        <v>156</v>
      </c>
      <c r="E33" s="81"/>
      <c r="F33" s="81"/>
      <c r="G33" s="81"/>
      <c r="H33" s="77"/>
      <c r="I33" s="77"/>
      <c r="J33" s="77"/>
      <c r="K33" s="77"/>
      <c r="L33" s="77"/>
      <c r="N33" s="70" t="s">
        <v>103</v>
      </c>
      <c r="P33" s="39" t="s">
        <v>156</v>
      </c>
      <c r="R33" s="81">
        <f t="shared" ref="R33:T33" si="51">R169/R$155</f>
        <v>5.5999999999999994E-2</v>
      </c>
      <c r="S33" s="81">
        <f t="shared" si="51"/>
        <v>5.8000000000000003E-2</v>
      </c>
      <c r="T33" s="81">
        <f t="shared" si="51"/>
        <v>4.2000000000000003E-2</v>
      </c>
      <c r="U33" s="77">
        <f t="shared" si="42"/>
        <v>5.1999999999999998E-2</v>
      </c>
      <c r="V33" s="77">
        <f t="shared" si="30"/>
        <v>5.0666666666666665E-2</v>
      </c>
      <c r="W33" s="77">
        <f t="shared" si="31"/>
        <v>4.8222222222222222E-2</v>
      </c>
      <c r="X33" s="77">
        <f t="shared" si="32"/>
        <v>5.029629629629629E-2</v>
      </c>
      <c r="Y33" s="77">
        <f t="shared" si="33"/>
        <v>4.9728395061728388E-2</v>
      </c>
      <c r="AA33" s="70" t="s">
        <v>103</v>
      </c>
      <c r="AC33" s="39" t="s">
        <v>156</v>
      </c>
      <c r="AE33" s="186">
        <f t="shared" si="34"/>
        <v>5.5999999999999994E-2</v>
      </c>
      <c r="AF33" s="186">
        <f t="shared" si="35"/>
        <v>5.8000000000000003E-2</v>
      </c>
      <c r="AG33" s="186">
        <f t="shared" si="36"/>
        <v>4.2000000000000003E-2</v>
      </c>
      <c r="AH33" s="77">
        <f t="shared" si="43"/>
        <v>5.1999999999999998E-2</v>
      </c>
      <c r="AI33" s="77">
        <f t="shared" si="37"/>
        <v>5.0666666666666665E-2</v>
      </c>
      <c r="AJ33" s="77">
        <f t="shared" si="38"/>
        <v>4.8222222222222222E-2</v>
      </c>
      <c r="AK33" s="77">
        <f t="shared" si="39"/>
        <v>5.029629629629629E-2</v>
      </c>
      <c r="AL33" s="77">
        <f t="shared" si="40"/>
        <v>4.9728395061728388E-2</v>
      </c>
      <c r="AN33" s="70" t="s">
        <v>103</v>
      </c>
    </row>
    <row r="34" spans="2:40" x14ac:dyDescent="0.2">
      <c r="E34" s="80"/>
      <c r="F34" s="80"/>
      <c r="G34" s="80"/>
      <c r="R34" s="80"/>
      <c r="S34" s="80"/>
      <c r="T34" s="80"/>
      <c r="AE34" s="80"/>
      <c r="AF34" s="80"/>
      <c r="AG34" s="80"/>
    </row>
    <row r="35" spans="2:40" x14ac:dyDescent="0.2">
      <c r="B35" s="75" t="s">
        <v>104</v>
      </c>
      <c r="E35" s="80"/>
      <c r="F35" s="80"/>
      <c r="G35" s="80"/>
      <c r="R35" s="80"/>
      <c r="S35" s="80"/>
      <c r="T35" s="80"/>
      <c r="AE35" s="80"/>
      <c r="AF35" s="80"/>
      <c r="AG35" s="80"/>
    </row>
    <row r="36" spans="2:40" x14ac:dyDescent="0.2">
      <c r="B36" s="49" t="s">
        <v>21</v>
      </c>
      <c r="C36" s="39" t="s">
        <v>156</v>
      </c>
      <c r="E36" s="81"/>
      <c r="F36" s="81"/>
      <c r="G36" s="81"/>
      <c r="H36" s="77"/>
      <c r="I36" s="77"/>
      <c r="J36" s="77"/>
      <c r="K36" s="77"/>
      <c r="L36" s="77"/>
      <c r="N36" s="70" t="s">
        <v>103</v>
      </c>
      <c r="P36" s="39" t="s">
        <v>156</v>
      </c>
      <c r="R36" s="81">
        <f>R174/R$155</f>
        <v>0.14000000000000001</v>
      </c>
      <c r="S36" s="81">
        <f t="shared" ref="S36:T36" si="52">S174/S$155</f>
        <v>0.14000000000000001</v>
      </c>
      <c r="T36" s="81">
        <f t="shared" si="52"/>
        <v>0.14000000000000001</v>
      </c>
      <c r="U36" s="77">
        <f t="shared" ref="U36" si="53">AVERAGE(R36:T36)</f>
        <v>0.14000000000000001</v>
      </c>
      <c r="V36" s="77">
        <f t="shared" ref="V36" si="54">AVERAGE(S36:U36)</f>
        <v>0.14000000000000001</v>
      </c>
      <c r="W36" s="77">
        <f t="shared" ref="W36" si="55">AVERAGE(T36:V36)</f>
        <v>0.14000000000000001</v>
      </c>
      <c r="X36" s="77">
        <f t="shared" ref="X36" si="56">AVERAGE(U36:W36)</f>
        <v>0.14000000000000001</v>
      </c>
      <c r="Y36" s="77">
        <f t="shared" ref="Y36" si="57">AVERAGE(V36:X36)</f>
        <v>0.14000000000000001</v>
      </c>
      <c r="AA36" s="70" t="s">
        <v>103</v>
      </c>
      <c r="AC36" s="39" t="s">
        <v>156</v>
      </c>
      <c r="AE36" s="186">
        <f>R36</f>
        <v>0.14000000000000001</v>
      </c>
      <c r="AF36" s="186">
        <f t="shared" ref="AF36" si="58">S36</f>
        <v>0.14000000000000001</v>
      </c>
      <c r="AG36" s="186">
        <f t="shared" ref="AG36" si="59">T36</f>
        <v>0.14000000000000001</v>
      </c>
      <c r="AH36" s="77">
        <f t="shared" ref="AH36" si="60">AVERAGE(AE36:AG36)</f>
        <v>0.14000000000000001</v>
      </c>
      <c r="AI36" s="77">
        <f t="shared" ref="AI36" si="61">AVERAGE(AF36:AH36)</f>
        <v>0.14000000000000001</v>
      </c>
      <c r="AJ36" s="77">
        <f t="shared" ref="AJ36" si="62">AVERAGE(AG36:AI36)</f>
        <v>0.14000000000000001</v>
      </c>
      <c r="AK36" s="77">
        <f t="shared" ref="AK36" si="63">AVERAGE(AH36:AJ36)</f>
        <v>0.14000000000000001</v>
      </c>
      <c r="AL36" s="77">
        <f t="shared" ref="AL36" si="64">AVERAGE(AI36:AK36)</f>
        <v>0.14000000000000001</v>
      </c>
      <c r="AN36" s="70" t="s">
        <v>103</v>
      </c>
    </row>
    <row r="37" spans="2:40" x14ac:dyDescent="0.2">
      <c r="B37" s="50" t="s">
        <v>22</v>
      </c>
      <c r="E37" s="80"/>
      <c r="F37" s="80"/>
      <c r="G37" s="80"/>
      <c r="N37" s="70" t="s">
        <v>106</v>
      </c>
      <c r="R37" s="80"/>
      <c r="S37" s="80"/>
      <c r="T37" s="80"/>
      <c r="AA37" s="70" t="s">
        <v>106</v>
      </c>
      <c r="AE37" s="80"/>
      <c r="AF37" s="80"/>
      <c r="AG37" s="80"/>
      <c r="AN37" s="70" t="s">
        <v>106</v>
      </c>
    </row>
    <row r="38" spans="2:40" x14ac:dyDescent="0.2">
      <c r="B38" s="50" t="s">
        <v>105</v>
      </c>
      <c r="C38" s="39" t="s">
        <v>156</v>
      </c>
      <c r="E38" s="81"/>
      <c r="F38" s="81"/>
      <c r="G38" s="81"/>
      <c r="H38" s="77"/>
      <c r="I38" s="77"/>
      <c r="J38" s="77"/>
      <c r="K38" s="77"/>
      <c r="L38" s="77"/>
      <c r="N38" s="70" t="s">
        <v>103</v>
      </c>
      <c r="P38" s="39" t="s">
        <v>156</v>
      </c>
      <c r="R38" s="81">
        <f>R176/R$155</f>
        <v>0.01</v>
      </c>
      <c r="S38" s="81">
        <f t="shared" ref="S38:T38" si="65">S176/S$155</f>
        <v>0.01</v>
      </c>
      <c r="T38" s="81">
        <f t="shared" si="65"/>
        <v>1.2E-2</v>
      </c>
      <c r="U38" s="77">
        <f t="shared" ref="U38" si="66">AVERAGE(R38:T38)</f>
        <v>1.0666666666666666E-2</v>
      </c>
      <c r="V38" s="77">
        <f t="shared" ref="V38" si="67">AVERAGE(S38:U38)</f>
        <v>1.0888888888888887E-2</v>
      </c>
      <c r="W38" s="77">
        <f t="shared" ref="W38" si="68">AVERAGE(T38:V38)</f>
        <v>1.1185185185185185E-2</v>
      </c>
      <c r="X38" s="77">
        <f t="shared" ref="X38" si="69">AVERAGE(U38:W38)</f>
        <v>1.0913580246913579E-2</v>
      </c>
      <c r="Y38" s="77">
        <f t="shared" ref="Y38" si="70">AVERAGE(V38:X38)</f>
        <v>1.099588477366255E-2</v>
      </c>
      <c r="AA38" s="70" t="s">
        <v>103</v>
      </c>
      <c r="AC38" s="39" t="s">
        <v>156</v>
      </c>
      <c r="AE38" s="186">
        <f>R38</f>
        <v>0.01</v>
      </c>
      <c r="AF38" s="186">
        <f t="shared" ref="AF38" si="71">S38</f>
        <v>0.01</v>
      </c>
      <c r="AG38" s="186">
        <f t="shared" ref="AG38" si="72">T38</f>
        <v>1.2E-2</v>
      </c>
      <c r="AH38" s="77">
        <f t="shared" ref="AH38" si="73">AVERAGE(AE38:AG38)</f>
        <v>1.0666666666666666E-2</v>
      </c>
      <c r="AI38" s="77">
        <f t="shared" ref="AI38" si="74">AVERAGE(AF38:AH38)</f>
        <v>1.0888888888888887E-2</v>
      </c>
      <c r="AJ38" s="77">
        <f t="shared" ref="AJ38" si="75">AVERAGE(AG38:AI38)</f>
        <v>1.1185185185185185E-2</v>
      </c>
      <c r="AK38" s="77">
        <f t="shared" ref="AK38" si="76">AVERAGE(AH38:AJ38)</f>
        <v>1.0913580246913579E-2</v>
      </c>
      <c r="AL38" s="77">
        <f t="shared" ref="AL38" si="77">AVERAGE(AI38:AK38)</f>
        <v>1.099588477366255E-2</v>
      </c>
      <c r="AN38" s="70" t="s">
        <v>103</v>
      </c>
    </row>
    <row r="39" spans="2:40" x14ac:dyDescent="0.2">
      <c r="E39" s="80"/>
      <c r="F39" s="80"/>
      <c r="G39" s="80"/>
      <c r="R39" s="80"/>
      <c r="S39" s="80"/>
      <c r="T39" s="80"/>
      <c r="AE39" s="80"/>
      <c r="AF39" s="80"/>
      <c r="AG39" s="80"/>
    </row>
    <row r="40" spans="2:40" x14ac:dyDescent="0.2">
      <c r="B40" s="50" t="s">
        <v>25</v>
      </c>
      <c r="C40" s="39" t="s">
        <v>107</v>
      </c>
      <c r="E40" s="81"/>
      <c r="F40" s="81"/>
      <c r="G40" s="81"/>
      <c r="H40" s="78"/>
      <c r="I40" s="78"/>
      <c r="J40" s="78"/>
      <c r="K40" s="78"/>
      <c r="L40" s="78"/>
      <c r="P40" s="39" t="s">
        <v>107</v>
      </c>
      <c r="R40" s="81">
        <f>R180/R178</f>
        <v>0.35</v>
      </c>
      <c r="S40" s="81">
        <f t="shared" ref="S40:T40" si="78">S180/S178</f>
        <v>0.35</v>
      </c>
      <c r="T40" s="81">
        <f t="shared" si="78"/>
        <v>0.35</v>
      </c>
      <c r="U40" s="78">
        <v>0.35</v>
      </c>
      <c r="V40" s="78">
        <v>0.35</v>
      </c>
      <c r="W40" s="78">
        <v>0.35</v>
      </c>
      <c r="X40" s="78">
        <v>0.35</v>
      </c>
      <c r="Y40" s="78">
        <v>0.35</v>
      </c>
      <c r="AC40" s="39" t="s">
        <v>107</v>
      </c>
      <c r="AE40" s="186">
        <f>R40</f>
        <v>0.35</v>
      </c>
      <c r="AF40" s="186">
        <f t="shared" ref="AF40" si="79">S40</f>
        <v>0.35</v>
      </c>
      <c r="AG40" s="186">
        <f t="shared" ref="AG40" si="80">T40</f>
        <v>0.35</v>
      </c>
      <c r="AH40" s="78">
        <v>0.35</v>
      </c>
      <c r="AI40" s="78">
        <v>0.35</v>
      </c>
      <c r="AJ40" s="78">
        <v>0.35</v>
      </c>
      <c r="AK40" s="78">
        <v>0.35</v>
      </c>
      <c r="AL40" s="78">
        <v>0.35</v>
      </c>
    </row>
    <row r="41" spans="2:40" x14ac:dyDescent="0.2">
      <c r="B41" s="50"/>
      <c r="E41" s="85"/>
      <c r="F41" s="85"/>
      <c r="G41" s="85"/>
      <c r="H41" s="78"/>
      <c r="I41" s="78"/>
      <c r="J41" s="78"/>
      <c r="K41" s="78"/>
      <c r="L41" s="78"/>
      <c r="R41" s="85"/>
      <c r="S41" s="85"/>
      <c r="T41" s="85"/>
      <c r="U41" s="78"/>
      <c r="V41" s="78"/>
      <c r="W41" s="78"/>
      <c r="X41" s="78"/>
      <c r="Y41" s="78"/>
      <c r="AE41" s="85"/>
      <c r="AF41" s="85"/>
      <c r="AG41" s="85"/>
      <c r="AH41" s="78"/>
      <c r="AI41" s="78"/>
      <c r="AJ41" s="78"/>
      <c r="AK41" s="78"/>
      <c r="AL41" s="78"/>
    </row>
    <row r="42" spans="2:40" x14ac:dyDescent="0.2">
      <c r="B42" s="76" t="s">
        <v>158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</row>
    <row r="43" spans="2:40" x14ac:dyDescent="0.2">
      <c r="B43" s="50"/>
      <c r="E43" s="85"/>
      <c r="F43" s="85"/>
      <c r="G43" s="85"/>
      <c r="H43" s="78"/>
      <c r="I43" s="78"/>
      <c r="J43" s="78"/>
      <c r="K43" s="78"/>
      <c r="L43" s="78"/>
      <c r="R43" s="85"/>
      <c r="S43" s="85"/>
      <c r="T43" s="85"/>
      <c r="U43" s="78"/>
      <c r="V43" s="78"/>
      <c r="W43" s="78"/>
      <c r="X43" s="78"/>
      <c r="Y43" s="78"/>
      <c r="AE43" s="85"/>
      <c r="AF43" s="85"/>
      <c r="AG43" s="85"/>
      <c r="AH43" s="78"/>
      <c r="AI43" s="78"/>
      <c r="AJ43" s="78"/>
      <c r="AK43" s="78"/>
      <c r="AL43" s="78"/>
    </row>
    <row r="44" spans="2:40" x14ac:dyDescent="0.2">
      <c r="B44" s="87" t="s">
        <v>159</v>
      </c>
      <c r="C44" s="133"/>
      <c r="D44" s="133"/>
      <c r="E44" s="92"/>
      <c r="F44" s="92"/>
      <c r="G44" s="92"/>
      <c r="H44" s="135"/>
      <c r="I44" s="135"/>
      <c r="J44" s="135"/>
      <c r="K44" s="135"/>
      <c r="L44" s="135"/>
      <c r="P44" s="133"/>
      <c r="Q44" s="133"/>
      <c r="R44" s="92"/>
      <c r="S44" s="92"/>
      <c r="T44" s="92"/>
      <c r="U44" s="135">
        <v>45000</v>
      </c>
      <c r="V44" s="135"/>
      <c r="W44" s="135"/>
      <c r="X44" s="135"/>
      <c r="Y44" s="135"/>
      <c r="AC44" s="133"/>
      <c r="AD44" s="133"/>
      <c r="AE44" s="92"/>
      <c r="AF44" s="92"/>
      <c r="AG44" s="92"/>
      <c r="AH44" s="135">
        <v>45000</v>
      </c>
      <c r="AI44" s="135"/>
      <c r="AJ44" s="135"/>
      <c r="AK44" s="135"/>
      <c r="AL44" s="135"/>
    </row>
    <row r="45" spans="2:40" x14ac:dyDescent="0.2">
      <c r="B45" s="50" t="s">
        <v>160</v>
      </c>
      <c r="C45" s="134"/>
      <c r="D45" s="134"/>
      <c r="E45" s="90"/>
      <c r="F45" s="90"/>
      <c r="G45" s="90"/>
      <c r="H45" s="102"/>
      <c r="I45" s="102"/>
      <c r="J45" s="102"/>
      <c r="K45" s="102"/>
      <c r="L45" s="102"/>
      <c r="P45" s="134"/>
      <c r="Q45" s="134"/>
      <c r="R45" s="90"/>
      <c r="S45" s="90"/>
      <c r="T45" s="90"/>
      <c r="U45" s="102">
        <v>15000</v>
      </c>
      <c r="V45" s="102"/>
      <c r="W45" s="102"/>
      <c r="X45" s="102"/>
      <c r="Y45" s="102"/>
      <c r="AC45" s="134"/>
      <c r="AD45" s="134"/>
      <c r="AE45" s="90"/>
      <c r="AF45" s="90"/>
      <c r="AG45" s="90"/>
      <c r="AH45" s="102">
        <v>15000</v>
      </c>
      <c r="AI45" s="102"/>
      <c r="AJ45" s="102"/>
      <c r="AK45" s="102"/>
      <c r="AL45" s="102"/>
    </row>
    <row r="46" spans="2:40" x14ac:dyDescent="0.2">
      <c r="B46" s="50" t="s">
        <v>91</v>
      </c>
      <c r="C46" s="134"/>
      <c r="D46" s="134"/>
      <c r="E46" s="90"/>
      <c r="F46" s="90"/>
      <c r="G46" s="90"/>
      <c r="H46" s="102"/>
      <c r="I46" s="102"/>
      <c r="J46" s="102"/>
      <c r="K46" s="102"/>
      <c r="L46" s="102"/>
      <c r="P46" s="134"/>
      <c r="Q46" s="134"/>
      <c r="R46" s="90"/>
      <c r="S46" s="90"/>
      <c r="T46" s="90"/>
      <c r="U46" s="102"/>
      <c r="V46" s="102">
        <v>10000</v>
      </c>
      <c r="W46" s="102">
        <v>10000</v>
      </c>
      <c r="X46" s="102">
        <v>10000</v>
      </c>
      <c r="Y46" s="102"/>
      <c r="AC46" s="134"/>
      <c r="AD46" s="134"/>
      <c r="AE46" s="90"/>
      <c r="AF46" s="90"/>
      <c r="AG46" s="90"/>
      <c r="AH46" s="102"/>
      <c r="AI46" s="102">
        <v>10000</v>
      </c>
      <c r="AJ46" s="102">
        <v>10000</v>
      </c>
      <c r="AK46" s="102">
        <v>10000</v>
      </c>
      <c r="AL46" s="102"/>
    </row>
    <row r="47" spans="2:40" x14ac:dyDescent="0.2">
      <c r="B47" s="51" t="s">
        <v>161</v>
      </c>
      <c r="C47" s="95"/>
      <c r="D47" s="95"/>
      <c r="E47" s="136"/>
      <c r="F47" s="136"/>
      <c r="G47" s="136"/>
      <c r="H47" s="95"/>
      <c r="I47" s="95"/>
      <c r="J47" s="95"/>
      <c r="K47" s="95"/>
      <c r="L47" s="95"/>
      <c r="P47" s="95"/>
      <c r="Q47" s="95"/>
      <c r="R47" s="136"/>
      <c r="S47" s="136"/>
      <c r="T47" s="136"/>
      <c r="U47" s="95">
        <f>U45</f>
        <v>15000</v>
      </c>
      <c r="V47" s="95">
        <f t="shared" ref="V47:Y47" si="81">V45</f>
        <v>0</v>
      </c>
      <c r="W47" s="95">
        <f t="shared" si="81"/>
        <v>0</v>
      </c>
      <c r="X47" s="95">
        <f t="shared" si="81"/>
        <v>0</v>
      </c>
      <c r="Y47" s="95">
        <f t="shared" si="81"/>
        <v>0</v>
      </c>
      <c r="AC47" s="95"/>
      <c r="AD47" s="95"/>
      <c r="AE47" s="136"/>
      <c r="AF47" s="136"/>
      <c r="AG47" s="136"/>
      <c r="AH47" s="95">
        <f>AH45</f>
        <v>15000</v>
      </c>
      <c r="AI47" s="95">
        <f t="shared" ref="AI47:AL47" si="82">AI45</f>
        <v>0</v>
      </c>
      <c r="AJ47" s="95">
        <f t="shared" si="82"/>
        <v>0</v>
      </c>
      <c r="AK47" s="95">
        <f t="shared" si="82"/>
        <v>0</v>
      </c>
      <c r="AL47" s="95">
        <f t="shared" si="82"/>
        <v>0</v>
      </c>
    </row>
    <row r="48" spans="2:40" x14ac:dyDescent="0.2">
      <c r="B48" s="50"/>
      <c r="C48" s="134"/>
      <c r="D48" s="134"/>
      <c r="E48" s="90"/>
      <c r="F48" s="90"/>
      <c r="G48" s="90"/>
      <c r="H48" s="91"/>
      <c r="I48" s="91"/>
      <c r="J48" s="91"/>
      <c r="K48" s="91"/>
      <c r="L48" s="91"/>
      <c r="P48" s="134"/>
      <c r="Q48" s="134"/>
      <c r="R48" s="90"/>
      <c r="S48" s="90"/>
      <c r="T48" s="90"/>
      <c r="U48" s="91"/>
      <c r="V48" s="91"/>
      <c r="W48" s="91"/>
      <c r="X48" s="91"/>
      <c r="Y48" s="91"/>
      <c r="AC48" s="134"/>
      <c r="AD48" s="134"/>
      <c r="AE48" s="90"/>
      <c r="AF48" s="90"/>
      <c r="AG48" s="90"/>
      <c r="AH48" s="91"/>
      <c r="AI48" s="91"/>
      <c r="AJ48" s="91"/>
      <c r="AK48" s="91"/>
      <c r="AL48" s="91"/>
    </row>
    <row r="49" spans="2:40" x14ac:dyDescent="0.2">
      <c r="B49" s="52" t="s">
        <v>162</v>
      </c>
      <c r="C49" s="134"/>
      <c r="D49" s="134"/>
      <c r="E49" s="90"/>
      <c r="F49" s="90"/>
      <c r="G49" s="90"/>
      <c r="H49" s="91"/>
      <c r="I49" s="91"/>
      <c r="J49" s="91"/>
      <c r="K49" s="91"/>
      <c r="L49" s="91"/>
      <c r="P49" s="134"/>
      <c r="Q49" s="134"/>
      <c r="R49" s="90"/>
      <c r="S49" s="90"/>
      <c r="T49" s="90"/>
      <c r="U49" s="91"/>
      <c r="V49" s="91"/>
      <c r="W49" s="91"/>
      <c r="X49" s="91"/>
      <c r="Y49" s="91"/>
      <c r="AC49" s="134"/>
      <c r="AD49" s="134"/>
      <c r="AE49" s="90"/>
      <c r="AF49" s="90"/>
      <c r="AG49" s="90"/>
      <c r="AH49" s="91"/>
      <c r="AI49" s="91"/>
      <c r="AJ49" s="91"/>
      <c r="AK49" s="91"/>
      <c r="AL49" s="91"/>
    </row>
    <row r="50" spans="2:40" x14ac:dyDescent="0.2">
      <c r="B50" s="50" t="s">
        <v>163</v>
      </c>
      <c r="C50" s="134"/>
      <c r="D50" s="134"/>
      <c r="E50" s="90"/>
      <c r="F50" s="90"/>
      <c r="G50" s="90"/>
      <c r="H50" s="142"/>
      <c r="I50" s="142"/>
      <c r="J50" s="142"/>
      <c r="K50" s="142"/>
      <c r="L50" s="142"/>
      <c r="P50" s="134"/>
      <c r="Q50" s="134"/>
      <c r="R50" s="90"/>
      <c r="S50" s="90"/>
      <c r="T50" s="90"/>
      <c r="U50" s="142">
        <v>1</v>
      </c>
      <c r="V50" s="142">
        <v>1</v>
      </c>
      <c r="W50" s="142">
        <v>1</v>
      </c>
      <c r="X50" s="142">
        <v>1</v>
      </c>
      <c r="Y50" s="142">
        <v>1</v>
      </c>
      <c r="AC50" s="134"/>
      <c r="AD50" s="134"/>
      <c r="AE50" s="90"/>
      <c r="AF50" s="90"/>
      <c r="AG50" s="90"/>
      <c r="AH50" s="142">
        <v>1</v>
      </c>
      <c r="AI50" s="142">
        <v>1</v>
      </c>
      <c r="AJ50" s="142">
        <v>1</v>
      </c>
      <c r="AK50" s="142">
        <v>1</v>
      </c>
      <c r="AL50" s="142">
        <v>1</v>
      </c>
    </row>
    <row r="51" spans="2:40" x14ac:dyDescent="0.2">
      <c r="B51" s="137" t="s">
        <v>164</v>
      </c>
      <c r="C51" s="138"/>
      <c r="D51" s="138"/>
      <c r="E51" s="139"/>
      <c r="F51" s="139"/>
      <c r="G51" s="139"/>
      <c r="H51" s="143"/>
      <c r="I51" s="143"/>
      <c r="J51" s="143"/>
      <c r="K51" s="143"/>
      <c r="L51" s="143"/>
      <c r="P51" s="138"/>
      <c r="Q51" s="138"/>
      <c r="R51" s="139"/>
      <c r="S51" s="139"/>
      <c r="T51" s="139"/>
      <c r="U51" s="143">
        <v>0.5</v>
      </c>
      <c r="V51" s="143">
        <v>0.5</v>
      </c>
      <c r="W51" s="143">
        <v>0.5</v>
      </c>
      <c r="X51" s="143">
        <v>0.5</v>
      </c>
      <c r="Y51" s="143">
        <v>0.5</v>
      </c>
      <c r="AC51" s="138"/>
      <c r="AD51" s="138"/>
      <c r="AE51" s="139"/>
      <c r="AF51" s="139"/>
      <c r="AG51" s="139"/>
      <c r="AH51" s="143">
        <v>0.5</v>
      </c>
      <c r="AI51" s="143">
        <v>0.5</v>
      </c>
      <c r="AJ51" s="143">
        <v>0.5</v>
      </c>
      <c r="AK51" s="143">
        <v>0.5</v>
      </c>
      <c r="AL51" s="143">
        <v>0.5</v>
      </c>
    </row>
    <row r="52" spans="2:40" x14ac:dyDescent="0.2">
      <c r="B52" s="140" t="s">
        <v>76</v>
      </c>
      <c r="C52" s="133"/>
      <c r="D52" s="133"/>
      <c r="E52" s="92"/>
      <c r="F52" s="92"/>
      <c r="G52" s="92"/>
      <c r="H52" s="144"/>
      <c r="I52" s="144"/>
      <c r="J52" s="144"/>
      <c r="K52" s="144"/>
      <c r="L52" s="144"/>
      <c r="P52" s="133"/>
      <c r="Q52" s="133"/>
      <c r="R52" s="92"/>
      <c r="S52" s="92"/>
      <c r="T52" s="92"/>
      <c r="U52" s="144">
        <f>U50-U51</f>
        <v>0.5</v>
      </c>
      <c r="V52" s="144">
        <f t="shared" ref="V52" si="83">V50-V51</f>
        <v>0.5</v>
      </c>
      <c r="W52" s="144">
        <f t="shared" ref="W52" si="84">W50-W51</f>
        <v>0.5</v>
      </c>
      <c r="X52" s="144">
        <f t="shared" ref="X52" si="85">X50-X51</f>
        <v>0.5</v>
      </c>
      <c r="Y52" s="144">
        <f t="shared" ref="Y52" si="86">Y50-Y51</f>
        <v>0.5</v>
      </c>
      <c r="AC52" s="133"/>
      <c r="AD52" s="133"/>
      <c r="AE52" s="92"/>
      <c r="AF52" s="92"/>
      <c r="AG52" s="92"/>
      <c r="AH52" s="144">
        <f>AH50-AH51</f>
        <v>0.5</v>
      </c>
      <c r="AI52" s="144">
        <f t="shared" ref="AI52" si="87">AI50-AI51</f>
        <v>0.5</v>
      </c>
      <c r="AJ52" s="144">
        <f t="shared" ref="AJ52" si="88">AJ50-AJ51</f>
        <v>0.5</v>
      </c>
      <c r="AK52" s="144">
        <f t="shared" ref="AK52" si="89">AK50-AK51</f>
        <v>0.5</v>
      </c>
      <c r="AL52" s="144">
        <f t="shared" ref="AL52" si="90">AL50-AL51</f>
        <v>0.5</v>
      </c>
    </row>
    <row r="53" spans="2:40" x14ac:dyDescent="0.2">
      <c r="B53" s="50"/>
      <c r="C53" s="134"/>
      <c r="D53" s="134"/>
      <c r="E53" s="90"/>
      <c r="F53" s="90"/>
      <c r="G53" s="90"/>
      <c r="H53" s="91"/>
      <c r="I53" s="91"/>
      <c r="J53" s="91"/>
      <c r="K53" s="91"/>
      <c r="L53" s="91"/>
      <c r="P53" s="134"/>
      <c r="Q53" s="134"/>
      <c r="R53" s="90"/>
      <c r="S53" s="90"/>
      <c r="T53" s="90"/>
      <c r="U53" s="91"/>
      <c r="V53" s="91"/>
      <c r="W53" s="91"/>
      <c r="X53" s="91"/>
      <c r="Y53" s="91"/>
      <c r="AC53" s="134"/>
      <c r="AD53" s="134"/>
      <c r="AE53" s="90"/>
      <c r="AF53" s="90"/>
      <c r="AG53" s="90"/>
      <c r="AH53" s="91"/>
      <c r="AI53" s="91"/>
      <c r="AJ53" s="91"/>
      <c r="AK53" s="91"/>
      <c r="AL53" s="91"/>
    </row>
    <row r="54" spans="2:40" x14ac:dyDescent="0.2">
      <c r="B54" s="50" t="s">
        <v>165</v>
      </c>
      <c r="C54" s="134"/>
      <c r="D54" s="134"/>
      <c r="E54" s="90"/>
      <c r="F54" s="90"/>
      <c r="G54" s="90"/>
      <c r="H54" s="145"/>
      <c r="I54" s="91"/>
      <c r="J54" s="91"/>
      <c r="K54" s="91"/>
      <c r="L54" s="91"/>
      <c r="P54" s="134"/>
      <c r="Q54" s="134"/>
      <c r="R54" s="90"/>
      <c r="S54" s="90"/>
      <c r="T54" s="90"/>
      <c r="U54" s="145">
        <f>T202</f>
        <v>5000</v>
      </c>
      <c r="V54" s="91"/>
      <c r="W54" s="91"/>
      <c r="X54" s="91"/>
      <c r="Y54" s="91"/>
      <c r="AC54" s="134"/>
      <c r="AD54" s="134"/>
      <c r="AE54" s="90"/>
      <c r="AF54" s="90"/>
      <c r="AG54" s="90"/>
      <c r="AH54" s="145">
        <f>AG202</f>
        <v>0</v>
      </c>
      <c r="AI54" s="91"/>
      <c r="AJ54" s="91"/>
      <c r="AK54" s="91"/>
      <c r="AL54" s="91"/>
    </row>
    <row r="55" spans="2:40" x14ac:dyDescent="0.2">
      <c r="B55" s="50"/>
      <c r="C55" s="134"/>
      <c r="D55" s="134"/>
      <c r="E55" s="90"/>
      <c r="F55" s="90"/>
      <c r="G55" s="90"/>
      <c r="H55" s="91"/>
      <c r="I55" s="91"/>
      <c r="J55" s="91"/>
      <c r="K55" s="91"/>
      <c r="L55" s="91"/>
      <c r="P55" s="134"/>
      <c r="Q55" s="134"/>
      <c r="R55" s="90"/>
      <c r="S55" s="90"/>
      <c r="T55" s="90"/>
      <c r="U55" s="91"/>
      <c r="V55" s="91"/>
      <c r="W55" s="91"/>
      <c r="X55" s="91"/>
      <c r="Y55" s="91"/>
      <c r="AC55" s="134"/>
      <c r="AD55" s="134"/>
      <c r="AE55" s="90"/>
      <c r="AF55" s="90"/>
      <c r="AG55" s="90"/>
      <c r="AH55" s="91"/>
      <c r="AI55" s="91"/>
      <c r="AJ55" s="91"/>
      <c r="AK55" s="91"/>
      <c r="AL55" s="91"/>
    </row>
    <row r="56" spans="2:40" x14ac:dyDescent="0.2">
      <c r="B56" s="52" t="s">
        <v>166</v>
      </c>
      <c r="C56" s="134"/>
      <c r="D56" s="134"/>
      <c r="E56" s="90"/>
      <c r="F56" s="90"/>
      <c r="G56" s="90"/>
      <c r="H56" s="91"/>
      <c r="I56" s="91"/>
      <c r="J56" s="91"/>
      <c r="K56" s="91"/>
      <c r="L56" s="91"/>
      <c r="P56" s="134"/>
      <c r="Q56" s="134"/>
      <c r="R56" s="90"/>
      <c r="S56" s="90"/>
      <c r="T56" s="90"/>
      <c r="U56" s="91">
        <f>U44-U54</f>
        <v>40000</v>
      </c>
      <c r="V56" s="91">
        <f t="shared" ref="V56:Y56" si="91">V44-V54</f>
        <v>0</v>
      </c>
      <c r="W56" s="91">
        <f t="shared" si="91"/>
        <v>0</v>
      </c>
      <c r="X56" s="91">
        <f t="shared" si="91"/>
        <v>0</v>
      </c>
      <c r="Y56" s="91">
        <f t="shared" si="91"/>
        <v>0</v>
      </c>
      <c r="AC56" s="134"/>
      <c r="AD56" s="134"/>
      <c r="AE56" s="90"/>
      <c r="AF56" s="90"/>
      <c r="AG56" s="90"/>
      <c r="AH56" s="91">
        <f>AH44-AH54</f>
        <v>45000</v>
      </c>
      <c r="AI56" s="91">
        <f t="shared" ref="AI56:AL56" si="92">AI44-AI54</f>
        <v>0</v>
      </c>
      <c r="AJ56" s="91">
        <f t="shared" si="92"/>
        <v>0</v>
      </c>
      <c r="AK56" s="91">
        <f t="shared" si="92"/>
        <v>0</v>
      </c>
      <c r="AL56" s="91">
        <f t="shared" si="92"/>
        <v>0</v>
      </c>
    </row>
    <row r="57" spans="2:40" x14ac:dyDescent="0.2">
      <c r="B57" s="152" t="s">
        <v>164</v>
      </c>
      <c r="C57" s="146"/>
      <c r="D57" s="146"/>
      <c r="E57" s="147"/>
      <c r="F57" s="147"/>
      <c r="G57" s="147"/>
      <c r="H57" s="148"/>
      <c r="I57" s="148"/>
      <c r="J57" s="148"/>
      <c r="K57" s="148"/>
      <c r="L57" s="148"/>
      <c r="P57" s="146"/>
      <c r="Q57" s="146"/>
      <c r="R57" s="147"/>
      <c r="S57" s="147"/>
      <c r="T57" s="147"/>
      <c r="U57" s="148">
        <f>U56*U51</f>
        <v>20000</v>
      </c>
      <c r="V57" s="148">
        <f t="shared" ref="V57" si="93">V56*V51</f>
        <v>0</v>
      </c>
      <c r="W57" s="148">
        <f t="shared" ref="W57" si="94">W56*W51</f>
        <v>0</v>
      </c>
      <c r="X57" s="148">
        <f t="shared" ref="X57" si="95">X56*X51</f>
        <v>0</v>
      </c>
      <c r="Y57" s="148">
        <f t="shared" ref="Y57" si="96">Y56*Y51</f>
        <v>0</v>
      </c>
      <c r="AC57" s="146"/>
      <c r="AD57" s="146"/>
      <c r="AE57" s="147"/>
      <c r="AF57" s="147"/>
      <c r="AG57" s="147"/>
      <c r="AH57" s="148">
        <f>AH56*AH51</f>
        <v>22500</v>
      </c>
      <c r="AI57" s="148">
        <f t="shared" ref="AI57" si="97">AI56*AI51</f>
        <v>0</v>
      </c>
      <c r="AJ57" s="148">
        <f t="shared" ref="AJ57" si="98">AJ56*AJ51</f>
        <v>0</v>
      </c>
      <c r="AK57" s="148">
        <f t="shared" ref="AK57" si="99">AK56*AK51</f>
        <v>0</v>
      </c>
      <c r="AL57" s="148">
        <f t="shared" ref="AL57" si="100">AL56*AL51</f>
        <v>0</v>
      </c>
    </row>
    <row r="58" spans="2:40" x14ac:dyDescent="0.2">
      <c r="B58" s="153" t="s">
        <v>76</v>
      </c>
      <c r="C58" s="149"/>
      <c r="D58" s="149"/>
      <c r="E58" s="150"/>
      <c r="F58" s="150"/>
      <c r="G58" s="150"/>
      <c r="H58" s="151"/>
      <c r="I58" s="151"/>
      <c r="J58" s="151"/>
      <c r="K58" s="151"/>
      <c r="L58" s="151"/>
      <c r="P58" s="149"/>
      <c r="Q58" s="149"/>
      <c r="R58" s="150"/>
      <c r="S58" s="150"/>
      <c r="T58" s="150"/>
      <c r="U58" s="151">
        <f>U56*U52</f>
        <v>20000</v>
      </c>
      <c r="V58" s="151">
        <f t="shared" ref="V58:Y58" si="101">V56*V52</f>
        <v>0</v>
      </c>
      <c r="W58" s="151">
        <f t="shared" si="101"/>
        <v>0</v>
      </c>
      <c r="X58" s="151">
        <f t="shared" si="101"/>
        <v>0</v>
      </c>
      <c r="Y58" s="151">
        <f t="shared" si="101"/>
        <v>0</v>
      </c>
      <c r="AC58" s="149"/>
      <c r="AD58" s="149"/>
      <c r="AE58" s="150"/>
      <c r="AF58" s="150"/>
      <c r="AG58" s="150"/>
      <c r="AH58" s="151">
        <f>AH56*AH52</f>
        <v>22500</v>
      </c>
      <c r="AI58" s="151">
        <f t="shared" ref="AI58:AL58" si="102">AI56*AI52</f>
        <v>0</v>
      </c>
      <c r="AJ58" s="151">
        <f t="shared" si="102"/>
        <v>0</v>
      </c>
      <c r="AK58" s="151">
        <f t="shared" si="102"/>
        <v>0</v>
      </c>
      <c r="AL58" s="151">
        <f t="shared" si="102"/>
        <v>0</v>
      </c>
    </row>
    <row r="59" spans="2:40" x14ac:dyDescent="0.2">
      <c r="B59" s="50"/>
      <c r="C59" s="134"/>
      <c r="D59" s="134"/>
      <c r="E59" s="90"/>
      <c r="F59" s="90"/>
      <c r="G59" s="90"/>
      <c r="H59" s="91"/>
      <c r="I59" s="91"/>
      <c r="J59" s="91"/>
      <c r="K59" s="91"/>
      <c r="L59" s="91"/>
      <c r="P59" s="134"/>
      <c r="Q59" s="134"/>
      <c r="R59" s="90"/>
      <c r="S59" s="90"/>
      <c r="T59" s="90"/>
      <c r="U59" s="91"/>
      <c r="V59" s="91"/>
      <c r="W59" s="91"/>
      <c r="X59" s="91"/>
      <c r="Y59" s="91"/>
      <c r="AC59" s="134"/>
      <c r="AD59" s="134"/>
      <c r="AE59" s="90"/>
      <c r="AF59" s="90"/>
      <c r="AG59" s="90"/>
      <c r="AH59" s="91"/>
      <c r="AI59" s="91"/>
      <c r="AJ59" s="91"/>
      <c r="AK59" s="91"/>
      <c r="AL59" s="91"/>
    </row>
    <row r="60" spans="2:40" x14ac:dyDescent="0.2">
      <c r="B60" s="76" t="s">
        <v>106</v>
      </c>
      <c r="C60" s="76"/>
      <c r="D60" s="76"/>
      <c r="E60" s="76"/>
      <c r="F60" s="76"/>
      <c r="G60" s="76"/>
      <c r="H60" s="76"/>
      <c r="I60" s="76"/>
      <c r="J60" s="76"/>
      <c r="K60" s="76"/>
      <c r="L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</row>
    <row r="61" spans="2:40" x14ac:dyDescent="0.2">
      <c r="B61" s="50"/>
      <c r="E61" s="90"/>
      <c r="F61" s="90"/>
      <c r="G61" s="90"/>
      <c r="H61" s="91"/>
      <c r="I61" s="91"/>
      <c r="J61" s="91"/>
      <c r="K61" s="91"/>
      <c r="L61" s="91"/>
      <c r="R61" s="90"/>
      <c r="S61" s="90"/>
      <c r="T61" s="90"/>
      <c r="U61" s="91"/>
      <c r="V61" s="91"/>
      <c r="W61" s="91"/>
      <c r="X61" s="91"/>
      <c r="Y61" s="91"/>
      <c r="AE61" s="90"/>
      <c r="AF61" s="90"/>
      <c r="AG61" s="90"/>
      <c r="AH61" s="91"/>
      <c r="AI61" s="91"/>
      <c r="AJ61" s="91"/>
      <c r="AK61" s="91"/>
      <c r="AL61" s="91"/>
    </row>
    <row r="62" spans="2:40" x14ac:dyDescent="0.2">
      <c r="B62" s="87" t="s">
        <v>108</v>
      </c>
      <c r="C62" s="88"/>
      <c r="D62" s="88"/>
      <c r="E62" s="92"/>
      <c r="F62" s="92"/>
      <c r="G62" s="92"/>
      <c r="H62" s="154"/>
      <c r="I62" s="93"/>
      <c r="J62" s="93"/>
      <c r="K62" s="93"/>
      <c r="L62" s="93"/>
      <c r="P62" s="88"/>
      <c r="Q62" s="88"/>
      <c r="R62" s="92"/>
      <c r="S62" s="92"/>
      <c r="T62" s="92"/>
      <c r="U62" s="154"/>
      <c r="V62" s="93">
        <f>U65</f>
        <v>13212.974729114836</v>
      </c>
      <c r="W62" s="93">
        <f t="shared" ref="W62" si="103">V65</f>
        <v>11318.727941976562</v>
      </c>
      <c r="X62" s="93">
        <f t="shared" ref="X62" si="104">W65</f>
        <v>9310.8263476099928</v>
      </c>
      <c r="Y62" s="93">
        <f t="shared" ref="Y62" si="105">X65</f>
        <v>7182.4506575814285</v>
      </c>
      <c r="AC62" s="88"/>
      <c r="AD62" s="88"/>
      <c r="AE62" s="92"/>
      <c r="AF62" s="92"/>
      <c r="AG62" s="92"/>
      <c r="AH62" s="154"/>
      <c r="AI62" s="93">
        <f>AH65</f>
        <v>13212.974729114836</v>
      </c>
      <c r="AJ62" s="93">
        <f t="shared" ref="AJ62" si="106">AI65</f>
        <v>11318.727941976562</v>
      </c>
      <c r="AK62" s="93">
        <f t="shared" ref="AK62" si="107">AJ65</f>
        <v>9310.8263476099928</v>
      </c>
      <c r="AL62" s="93">
        <f t="shared" ref="AL62" si="108">AK65</f>
        <v>7182.4506575814285</v>
      </c>
    </row>
    <row r="63" spans="2:40" x14ac:dyDescent="0.2">
      <c r="B63" s="86" t="s">
        <v>109</v>
      </c>
      <c r="E63" s="90"/>
      <c r="F63" s="90"/>
      <c r="G63" s="90"/>
      <c r="H63" s="155"/>
      <c r="I63" s="155"/>
      <c r="J63" s="155"/>
      <c r="K63" s="155"/>
      <c r="L63" s="155"/>
      <c r="N63" s="70" t="s">
        <v>123</v>
      </c>
      <c r="R63" s="90"/>
      <c r="S63" s="90"/>
      <c r="T63" s="90"/>
      <c r="U63" s="155">
        <f>U47</f>
        <v>15000</v>
      </c>
      <c r="V63" s="155">
        <f t="shared" ref="V63:Y63" si="109">V47</f>
        <v>0</v>
      </c>
      <c r="W63" s="155">
        <f t="shared" si="109"/>
        <v>0</v>
      </c>
      <c r="X63" s="155">
        <f t="shared" si="109"/>
        <v>0</v>
      </c>
      <c r="Y63" s="155">
        <f t="shared" si="109"/>
        <v>0</v>
      </c>
      <c r="AA63" s="70" t="s">
        <v>123</v>
      </c>
      <c r="AE63" s="90"/>
      <c r="AF63" s="90"/>
      <c r="AG63" s="90"/>
      <c r="AH63" s="155">
        <f>AH47</f>
        <v>15000</v>
      </c>
      <c r="AI63" s="155">
        <f t="shared" ref="AI63:AL63" si="110">AI47</f>
        <v>0</v>
      </c>
      <c r="AJ63" s="155">
        <f t="shared" si="110"/>
        <v>0</v>
      </c>
      <c r="AK63" s="155">
        <f t="shared" si="110"/>
        <v>0</v>
      </c>
      <c r="AL63" s="155">
        <f t="shared" si="110"/>
        <v>0</v>
      </c>
      <c r="AN63" s="70" t="s">
        <v>123</v>
      </c>
    </row>
    <row r="64" spans="2:40" x14ac:dyDescent="0.2">
      <c r="B64" s="86" t="s">
        <v>110</v>
      </c>
      <c r="E64" s="90"/>
      <c r="F64" s="90"/>
      <c r="G64" s="90"/>
      <c r="H64" s="91"/>
      <c r="I64" s="91"/>
      <c r="J64" s="91"/>
      <c r="K64" s="91"/>
      <c r="L64" s="91"/>
      <c r="R64" s="90"/>
      <c r="S64" s="90"/>
      <c r="T64" s="90"/>
      <c r="U64" s="91">
        <f>SUMIFS($X$69:$X$79,$S$69:$S$79,U7)</f>
        <v>-1787.0252708851635</v>
      </c>
      <c r="V64" s="91">
        <f t="shared" ref="V64:Y64" si="111">SUMIFS($X$69:$X$79,$S$69:$S$79,V7)</f>
        <v>-1894.2467871382732</v>
      </c>
      <c r="W64" s="91">
        <f t="shared" si="111"/>
        <v>-2007.90159436657</v>
      </c>
      <c r="X64" s="91">
        <f t="shared" si="111"/>
        <v>-2128.3756900285639</v>
      </c>
      <c r="Y64" s="91">
        <f t="shared" si="111"/>
        <v>-2256.0782314302778</v>
      </c>
      <c r="AE64" s="90"/>
      <c r="AF64" s="90"/>
      <c r="AG64" s="90"/>
      <c r="AH64" s="91">
        <f>SUMIFS($AK$69:$AK$79,$AF$69:$AF$79,AH7)</f>
        <v>-1787.0252708851635</v>
      </c>
      <c r="AI64" s="91">
        <f t="shared" ref="AI64:AL64" si="112">SUMIFS($AK$69:$AK$79,$AF$69:$AF$79,AI7)</f>
        <v>-1894.2467871382732</v>
      </c>
      <c r="AJ64" s="91">
        <f t="shared" si="112"/>
        <v>-2007.90159436657</v>
      </c>
      <c r="AK64" s="91">
        <f t="shared" si="112"/>
        <v>-2128.3756900285639</v>
      </c>
      <c r="AL64" s="91">
        <f t="shared" si="112"/>
        <v>-2256.0782314302778</v>
      </c>
    </row>
    <row r="65" spans="2:38" x14ac:dyDescent="0.2">
      <c r="B65" s="51" t="s">
        <v>111</v>
      </c>
      <c r="C65" s="89"/>
      <c r="D65" s="89"/>
      <c r="E65" s="94"/>
      <c r="F65" s="94"/>
      <c r="G65" s="94"/>
      <c r="H65" s="95"/>
      <c r="I65" s="95"/>
      <c r="J65" s="95"/>
      <c r="K65" s="95"/>
      <c r="L65" s="95"/>
      <c r="P65" s="89"/>
      <c r="Q65" s="89"/>
      <c r="R65" s="94"/>
      <c r="S65" s="94"/>
      <c r="T65" s="94"/>
      <c r="U65" s="95">
        <f>SUM(U62:U64)</f>
        <v>13212.974729114836</v>
      </c>
      <c r="V65" s="95">
        <f t="shared" ref="V65:Y65" si="113">SUM(V62:V64)</f>
        <v>11318.727941976562</v>
      </c>
      <c r="W65" s="95">
        <f t="shared" si="113"/>
        <v>9310.8263476099928</v>
      </c>
      <c r="X65" s="95">
        <f t="shared" si="113"/>
        <v>7182.4506575814285</v>
      </c>
      <c r="Y65" s="95">
        <f t="shared" si="113"/>
        <v>4926.3724261511506</v>
      </c>
      <c r="AC65" s="89"/>
      <c r="AD65" s="89"/>
      <c r="AE65" s="94"/>
      <c r="AF65" s="94"/>
      <c r="AG65" s="94"/>
      <c r="AH65" s="95">
        <f>SUM(AH62:AH64)</f>
        <v>13212.974729114836</v>
      </c>
      <c r="AI65" s="95">
        <f t="shared" ref="AI65:AL65" si="114">SUM(AI62:AI64)</f>
        <v>11318.727941976562</v>
      </c>
      <c r="AJ65" s="95">
        <f t="shared" si="114"/>
        <v>9310.8263476099928</v>
      </c>
      <c r="AK65" s="95">
        <f t="shared" si="114"/>
        <v>7182.4506575814285</v>
      </c>
      <c r="AL65" s="95">
        <f t="shared" si="114"/>
        <v>4926.3724261511506</v>
      </c>
    </row>
    <row r="66" spans="2:38" x14ac:dyDescent="0.2">
      <c r="B66" s="50"/>
      <c r="E66" s="90"/>
      <c r="F66" s="90"/>
      <c r="G66" s="90"/>
      <c r="H66" s="91"/>
      <c r="I66" s="91"/>
      <c r="J66" s="91"/>
      <c r="K66" s="91"/>
      <c r="L66" s="91"/>
      <c r="R66" s="90"/>
      <c r="S66" s="90"/>
      <c r="T66" s="90"/>
      <c r="U66" s="91"/>
      <c r="V66" s="91"/>
      <c r="W66" s="91"/>
      <c r="X66" s="91"/>
      <c r="Y66" s="91"/>
      <c r="AE66" s="90"/>
      <c r="AF66" s="90"/>
      <c r="AG66" s="90"/>
      <c r="AH66" s="91"/>
      <c r="AI66" s="91"/>
      <c r="AJ66" s="91"/>
      <c r="AK66" s="91"/>
      <c r="AL66" s="91"/>
    </row>
    <row r="67" spans="2:38" x14ac:dyDescent="0.2">
      <c r="B67" s="51" t="s">
        <v>112</v>
      </c>
      <c r="C67" s="89"/>
      <c r="D67" s="89"/>
      <c r="E67" s="94"/>
      <c r="F67" s="94"/>
      <c r="G67" s="94"/>
      <c r="H67" s="95"/>
      <c r="I67" s="95"/>
      <c r="J67" s="95"/>
      <c r="K67" s="95"/>
      <c r="L67" s="95"/>
      <c r="P67" s="89"/>
      <c r="Q67" s="89"/>
      <c r="R67" s="94"/>
      <c r="S67" s="94"/>
      <c r="T67" s="94"/>
      <c r="U67" s="95">
        <f>SUMIFS($W$69:$W$79,$S$69:$S$79,U7)</f>
        <v>-900</v>
      </c>
      <c r="V67" s="95">
        <f t="shared" ref="V67:Y67" si="115">SUMIFS($W$69:$W$79,$S$69:$S$79,V7)</f>
        <v>-792.77848374689017</v>
      </c>
      <c r="W67" s="95">
        <f t="shared" si="115"/>
        <v>-679.12367651859392</v>
      </c>
      <c r="X67" s="95">
        <f t="shared" si="115"/>
        <v>-558.64958085659975</v>
      </c>
      <c r="Y67" s="95">
        <f t="shared" si="115"/>
        <v>-430.94703945488578</v>
      </c>
      <c r="AC67" s="89"/>
      <c r="AD67" s="89"/>
      <c r="AE67" s="94"/>
      <c r="AF67" s="94"/>
      <c r="AG67" s="94"/>
      <c r="AH67" s="95">
        <f>SUMIFS($AJ$69:$AJ$79,$AF$69:$AF$79,AH7)</f>
        <v>-900</v>
      </c>
      <c r="AI67" s="95">
        <f t="shared" ref="AI67:AL67" si="116">SUMIFS($AJ$69:$AJ$79,$AF$69:$AF$79,AI7)</f>
        <v>-792.77848374689017</v>
      </c>
      <c r="AJ67" s="95">
        <f t="shared" si="116"/>
        <v>-679.12367651859392</v>
      </c>
      <c r="AK67" s="95">
        <f t="shared" si="116"/>
        <v>-558.64958085659975</v>
      </c>
      <c r="AL67" s="95">
        <f t="shared" si="116"/>
        <v>-430.94703945488578</v>
      </c>
    </row>
    <row r="68" spans="2:38" x14ac:dyDescent="0.2">
      <c r="B68" s="50"/>
      <c r="E68" s="90"/>
      <c r="F68" s="90"/>
      <c r="G68" s="90"/>
      <c r="H68" s="91"/>
      <c r="I68" s="91"/>
      <c r="J68" s="91"/>
      <c r="K68" s="91"/>
      <c r="L68" s="91"/>
      <c r="R68" s="90"/>
      <c r="S68" s="90"/>
      <c r="T68" s="90"/>
      <c r="U68" s="91"/>
      <c r="V68" s="91"/>
      <c r="W68" s="91"/>
      <c r="X68" s="91"/>
      <c r="Y68" s="91"/>
      <c r="AE68" s="90"/>
      <c r="AF68" s="90"/>
      <c r="AG68" s="90"/>
      <c r="AH68" s="91"/>
      <c r="AI68" s="91"/>
      <c r="AJ68" s="91"/>
      <c r="AK68" s="91"/>
      <c r="AL68" s="91"/>
    </row>
    <row r="69" spans="2:38" x14ac:dyDescent="0.2">
      <c r="B69" s="97" t="s">
        <v>113</v>
      </c>
      <c r="C69" s="98"/>
      <c r="D69" s="79"/>
      <c r="E69" s="99"/>
      <c r="F69" s="100"/>
      <c r="G69" s="100"/>
      <c r="H69" s="100"/>
      <c r="I69" s="100"/>
      <c r="J69" s="100"/>
      <c r="K69" s="100"/>
      <c r="L69" s="100"/>
      <c r="P69" s="98"/>
      <c r="Q69" s="79"/>
      <c r="R69" s="99"/>
      <c r="S69" s="100" t="s">
        <v>117</v>
      </c>
      <c r="T69" s="100" t="s">
        <v>118</v>
      </c>
      <c r="U69" s="100" t="s">
        <v>119</v>
      </c>
      <c r="V69" s="100" t="s">
        <v>120</v>
      </c>
      <c r="W69" s="100" t="s">
        <v>22</v>
      </c>
      <c r="X69" s="100" t="s">
        <v>121</v>
      </c>
      <c r="Y69" s="100" t="s">
        <v>122</v>
      </c>
      <c r="AC69" s="98"/>
      <c r="AD69" s="79"/>
      <c r="AE69" s="99"/>
      <c r="AF69" s="100" t="s">
        <v>117</v>
      </c>
      <c r="AG69" s="100" t="s">
        <v>118</v>
      </c>
      <c r="AH69" s="100" t="s">
        <v>119</v>
      </c>
      <c r="AI69" s="100" t="s">
        <v>120</v>
      </c>
      <c r="AJ69" s="100" t="s">
        <v>22</v>
      </c>
      <c r="AK69" s="100" t="s">
        <v>121</v>
      </c>
      <c r="AL69" s="100" t="s">
        <v>122</v>
      </c>
    </row>
    <row r="70" spans="2:38" x14ac:dyDescent="0.2">
      <c r="B70" s="101" t="s">
        <v>114</v>
      </c>
      <c r="C70" s="155">
        <f>H63</f>
        <v>0</v>
      </c>
      <c r="D70" s="79"/>
      <c r="E70" s="99"/>
      <c r="F70" s="103"/>
      <c r="G70" s="104"/>
      <c r="H70" s="104"/>
      <c r="I70" s="104"/>
      <c r="J70" s="104"/>
      <c r="K70" s="104"/>
      <c r="L70" s="104"/>
      <c r="P70" s="155">
        <f>U63</f>
        <v>15000</v>
      </c>
      <c r="Q70" s="79"/>
      <c r="R70" s="99"/>
      <c r="S70" s="103">
        <f>YEAR(P73)</f>
        <v>2023</v>
      </c>
      <c r="T70" s="104">
        <v>1</v>
      </c>
      <c r="U70" s="104">
        <f>P70</f>
        <v>15000</v>
      </c>
      <c r="V70" s="104">
        <f>PMT($P$71,$P$72,$P$70)</f>
        <v>-2687.0252708851635</v>
      </c>
      <c r="W70" s="104">
        <f>IFERROR(IPMT($P$71,T70,$P$72,$P$70),0)</f>
        <v>-900</v>
      </c>
      <c r="X70" s="104">
        <f>IFERROR(PPMT($P$71,T70,$P$72,$P$70),0)</f>
        <v>-1787.0252708851635</v>
      </c>
      <c r="Y70" s="104">
        <f>U70+X70</f>
        <v>13212.974729114836</v>
      </c>
      <c r="AC70" s="155">
        <f>AH63</f>
        <v>15000</v>
      </c>
      <c r="AD70" s="79"/>
      <c r="AE70" s="99"/>
      <c r="AF70" s="103">
        <f>YEAR(AC73)</f>
        <v>2023</v>
      </c>
      <c r="AG70" s="104">
        <v>1</v>
      </c>
      <c r="AH70" s="104">
        <f>AC70</f>
        <v>15000</v>
      </c>
      <c r="AI70" s="104">
        <f>PMT($AC$71,$AC$72,$AC$70)</f>
        <v>-2687.0252708851635</v>
      </c>
      <c r="AJ70" s="104">
        <f>IFERROR(IPMT($AC$71,AG70,$AC$72,$AC$70),0)</f>
        <v>-900</v>
      </c>
      <c r="AK70" s="104">
        <f>IFERROR(PPMT($AC$71,AG70,$AC$72,$AC$70),0)</f>
        <v>-1787.0252708851635</v>
      </c>
      <c r="AL70" s="104">
        <f>AH70+AK70</f>
        <v>13212.974729114836</v>
      </c>
    </row>
    <row r="71" spans="2:38" x14ac:dyDescent="0.2">
      <c r="B71" s="101" t="s">
        <v>22</v>
      </c>
      <c r="C71" s="105">
        <v>0.06</v>
      </c>
      <c r="D71" s="79"/>
      <c r="E71" s="99"/>
      <c r="F71" s="103"/>
      <c r="G71" s="104"/>
      <c r="H71" s="104"/>
      <c r="I71" s="104"/>
      <c r="J71" s="104"/>
      <c r="K71" s="104"/>
      <c r="L71" s="104"/>
      <c r="P71" s="105">
        <v>0.06</v>
      </c>
      <c r="Q71" s="79"/>
      <c r="R71" s="99"/>
      <c r="S71" s="103">
        <f>S70+1</f>
        <v>2024</v>
      </c>
      <c r="T71" s="104">
        <f>T70+1</f>
        <v>2</v>
      </c>
      <c r="U71" s="104">
        <f>Y70</f>
        <v>13212.974729114836</v>
      </c>
      <c r="V71" s="104">
        <f t="shared" ref="V71:V79" si="117">PMT($P$71,$P$72,$P$70)</f>
        <v>-2687.0252708851635</v>
      </c>
      <c r="W71" s="104">
        <f t="shared" ref="W71:W79" si="118">IFERROR(IPMT($P$71,T71,$P$72,$P$70),0)</f>
        <v>-792.77848374689017</v>
      </c>
      <c r="X71" s="104">
        <f t="shared" ref="X71:X79" si="119">IFERROR(PPMT($P$71,T71,$P$72,$P$70),0)</f>
        <v>-1894.2467871382732</v>
      </c>
      <c r="Y71" s="104">
        <f t="shared" ref="Y71:Y79" si="120">U71+X71</f>
        <v>11318.727941976562</v>
      </c>
      <c r="AC71" s="105">
        <v>0.06</v>
      </c>
      <c r="AD71" s="79"/>
      <c r="AE71" s="99"/>
      <c r="AF71" s="103">
        <f>AF70+1</f>
        <v>2024</v>
      </c>
      <c r="AG71" s="104">
        <f>AG70+1</f>
        <v>2</v>
      </c>
      <c r="AH71" s="104">
        <f>AL70</f>
        <v>13212.974729114836</v>
      </c>
      <c r="AI71" s="104">
        <f t="shared" ref="AI71:AI79" si="121">PMT($AC$71,$AC$72,$AC$70)</f>
        <v>-2687.0252708851635</v>
      </c>
      <c r="AJ71" s="104">
        <f t="shared" ref="AJ71:AJ79" si="122">IFERROR(IPMT($AC$71,AG71,$AC$72,$AC$70),0)</f>
        <v>-792.77848374689017</v>
      </c>
      <c r="AK71" s="104">
        <f t="shared" ref="AK71:AK79" si="123">IFERROR(PPMT($AC$71,AG71,$AC$72,$AC$70),0)</f>
        <v>-1894.2467871382732</v>
      </c>
      <c r="AL71" s="104">
        <f t="shared" ref="AL71:AL79" si="124">AH71+AK71</f>
        <v>11318.727941976562</v>
      </c>
    </row>
    <row r="72" spans="2:38" x14ac:dyDescent="0.2">
      <c r="B72" s="101" t="s">
        <v>115</v>
      </c>
      <c r="C72" s="106">
        <v>7</v>
      </c>
      <c r="D72" s="79"/>
      <c r="E72" s="99"/>
      <c r="F72" s="103"/>
      <c r="G72" s="104"/>
      <c r="H72" s="104"/>
      <c r="I72" s="104"/>
      <c r="J72" s="104"/>
      <c r="K72" s="104"/>
      <c r="L72" s="104"/>
      <c r="P72" s="106">
        <v>7</v>
      </c>
      <c r="Q72" s="79"/>
      <c r="R72" s="99"/>
      <c r="S72" s="103">
        <f t="shared" ref="S72:T72" si="125">S71+1</f>
        <v>2025</v>
      </c>
      <c r="T72" s="104">
        <f t="shared" si="125"/>
        <v>3</v>
      </c>
      <c r="U72" s="104">
        <f t="shared" ref="U72:U79" si="126">Y71</f>
        <v>11318.727941976562</v>
      </c>
      <c r="V72" s="104">
        <f t="shared" si="117"/>
        <v>-2687.0252708851635</v>
      </c>
      <c r="W72" s="104">
        <f t="shared" si="118"/>
        <v>-679.12367651859392</v>
      </c>
      <c r="X72" s="104">
        <f t="shared" si="119"/>
        <v>-2007.90159436657</v>
      </c>
      <c r="Y72" s="104">
        <f t="shared" si="120"/>
        <v>9310.8263476099928</v>
      </c>
      <c r="AC72" s="106">
        <v>7</v>
      </c>
      <c r="AD72" s="79"/>
      <c r="AE72" s="99"/>
      <c r="AF72" s="103">
        <f t="shared" ref="AF72:AG72" si="127">AF71+1</f>
        <v>2025</v>
      </c>
      <c r="AG72" s="104">
        <f t="shared" si="127"/>
        <v>3</v>
      </c>
      <c r="AH72" s="104">
        <f t="shared" ref="AH72:AH79" si="128">AL71</f>
        <v>11318.727941976562</v>
      </c>
      <c r="AI72" s="104">
        <f t="shared" si="121"/>
        <v>-2687.0252708851635</v>
      </c>
      <c r="AJ72" s="104">
        <f t="shared" si="122"/>
        <v>-679.12367651859392</v>
      </c>
      <c r="AK72" s="104">
        <f t="shared" si="123"/>
        <v>-2007.90159436657</v>
      </c>
      <c r="AL72" s="104">
        <f t="shared" si="124"/>
        <v>9310.8263476099928</v>
      </c>
    </row>
    <row r="73" spans="2:38" x14ac:dyDescent="0.2">
      <c r="B73" s="107" t="s">
        <v>116</v>
      </c>
      <c r="C73" s="108">
        <v>44927</v>
      </c>
      <c r="D73" s="79"/>
      <c r="E73" s="99"/>
      <c r="F73" s="103"/>
      <c r="G73" s="104"/>
      <c r="H73" s="104"/>
      <c r="I73" s="104"/>
      <c r="J73" s="104"/>
      <c r="K73" s="104"/>
      <c r="L73" s="104"/>
      <c r="P73" s="108">
        <v>44927</v>
      </c>
      <c r="Q73" s="79"/>
      <c r="R73" s="99"/>
      <c r="S73" s="103">
        <f t="shared" ref="S73:T73" si="129">S72+1</f>
        <v>2026</v>
      </c>
      <c r="T73" s="104">
        <f t="shared" si="129"/>
        <v>4</v>
      </c>
      <c r="U73" s="104">
        <f t="shared" si="126"/>
        <v>9310.8263476099928</v>
      </c>
      <c r="V73" s="104">
        <f t="shared" si="117"/>
        <v>-2687.0252708851635</v>
      </c>
      <c r="W73" s="104">
        <f t="shared" si="118"/>
        <v>-558.64958085659975</v>
      </c>
      <c r="X73" s="104">
        <f t="shared" si="119"/>
        <v>-2128.3756900285639</v>
      </c>
      <c r="Y73" s="104">
        <f t="shared" si="120"/>
        <v>7182.4506575814285</v>
      </c>
      <c r="AC73" s="108">
        <v>44927</v>
      </c>
      <c r="AD73" s="79"/>
      <c r="AE73" s="99"/>
      <c r="AF73" s="103">
        <f t="shared" ref="AF73:AG73" si="130">AF72+1</f>
        <v>2026</v>
      </c>
      <c r="AG73" s="104">
        <f t="shared" si="130"/>
        <v>4</v>
      </c>
      <c r="AH73" s="104">
        <f t="shared" si="128"/>
        <v>9310.8263476099928</v>
      </c>
      <c r="AI73" s="104">
        <f t="shared" si="121"/>
        <v>-2687.0252708851635</v>
      </c>
      <c r="AJ73" s="104">
        <f t="shared" si="122"/>
        <v>-558.64958085659975</v>
      </c>
      <c r="AK73" s="104">
        <f t="shared" si="123"/>
        <v>-2128.3756900285639</v>
      </c>
      <c r="AL73" s="104">
        <f t="shared" si="124"/>
        <v>7182.4506575814285</v>
      </c>
    </row>
    <row r="74" spans="2:38" x14ac:dyDescent="0.2">
      <c r="B74" s="101"/>
      <c r="C74" s="79"/>
      <c r="D74" s="79"/>
      <c r="E74" s="99"/>
      <c r="F74" s="103"/>
      <c r="G74" s="104"/>
      <c r="H74" s="104"/>
      <c r="I74" s="104"/>
      <c r="J74" s="104"/>
      <c r="K74" s="104"/>
      <c r="L74" s="104"/>
      <c r="P74" s="79"/>
      <c r="Q74" s="79"/>
      <c r="R74" s="99"/>
      <c r="S74" s="103">
        <f t="shared" ref="S74:T74" si="131">S73+1</f>
        <v>2027</v>
      </c>
      <c r="T74" s="104">
        <f t="shared" si="131"/>
        <v>5</v>
      </c>
      <c r="U74" s="104">
        <f t="shared" si="126"/>
        <v>7182.4506575814285</v>
      </c>
      <c r="V74" s="104">
        <f t="shared" si="117"/>
        <v>-2687.0252708851635</v>
      </c>
      <c r="W74" s="104">
        <f t="shared" si="118"/>
        <v>-430.94703945488578</v>
      </c>
      <c r="X74" s="104">
        <f t="shared" si="119"/>
        <v>-2256.0782314302778</v>
      </c>
      <c r="Y74" s="104">
        <f t="shared" si="120"/>
        <v>4926.3724261511506</v>
      </c>
      <c r="AC74" s="79"/>
      <c r="AD74" s="79"/>
      <c r="AE74" s="99"/>
      <c r="AF74" s="103">
        <f t="shared" ref="AF74:AG74" si="132">AF73+1</f>
        <v>2027</v>
      </c>
      <c r="AG74" s="104">
        <f t="shared" si="132"/>
        <v>5</v>
      </c>
      <c r="AH74" s="104">
        <f t="shared" si="128"/>
        <v>7182.4506575814285</v>
      </c>
      <c r="AI74" s="104">
        <f t="shared" si="121"/>
        <v>-2687.0252708851635</v>
      </c>
      <c r="AJ74" s="104">
        <f t="shared" si="122"/>
        <v>-430.94703945488578</v>
      </c>
      <c r="AK74" s="104">
        <f t="shared" si="123"/>
        <v>-2256.0782314302778</v>
      </c>
      <c r="AL74" s="104">
        <f t="shared" si="124"/>
        <v>4926.3724261511506</v>
      </c>
    </row>
    <row r="75" spans="2:38" x14ac:dyDescent="0.2">
      <c r="B75" s="101"/>
      <c r="C75" s="79"/>
      <c r="D75" s="79"/>
      <c r="E75" s="99"/>
      <c r="F75" s="103"/>
      <c r="G75" s="104"/>
      <c r="H75" s="104"/>
      <c r="I75" s="104"/>
      <c r="J75" s="104"/>
      <c r="K75" s="104"/>
      <c r="L75" s="104"/>
      <c r="P75" s="79"/>
      <c r="Q75" s="79"/>
      <c r="R75" s="99"/>
      <c r="S75" s="103">
        <f t="shared" ref="S75:T75" si="133">S74+1</f>
        <v>2028</v>
      </c>
      <c r="T75" s="104">
        <f t="shared" si="133"/>
        <v>6</v>
      </c>
      <c r="U75" s="104">
        <f t="shared" si="126"/>
        <v>4926.3724261511506</v>
      </c>
      <c r="V75" s="104">
        <f t="shared" si="117"/>
        <v>-2687.0252708851635</v>
      </c>
      <c r="W75" s="104">
        <f t="shared" si="118"/>
        <v>-295.58234556906922</v>
      </c>
      <c r="X75" s="104">
        <f t="shared" si="119"/>
        <v>-2391.4429253160943</v>
      </c>
      <c r="Y75" s="104">
        <f t="shared" si="120"/>
        <v>2534.9295008350564</v>
      </c>
      <c r="AC75" s="79"/>
      <c r="AD75" s="79"/>
      <c r="AE75" s="99"/>
      <c r="AF75" s="103">
        <f t="shared" ref="AF75:AG75" si="134">AF74+1</f>
        <v>2028</v>
      </c>
      <c r="AG75" s="104">
        <f t="shared" si="134"/>
        <v>6</v>
      </c>
      <c r="AH75" s="104">
        <f t="shared" si="128"/>
        <v>4926.3724261511506</v>
      </c>
      <c r="AI75" s="104">
        <f t="shared" si="121"/>
        <v>-2687.0252708851635</v>
      </c>
      <c r="AJ75" s="104">
        <f t="shared" si="122"/>
        <v>-295.58234556906922</v>
      </c>
      <c r="AK75" s="104">
        <f t="shared" si="123"/>
        <v>-2391.4429253160943</v>
      </c>
      <c r="AL75" s="104">
        <f t="shared" si="124"/>
        <v>2534.9295008350564</v>
      </c>
    </row>
    <row r="76" spans="2:38" x14ac:dyDescent="0.2">
      <c r="B76" s="101"/>
      <c r="C76" s="79"/>
      <c r="D76" s="79"/>
      <c r="E76" s="99"/>
      <c r="F76" s="103"/>
      <c r="G76" s="104"/>
      <c r="H76" s="104"/>
      <c r="I76" s="104"/>
      <c r="J76" s="104"/>
      <c r="K76" s="104"/>
      <c r="L76" s="104"/>
      <c r="P76" s="79"/>
      <c r="Q76" s="79"/>
      <c r="R76" s="99"/>
      <c r="S76" s="103">
        <f t="shared" ref="S76:T76" si="135">S75+1</f>
        <v>2029</v>
      </c>
      <c r="T76" s="104">
        <f t="shared" si="135"/>
        <v>7</v>
      </c>
      <c r="U76" s="104">
        <f t="shared" si="126"/>
        <v>2534.9295008350564</v>
      </c>
      <c r="V76" s="104">
        <f t="shared" si="117"/>
        <v>-2687.0252708851635</v>
      </c>
      <c r="W76" s="104">
        <f t="shared" si="118"/>
        <v>-152.09577005010357</v>
      </c>
      <c r="X76" s="104">
        <f t="shared" si="119"/>
        <v>-2534.92950083506</v>
      </c>
      <c r="Y76" s="104">
        <f t="shared" si="120"/>
        <v>-3.637978807091713E-12</v>
      </c>
      <c r="AC76" s="79"/>
      <c r="AD76" s="79"/>
      <c r="AE76" s="99"/>
      <c r="AF76" s="103">
        <f t="shared" ref="AF76:AG76" si="136">AF75+1</f>
        <v>2029</v>
      </c>
      <c r="AG76" s="104">
        <f t="shared" si="136"/>
        <v>7</v>
      </c>
      <c r="AH76" s="104">
        <f t="shared" si="128"/>
        <v>2534.9295008350564</v>
      </c>
      <c r="AI76" s="104">
        <f t="shared" si="121"/>
        <v>-2687.0252708851635</v>
      </c>
      <c r="AJ76" s="104">
        <f t="shared" si="122"/>
        <v>-152.09577005010357</v>
      </c>
      <c r="AK76" s="104">
        <f t="shared" si="123"/>
        <v>-2534.92950083506</v>
      </c>
      <c r="AL76" s="104">
        <f t="shared" si="124"/>
        <v>-3.637978807091713E-12</v>
      </c>
    </row>
    <row r="77" spans="2:38" x14ac:dyDescent="0.2">
      <c r="B77" s="79"/>
      <c r="C77" s="79"/>
      <c r="D77" s="79"/>
      <c r="E77" s="104"/>
      <c r="F77" s="103"/>
      <c r="G77" s="104"/>
      <c r="H77" s="104"/>
      <c r="I77" s="104"/>
      <c r="J77" s="104"/>
      <c r="K77" s="104"/>
      <c r="L77" s="104"/>
      <c r="P77" s="79"/>
      <c r="Q77" s="79"/>
      <c r="R77" s="104"/>
      <c r="S77" s="103">
        <f t="shared" ref="S77:T77" si="137">S76+1</f>
        <v>2030</v>
      </c>
      <c r="T77" s="104">
        <f t="shared" si="137"/>
        <v>8</v>
      </c>
      <c r="U77" s="104">
        <f t="shared" si="126"/>
        <v>-3.637978807091713E-12</v>
      </c>
      <c r="V77" s="104">
        <f t="shared" si="117"/>
        <v>-2687.0252708851635</v>
      </c>
      <c r="W77" s="104">
        <f t="shared" si="118"/>
        <v>0</v>
      </c>
      <c r="X77" s="104">
        <f t="shared" si="119"/>
        <v>0</v>
      </c>
      <c r="Y77" s="104">
        <f t="shared" si="120"/>
        <v>-3.637978807091713E-12</v>
      </c>
      <c r="AC77" s="79"/>
      <c r="AD77" s="79"/>
      <c r="AE77" s="104"/>
      <c r="AF77" s="103">
        <f t="shared" ref="AF77:AG77" si="138">AF76+1</f>
        <v>2030</v>
      </c>
      <c r="AG77" s="104">
        <f t="shared" si="138"/>
        <v>8</v>
      </c>
      <c r="AH77" s="104">
        <f t="shared" si="128"/>
        <v>-3.637978807091713E-12</v>
      </c>
      <c r="AI77" s="104">
        <f t="shared" si="121"/>
        <v>-2687.0252708851635</v>
      </c>
      <c r="AJ77" s="104">
        <f t="shared" si="122"/>
        <v>0</v>
      </c>
      <c r="AK77" s="104">
        <f t="shared" si="123"/>
        <v>0</v>
      </c>
      <c r="AL77" s="104">
        <f t="shared" si="124"/>
        <v>-3.637978807091713E-12</v>
      </c>
    </row>
    <row r="78" spans="2:38" x14ac:dyDescent="0.2">
      <c r="B78" s="79"/>
      <c r="C78" s="79"/>
      <c r="D78" s="79"/>
      <c r="E78" s="104"/>
      <c r="F78" s="103"/>
      <c r="G78" s="104"/>
      <c r="H78" s="104"/>
      <c r="I78" s="104"/>
      <c r="J78" s="104"/>
      <c r="K78" s="104"/>
      <c r="L78" s="104"/>
      <c r="P78" s="79"/>
      <c r="Q78" s="79"/>
      <c r="R78" s="104"/>
      <c r="S78" s="103">
        <f t="shared" ref="S78:T78" si="139">S77+1</f>
        <v>2031</v>
      </c>
      <c r="T78" s="104">
        <f t="shared" si="139"/>
        <v>9</v>
      </c>
      <c r="U78" s="104">
        <f t="shared" si="126"/>
        <v>-3.637978807091713E-12</v>
      </c>
      <c r="V78" s="104">
        <f t="shared" si="117"/>
        <v>-2687.0252708851635</v>
      </c>
      <c r="W78" s="104">
        <f t="shared" si="118"/>
        <v>0</v>
      </c>
      <c r="X78" s="104">
        <f t="shared" si="119"/>
        <v>0</v>
      </c>
      <c r="Y78" s="104">
        <f t="shared" si="120"/>
        <v>-3.637978807091713E-12</v>
      </c>
      <c r="AC78" s="79"/>
      <c r="AD78" s="79"/>
      <c r="AE78" s="104"/>
      <c r="AF78" s="103">
        <f t="shared" ref="AF78:AG78" si="140">AF77+1</f>
        <v>2031</v>
      </c>
      <c r="AG78" s="104">
        <f t="shared" si="140"/>
        <v>9</v>
      </c>
      <c r="AH78" s="104">
        <f t="shared" si="128"/>
        <v>-3.637978807091713E-12</v>
      </c>
      <c r="AI78" s="104">
        <f t="shared" si="121"/>
        <v>-2687.0252708851635</v>
      </c>
      <c r="AJ78" s="104">
        <f t="shared" si="122"/>
        <v>0</v>
      </c>
      <c r="AK78" s="104">
        <f t="shared" si="123"/>
        <v>0</v>
      </c>
      <c r="AL78" s="104">
        <f t="shared" si="124"/>
        <v>-3.637978807091713E-12</v>
      </c>
    </row>
    <row r="79" spans="2:38" x14ac:dyDescent="0.2">
      <c r="B79" s="79"/>
      <c r="C79" s="79"/>
      <c r="D79" s="79"/>
      <c r="E79" s="79"/>
      <c r="F79" s="109"/>
      <c r="G79" s="104"/>
      <c r="H79" s="104"/>
      <c r="I79" s="104"/>
      <c r="J79" s="104"/>
      <c r="K79" s="104"/>
      <c r="L79" s="104"/>
      <c r="P79" s="79"/>
      <c r="Q79" s="79"/>
      <c r="R79" s="79"/>
      <c r="S79" s="109">
        <f t="shared" ref="S79:T79" si="141">S78+1</f>
        <v>2032</v>
      </c>
      <c r="T79" s="104">
        <f t="shared" si="141"/>
        <v>10</v>
      </c>
      <c r="U79" s="104">
        <f t="shared" si="126"/>
        <v>-3.637978807091713E-12</v>
      </c>
      <c r="V79" s="104">
        <f t="shared" si="117"/>
        <v>-2687.0252708851635</v>
      </c>
      <c r="W79" s="104">
        <f t="shared" si="118"/>
        <v>0</v>
      </c>
      <c r="X79" s="104">
        <f t="shared" si="119"/>
        <v>0</v>
      </c>
      <c r="Y79" s="104">
        <f t="shared" si="120"/>
        <v>-3.637978807091713E-12</v>
      </c>
      <c r="AC79" s="79"/>
      <c r="AD79" s="79"/>
      <c r="AE79" s="79"/>
      <c r="AF79" s="109">
        <f t="shared" ref="AF79:AG79" si="142">AF78+1</f>
        <v>2032</v>
      </c>
      <c r="AG79" s="104">
        <f t="shared" si="142"/>
        <v>10</v>
      </c>
      <c r="AH79" s="104">
        <f t="shared" si="128"/>
        <v>-3.637978807091713E-12</v>
      </c>
      <c r="AI79" s="104">
        <f t="shared" si="121"/>
        <v>-2687.0252708851635</v>
      </c>
      <c r="AJ79" s="104">
        <f t="shared" si="122"/>
        <v>0</v>
      </c>
      <c r="AK79" s="104">
        <f t="shared" si="123"/>
        <v>0</v>
      </c>
      <c r="AL79" s="104">
        <f t="shared" si="124"/>
        <v>-3.637978807091713E-12</v>
      </c>
    </row>
    <row r="80" spans="2:38" x14ac:dyDescent="0.2">
      <c r="F80" s="96"/>
      <c r="G80" s="96"/>
      <c r="H80" s="96"/>
      <c r="I80" s="96"/>
      <c r="J80" s="96"/>
      <c r="K80" s="96"/>
      <c r="L80" s="96"/>
      <c r="S80" s="96"/>
      <c r="T80" s="96"/>
      <c r="U80" s="96"/>
      <c r="V80" s="96"/>
      <c r="W80" s="96"/>
      <c r="X80" s="96"/>
      <c r="Y80" s="96"/>
      <c r="AF80" s="96"/>
      <c r="AG80" s="96"/>
      <c r="AH80" s="96"/>
      <c r="AI80" s="96"/>
      <c r="AJ80" s="96"/>
      <c r="AK80" s="96"/>
      <c r="AL80" s="96"/>
    </row>
    <row r="81" spans="2:38" x14ac:dyDescent="0.2">
      <c r="B81" s="76" t="s">
        <v>126</v>
      </c>
      <c r="C81" s="76"/>
      <c r="D81" s="76"/>
      <c r="E81" s="76"/>
      <c r="F81" s="76"/>
      <c r="G81" s="76"/>
      <c r="H81" s="76"/>
      <c r="I81" s="76"/>
      <c r="J81" s="76"/>
      <c r="K81" s="76"/>
      <c r="L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</row>
    <row r="82" spans="2:38" x14ac:dyDescent="0.2">
      <c r="B82" s="47"/>
      <c r="C82" s="47"/>
      <c r="D82" s="47"/>
      <c r="E82" s="1"/>
      <c r="F82" s="1"/>
      <c r="G82" s="1"/>
      <c r="P82" s="47"/>
      <c r="Q82" s="47"/>
      <c r="R82" s="1"/>
      <c r="S82" s="1"/>
      <c r="T82" s="1"/>
      <c r="AC82" s="47"/>
      <c r="AD82" s="47"/>
      <c r="AE82" s="1"/>
      <c r="AF82" s="1"/>
      <c r="AG82" s="1"/>
    </row>
    <row r="83" spans="2:38" x14ac:dyDescent="0.2">
      <c r="B83" s="113" t="s">
        <v>30</v>
      </c>
      <c r="C83" s="113"/>
      <c r="D83" s="113"/>
      <c r="E83" s="73"/>
      <c r="F83" s="73"/>
      <c r="G83" s="73"/>
      <c r="H83" s="73"/>
      <c r="I83" s="73"/>
      <c r="J83" s="73"/>
      <c r="K83" s="73"/>
      <c r="L83" s="73"/>
      <c r="P83" s="113"/>
      <c r="Q83" s="113"/>
      <c r="R83" s="73"/>
      <c r="S83" s="73"/>
      <c r="T83" s="73"/>
      <c r="U83" s="73"/>
      <c r="V83" s="73"/>
      <c r="W83" s="73"/>
      <c r="X83" s="73"/>
      <c r="Y83" s="73"/>
      <c r="AC83" s="113"/>
      <c r="AD83" s="113"/>
      <c r="AE83" s="73"/>
      <c r="AF83" s="73"/>
      <c r="AG83" s="73"/>
      <c r="AH83" s="73"/>
      <c r="AI83" s="73"/>
      <c r="AJ83" s="73"/>
      <c r="AK83" s="73"/>
      <c r="AL83" s="73"/>
    </row>
    <row r="84" spans="2:38" x14ac:dyDescent="0.2">
      <c r="B84" s="47" t="s">
        <v>127</v>
      </c>
      <c r="C84" s="47"/>
      <c r="D84" s="47"/>
      <c r="E84" s="114"/>
      <c r="F84" s="114"/>
      <c r="G84" s="114"/>
      <c r="H84" s="114"/>
      <c r="I84" s="114"/>
      <c r="J84" s="114"/>
      <c r="K84" s="114"/>
      <c r="L84" s="114"/>
      <c r="P84" s="47"/>
      <c r="Q84" s="47"/>
      <c r="R84" s="114">
        <v>365</v>
      </c>
      <c r="S84" s="114">
        <v>365</v>
      </c>
      <c r="T84" s="114">
        <v>365</v>
      </c>
      <c r="U84" s="114">
        <v>365</v>
      </c>
      <c r="V84" s="114">
        <v>365</v>
      </c>
      <c r="W84" s="114">
        <v>365</v>
      </c>
      <c r="X84" s="114">
        <v>365</v>
      </c>
      <c r="Y84" s="114">
        <v>365</v>
      </c>
      <c r="AC84" s="47"/>
      <c r="AD84" s="47"/>
      <c r="AE84" s="114">
        <v>365</v>
      </c>
      <c r="AF84" s="114">
        <v>365</v>
      </c>
      <c r="AG84" s="114">
        <v>365</v>
      </c>
      <c r="AH84" s="114">
        <v>365</v>
      </c>
      <c r="AI84" s="114">
        <v>365</v>
      </c>
      <c r="AJ84" s="114">
        <v>365</v>
      </c>
      <c r="AK84" s="114">
        <v>365</v>
      </c>
      <c r="AL84" s="114">
        <v>365</v>
      </c>
    </row>
    <row r="85" spans="2:38" x14ac:dyDescent="0.2">
      <c r="B85" s="47" t="s">
        <v>128</v>
      </c>
      <c r="C85" s="47"/>
      <c r="D85" s="47"/>
      <c r="E85" s="116"/>
      <c r="F85" s="116"/>
      <c r="G85" s="116"/>
      <c r="H85" s="120"/>
      <c r="I85" s="120"/>
      <c r="J85" s="120"/>
      <c r="K85" s="120"/>
      <c r="L85" s="120"/>
      <c r="P85" s="47"/>
      <c r="Q85" s="47"/>
      <c r="R85" s="116">
        <f>IFERROR(R87/R86*R84,0)</f>
        <v>65.7</v>
      </c>
      <c r="S85" s="116">
        <f t="shared" ref="S85:T85" si="143">IFERROR(S87/S86*S84,0)</f>
        <v>59.887037037037025</v>
      </c>
      <c r="T85" s="116">
        <f t="shared" si="143"/>
        <v>58.554225352112681</v>
      </c>
      <c r="U85" s="120">
        <f>AVERAGE(R85:T85)</f>
        <v>61.380420796383227</v>
      </c>
      <c r="V85" s="120">
        <f t="shared" ref="V85" si="144">AVERAGE(S85:U85)</f>
        <v>59.940561061844306</v>
      </c>
      <c r="W85" s="120">
        <f t="shared" ref="W85" si="145">AVERAGE(T85:V85)</f>
        <v>59.95840240344674</v>
      </c>
      <c r="X85" s="120">
        <f t="shared" ref="X85" si="146">AVERAGE(U85:W85)</f>
        <v>60.426461420558091</v>
      </c>
      <c r="Y85" s="120">
        <f t="shared" ref="Y85" si="147">AVERAGE(V85:X85)</f>
        <v>60.108474961949717</v>
      </c>
      <c r="AC85" s="47"/>
      <c r="AD85" s="47"/>
      <c r="AE85" s="116">
        <f>IFERROR(AE87/AE86*AE84,0)</f>
        <v>0</v>
      </c>
      <c r="AF85" s="116">
        <f t="shared" ref="AF85:AG85" si="148">IFERROR(AF87/AF86*AF84,0)</f>
        <v>0</v>
      </c>
      <c r="AG85" s="116">
        <f t="shared" si="148"/>
        <v>0</v>
      </c>
      <c r="AH85" s="155">
        <f>U85</f>
        <v>61.380420796383227</v>
      </c>
      <c r="AI85" s="155">
        <f t="shared" ref="AI85:AL85" si="149">V85</f>
        <v>59.940561061844306</v>
      </c>
      <c r="AJ85" s="155">
        <f t="shared" si="149"/>
        <v>59.95840240344674</v>
      </c>
      <c r="AK85" s="155">
        <f t="shared" si="149"/>
        <v>60.426461420558091</v>
      </c>
      <c r="AL85" s="155">
        <f t="shared" si="149"/>
        <v>60.108474961949717</v>
      </c>
    </row>
    <row r="86" spans="2:38" x14ac:dyDescent="0.2">
      <c r="B86" s="47" t="s">
        <v>129</v>
      </c>
      <c r="C86" s="47"/>
      <c r="D86" s="47"/>
      <c r="E86" s="117"/>
      <c r="F86" s="117"/>
      <c r="G86" s="117"/>
      <c r="H86" s="117"/>
      <c r="I86" s="117"/>
      <c r="J86" s="117"/>
      <c r="K86" s="117"/>
      <c r="L86" s="117"/>
      <c r="P86" s="47"/>
      <c r="Q86" s="47"/>
      <c r="R86" s="117">
        <f>R155</f>
        <v>45860</v>
      </c>
      <c r="S86" s="117">
        <f t="shared" ref="S86:Y86" si="150">S155</f>
        <v>55719.9</v>
      </c>
      <c r="T86" s="117">
        <f t="shared" si="150"/>
        <v>71210.032200000001</v>
      </c>
      <c r="U86" s="117">
        <f t="shared" si="150"/>
        <v>74770.533810000008</v>
      </c>
      <c r="V86" s="117">
        <f t="shared" si="150"/>
        <v>78509.060500500011</v>
      </c>
      <c r="W86" s="117">
        <f t="shared" si="150"/>
        <v>82434.513525525021</v>
      </c>
      <c r="X86" s="117">
        <f t="shared" si="150"/>
        <v>86556.239201801276</v>
      </c>
      <c r="Y86" s="117">
        <f t="shared" si="150"/>
        <v>90884.051161891344</v>
      </c>
      <c r="AC86" s="47"/>
      <c r="AD86" s="47"/>
      <c r="AE86" s="117">
        <f>AE155</f>
        <v>0</v>
      </c>
      <c r="AF86" s="117">
        <f t="shared" ref="AF86:AL86" si="151">AF155</f>
        <v>0</v>
      </c>
      <c r="AG86" s="117">
        <f t="shared" si="151"/>
        <v>0</v>
      </c>
      <c r="AH86" s="117">
        <f t="shared" si="151"/>
        <v>74770.533810000008</v>
      </c>
      <c r="AI86" s="117">
        <f t="shared" si="151"/>
        <v>78509.060500500011</v>
      </c>
      <c r="AJ86" s="117">
        <f t="shared" si="151"/>
        <v>82434.513525525021</v>
      </c>
      <c r="AK86" s="117">
        <f t="shared" si="151"/>
        <v>86556.239201801276</v>
      </c>
      <c r="AL86" s="117">
        <f t="shared" si="151"/>
        <v>90884.051161891344</v>
      </c>
    </row>
    <row r="87" spans="2:38" x14ac:dyDescent="0.2">
      <c r="B87" s="47" t="s">
        <v>130</v>
      </c>
      <c r="C87" s="47"/>
      <c r="D87" s="47"/>
      <c r="E87" s="116"/>
      <c r="F87" s="116"/>
      <c r="G87" s="116"/>
      <c r="H87" s="84"/>
      <c r="I87" s="84"/>
      <c r="J87" s="84"/>
      <c r="K87" s="84"/>
      <c r="L87" s="84"/>
      <c r="P87" s="47"/>
      <c r="Q87" s="47"/>
      <c r="R87" s="116">
        <f>AVERAGE(R88:R89)</f>
        <v>8254.7999999999993</v>
      </c>
      <c r="S87" s="116">
        <f t="shared" ref="S87:T87" si="152">AVERAGE(S88:S89)</f>
        <v>9142.1909999999989</v>
      </c>
      <c r="T87" s="116">
        <f t="shared" si="152"/>
        <v>11423.693898000001</v>
      </c>
      <c r="U87" s="84">
        <f>U85/U84*U86</f>
        <v>12573.8269272</v>
      </c>
      <c r="V87" s="84">
        <f t="shared" ref="V87:Y87" si="153">V85/V84*V86</f>
        <v>12892.81406805</v>
      </c>
      <c r="W87" s="84">
        <f t="shared" si="153"/>
        <v>13541.484202454252</v>
      </c>
      <c r="X87" s="84">
        <f t="shared" si="153"/>
        <v>14329.554106400667</v>
      </c>
      <c r="Y87" s="84">
        <f t="shared" si="153"/>
        <v>14966.854010150966</v>
      </c>
      <c r="AC87" s="47"/>
      <c r="AD87" s="47"/>
      <c r="AE87" s="116">
        <f>AVERAGE(AE88:AE89)</f>
        <v>0</v>
      </c>
      <c r="AF87" s="116">
        <f t="shared" ref="AF87:AG87" si="154">AVERAGE(AF88:AF89)</f>
        <v>0</v>
      </c>
      <c r="AG87" s="116">
        <f t="shared" si="154"/>
        <v>0</v>
      </c>
      <c r="AH87" s="84">
        <f>AH85/AH84*AH86</f>
        <v>12573.8269272</v>
      </c>
      <c r="AI87" s="84">
        <f t="shared" ref="AI87:AL87" si="155">AI85/AI84*AI86</f>
        <v>12892.81406805</v>
      </c>
      <c r="AJ87" s="84">
        <f t="shared" si="155"/>
        <v>13541.484202454252</v>
      </c>
      <c r="AK87" s="84">
        <f t="shared" si="155"/>
        <v>14329.554106400667</v>
      </c>
      <c r="AL87" s="84">
        <f t="shared" si="155"/>
        <v>14966.854010150966</v>
      </c>
    </row>
    <row r="88" spans="2:38" x14ac:dyDescent="0.2">
      <c r="B88" s="47" t="s">
        <v>108</v>
      </c>
      <c r="C88" s="47"/>
      <c r="D88" s="47"/>
      <c r="E88" s="118"/>
      <c r="F88" s="117"/>
      <c r="G88" s="117"/>
      <c r="H88" s="117"/>
      <c r="I88" s="117"/>
      <c r="J88" s="117"/>
      <c r="K88" s="117"/>
      <c r="L88" s="117"/>
      <c r="P88" s="47"/>
      <c r="Q88" s="47"/>
      <c r="R88" s="118"/>
      <c r="S88" s="117">
        <f>R89</f>
        <v>8254.7999999999993</v>
      </c>
      <c r="T88" s="117">
        <f t="shared" ref="T88" si="156">S89</f>
        <v>10029.582</v>
      </c>
      <c r="U88" s="117">
        <f t="shared" ref="U88" si="157">T89</f>
        <v>12817.805796000001</v>
      </c>
      <c r="V88" s="117">
        <f t="shared" ref="V88" si="158">U89</f>
        <v>12329.848058399999</v>
      </c>
      <c r="W88" s="117">
        <f t="shared" ref="W88" si="159">V89</f>
        <v>13455.780077700001</v>
      </c>
      <c r="X88" s="117">
        <f t="shared" ref="X88" si="160">W89</f>
        <v>13627.188327208503</v>
      </c>
      <c r="Y88" s="117">
        <f t="shared" ref="Y88" si="161">X89</f>
        <v>15031.91988559283</v>
      </c>
      <c r="AC88" s="47"/>
      <c r="AD88" s="47"/>
      <c r="AE88" s="118"/>
      <c r="AF88" s="117">
        <f>AE89</f>
        <v>0</v>
      </c>
      <c r="AG88" s="117">
        <f t="shared" ref="AG88" si="162">AF89</f>
        <v>0</v>
      </c>
      <c r="AH88" s="155">
        <f>AH87</f>
        <v>12573.8269272</v>
      </c>
      <c r="AI88" s="117">
        <f t="shared" ref="AI88" si="163">AH89</f>
        <v>12573.8269272</v>
      </c>
      <c r="AJ88" s="117">
        <f t="shared" ref="AJ88" si="164">AI89</f>
        <v>13211.8012089</v>
      </c>
      <c r="AK88" s="117">
        <f t="shared" ref="AK88" si="165">AJ89</f>
        <v>13871.167196008504</v>
      </c>
      <c r="AL88" s="117">
        <f t="shared" ref="AL88" si="166">AK89</f>
        <v>14787.941016792829</v>
      </c>
    </row>
    <row r="89" spans="2:38" x14ac:dyDescent="0.2">
      <c r="B89" s="115" t="s">
        <v>111</v>
      </c>
      <c r="C89" s="115"/>
      <c r="D89" s="115"/>
      <c r="E89" s="119"/>
      <c r="F89" s="119"/>
      <c r="G89" s="119"/>
      <c r="H89" s="121"/>
      <c r="I89" s="121"/>
      <c r="J89" s="121"/>
      <c r="K89" s="121"/>
      <c r="L89" s="121"/>
      <c r="P89" s="115"/>
      <c r="Q89" s="115"/>
      <c r="R89" s="119">
        <f>R187</f>
        <v>8254.7999999999993</v>
      </c>
      <c r="S89" s="119">
        <f t="shared" ref="S89:T89" si="167">S187</f>
        <v>10029.582</v>
      </c>
      <c r="T89" s="119">
        <f t="shared" si="167"/>
        <v>12817.805796000001</v>
      </c>
      <c r="U89" s="121">
        <f>U87*2-U88</f>
        <v>12329.848058399999</v>
      </c>
      <c r="V89" s="121">
        <f t="shared" ref="V89:Y89" si="168">V87*2-V88</f>
        <v>13455.780077700001</v>
      </c>
      <c r="W89" s="121">
        <f t="shared" si="168"/>
        <v>13627.188327208503</v>
      </c>
      <c r="X89" s="121">
        <f t="shared" si="168"/>
        <v>15031.91988559283</v>
      </c>
      <c r="Y89" s="121">
        <f t="shared" si="168"/>
        <v>14901.788134709102</v>
      </c>
      <c r="AC89" s="115"/>
      <c r="AD89" s="115"/>
      <c r="AE89" s="119">
        <f>AE187</f>
        <v>0</v>
      </c>
      <c r="AF89" s="119">
        <f t="shared" ref="AF89:AG89" si="169">AF187</f>
        <v>0</v>
      </c>
      <c r="AG89" s="119">
        <f t="shared" si="169"/>
        <v>0</v>
      </c>
      <c r="AH89" s="121">
        <f>AH87*2-AH88</f>
        <v>12573.8269272</v>
      </c>
      <c r="AI89" s="121">
        <f t="shared" ref="AI89:AL89" si="170">AI87*2-AI88</f>
        <v>13211.8012089</v>
      </c>
      <c r="AJ89" s="121">
        <f t="shared" si="170"/>
        <v>13871.167196008504</v>
      </c>
      <c r="AK89" s="121">
        <f t="shared" si="170"/>
        <v>14787.941016792829</v>
      </c>
      <c r="AL89" s="121">
        <f t="shared" si="170"/>
        <v>15145.767003509103</v>
      </c>
    </row>
    <row r="90" spans="2:38" x14ac:dyDescent="0.2">
      <c r="B90" s="47"/>
      <c r="C90" s="47"/>
      <c r="D90" s="47"/>
      <c r="E90" s="1"/>
      <c r="F90" s="1"/>
      <c r="G90" s="1"/>
      <c r="P90" s="47"/>
      <c r="Q90" s="47"/>
      <c r="R90" s="1"/>
      <c r="S90" s="1"/>
      <c r="T90" s="1"/>
      <c r="AC90" s="47"/>
      <c r="AD90" s="47"/>
      <c r="AE90" s="1"/>
      <c r="AF90" s="1"/>
      <c r="AG90" s="1"/>
    </row>
    <row r="91" spans="2:38" x14ac:dyDescent="0.2">
      <c r="B91" s="113" t="s">
        <v>32</v>
      </c>
      <c r="C91" s="113"/>
      <c r="D91" s="113"/>
      <c r="E91" s="73"/>
      <c r="F91" s="73"/>
      <c r="G91" s="73"/>
      <c r="H91" s="73"/>
      <c r="I91" s="73"/>
      <c r="J91" s="73"/>
      <c r="K91" s="73"/>
      <c r="L91" s="73"/>
      <c r="P91" s="113"/>
      <c r="Q91" s="113"/>
      <c r="R91" s="73"/>
      <c r="S91" s="73"/>
      <c r="T91" s="73"/>
      <c r="U91" s="73"/>
      <c r="V91" s="73"/>
      <c r="W91" s="73"/>
      <c r="X91" s="73"/>
      <c r="Y91" s="73"/>
      <c r="AC91" s="113"/>
      <c r="AD91" s="113"/>
      <c r="AE91" s="73"/>
      <c r="AF91" s="73"/>
      <c r="AG91" s="73"/>
      <c r="AH91" s="73"/>
      <c r="AI91" s="73"/>
      <c r="AJ91" s="73"/>
      <c r="AK91" s="73"/>
      <c r="AL91" s="73"/>
    </row>
    <row r="92" spans="2:38" x14ac:dyDescent="0.2">
      <c r="B92" s="47" t="s">
        <v>127</v>
      </c>
      <c r="C92" s="47"/>
      <c r="D92" s="47"/>
      <c r="E92" s="114"/>
      <c r="F92" s="114"/>
      <c r="G92" s="114"/>
      <c r="H92" s="114"/>
      <c r="I92" s="114"/>
      <c r="J92" s="114"/>
      <c r="K92" s="114"/>
      <c r="L92" s="114"/>
      <c r="P92" s="47"/>
      <c r="Q92" s="47"/>
      <c r="R92" s="114">
        <v>365</v>
      </c>
      <c r="S92" s="114">
        <v>365</v>
      </c>
      <c r="T92" s="114">
        <v>365</v>
      </c>
      <c r="U92" s="114">
        <v>365</v>
      </c>
      <c r="V92" s="114">
        <v>365</v>
      </c>
      <c r="W92" s="114">
        <v>365</v>
      </c>
      <c r="X92" s="114">
        <v>365</v>
      </c>
      <c r="Y92" s="114">
        <v>365</v>
      </c>
      <c r="AC92" s="47"/>
      <c r="AD92" s="47"/>
      <c r="AE92" s="114">
        <v>365</v>
      </c>
      <c r="AF92" s="114">
        <v>365</v>
      </c>
      <c r="AG92" s="114">
        <v>365</v>
      </c>
      <c r="AH92" s="114">
        <v>365</v>
      </c>
      <c r="AI92" s="114">
        <v>365</v>
      </c>
      <c r="AJ92" s="114">
        <v>365</v>
      </c>
      <c r="AK92" s="114">
        <v>365</v>
      </c>
      <c r="AL92" s="114">
        <v>365</v>
      </c>
    </row>
    <row r="93" spans="2:38" x14ac:dyDescent="0.2">
      <c r="B93" s="47" t="s">
        <v>133</v>
      </c>
      <c r="C93" s="47"/>
      <c r="D93" s="47"/>
      <c r="E93" s="116"/>
      <c r="F93" s="116"/>
      <c r="G93" s="116"/>
      <c r="H93" s="120"/>
      <c r="I93" s="120"/>
      <c r="J93" s="120"/>
      <c r="K93" s="120"/>
      <c r="L93" s="120"/>
      <c r="P93" s="47"/>
      <c r="Q93" s="47"/>
      <c r="R93" s="116">
        <f>IFERROR(R95/R94*R92,0)</f>
        <v>1637.8205128205125</v>
      </c>
      <c r="S93" s="116">
        <f t="shared" ref="S93:T93" si="171">IFERROR(S95/S94*S92,0)</f>
        <v>1395.4735007391428</v>
      </c>
      <c r="T93" s="116">
        <f t="shared" si="171"/>
        <v>1327.5933508024896</v>
      </c>
      <c r="U93" s="120">
        <f>AVERAGE(R93:T93)</f>
        <v>1453.6291214540481</v>
      </c>
      <c r="V93" s="120">
        <f t="shared" ref="V93" si="172">AVERAGE(S93:U93)</f>
        <v>1392.2319909985601</v>
      </c>
      <c r="W93" s="120">
        <f t="shared" ref="W93" si="173">AVERAGE(T93:V93)</f>
        <v>1391.1514877516993</v>
      </c>
      <c r="X93" s="120">
        <f t="shared" ref="X93" si="174">AVERAGE(U93:W93)</f>
        <v>1412.3375334014356</v>
      </c>
      <c r="Y93" s="120">
        <f t="shared" ref="Y93" si="175">AVERAGE(V93:X93)</f>
        <v>1398.5736707172316</v>
      </c>
      <c r="AC93" s="47"/>
      <c r="AD93" s="47"/>
      <c r="AE93" s="116">
        <f>IFERROR(AE95/AE94*AE92,0)</f>
        <v>0</v>
      </c>
      <c r="AF93" s="116">
        <f t="shared" ref="AF93:AG93" si="176">IFERROR(AF95/AF94*AF92,0)</f>
        <v>0</v>
      </c>
      <c r="AG93" s="116">
        <f t="shared" si="176"/>
        <v>0</v>
      </c>
      <c r="AH93" s="155">
        <f>U93</f>
        <v>1453.6291214540481</v>
      </c>
      <c r="AI93" s="155">
        <f t="shared" ref="AI93" si="177">V93</f>
        <v>1392.2319909985601</v>
      </c>
      <c r="AJ93" s="155">
        <f t="shared" ref="AJ93" si="178">W93</f>
        <v>1391.1514877516993</v>
      </c>
      <c r="AK93" s="155">
        <f t="shared" ref="AK93" si="179">X93</f>
        <v>1412.3375334014356</v>
      </c>
      <c r="AL93" s="155">
        <f t="shared" ref="AL93" si="180">Y93</f>
        <v>1398.5736707172316</v>
      </c>
    </row>
    <row r="94" spans="2:38" x14ac:dyDescent="0.2">
      <c r="B94" s="47" t="s">
        <v>134</v>
      </c>
      <c r="C94" s="47"/>
      <c r="D94" s="47"/>
      <c r="E94" s="117"/>
      <c r="F94" s="117"/>
      <c r="G94" s="117"/>
      <c r="H94" s="117"/>
      <c r="I94" s="117"/>
      <c r="J94" s="117"/>
      <c r="K94" s="117"/>
      <c r="L94" s="117"/>
      <c r="P94" s="47"/>
      <c r="Q94" s="47"/>
      <c r="R94" s="117">
        <f>R161</f>
        <v>1788.54</v>
      </c>
      <c r="S94" s="117">
        <f t="shared" ref="S94:Y94" si="181">S161</f>
        <v>2295.6598800000002</v>
      </c>
      <c r="T94" s="117">
        <f t="shared" si="181"/>
        <v>3062.0313845999999</v>
      </c>
      <c r="U94" s="117">
        <f t="shared" si="181"/>
        <v>3070.576588464</v>
      </c>
      <c r="V94" s="117">
        <f t="shared" si="181"/>
        <v>3278.1894373431001</v>
      </c>
      <c r="W94" s="117">
        <f t="shared" si="181"/>
        <v>3457.3645598631301</v>
      </c>
      <c r="X94" s="117">
        <f t="shared" si="181"/>
        <v>3599.6709552492312</v>
      </c>
      <c r="Y94" s="117">
        <f t="shared" si="181"/>
        <v>3795.4376592217004</v>
      </c>
      <c r="AC94" s="47"/>
      <c r="AD94" s="47"/>
      <c r="AE94" s="117">
        <f>AE161</f>
        <v>0</v>
      </c>
      <c r="AF94" s="117">
        <f t="shared" ref="AF94:AL94" si="182">AF161</f>
        <v>0</v>
      </c>
      <c r="AG94" s="117">
        <f t="shared" si="182"/>
        <v>0</v>
      </c>
      <c r="AH94" s="117">
        <f t="shared" si="182"/>
        <v>3070.576588464</v>
      </c>
      <c r="AI94" s="117">
        <f t="shared" si="182"/>
        <v>3278.1894373431001</v>
      </c>
      <c r="AJ94" s="117">
        <f t="shared" si="182"/>
        <v>3457.3645598631301</v>
      </c>
      <c r="AK94" s="117">
        <f t="shared" si="182"/>
        <v>3599.6709552492312</v>
      </c>
      <c r="AL94" s="117">
        <f t="shared" si="182"/>
        <v>3795.4376592217004</v>
      </c>
    </row>
    <row r="95" spans="2:38" x14ac:dyDescent="0.2">
      <c r="B95" s="47" t="s">
        <v>130</v>
      </c>
      <c r="C95" s="47"/>
      <c r="D95" s="47"/>
      <c r="E95" s="116"/>
      <c r="F95" s="116"/>
      <c r="G95" s="116"/>
      <c r="H95" s="84"/>
      <c r="I95" s="84"/>
      <c r="J95" s="84"/>
      <c r="K95" s="84"/>
      <c r="L95" s="84"/>
      <c r="P95" s="47"/>
      <c r="Q95" s="47"/>
      <c r="R95" s="116">
        <f>AVERAGE(R96:R97)</f>
        <v>8025.4999999999991</v>
      </c>
      <c r="S95" s="116">
        <f t="shared" ref="S95:T95" si="183">AVERAGE(S96:S97)</f>
        <v>8776.8014500000008</v>
      </c>
      <c r="T95" s="116">
        <f t="shared" si="183"/>
        <v>11137.349331900001</v>
      </c>
      <c r="U95" s="84">
        <f>U93/U92*U94</f>
        <v>12228.711092181624</v>
      </c>
      <c r="V95" s="84">
        <f t="shared" ref="V95:Y95" si="184">V93/V92*V94</f>
        <v>12504.110156774339</v>
      </c>
      <c r="W95" s="84">
        <f t="shared" si="184"/>
        <v>13177.309181242719</v>
      </c>
      <c r="X95" s="84">
        <f t="shared" si="184"/>
        <v>13928.631227379421</v>
      </c>
      <c r="Y95" s="84">
        <f t="shared" si="184"/>
        <v>14543.011449414002</v>
      </c>
      <c r="AC95" s="47"/>
      <c r="AD95" s="47"/>
      <c r="AE95" s="116">
        <f>AVERAGE(AE96:AE97)</f>
        <v>0</v>
      </c>
      <c r="AF95" s="116">
        <f t="shared" ref="AF95:AG95" si="185">AVERAGE(AF96:AF97)</f>
        <v>0</v>
      </c>
      <c r="AG95" s="116">
        <f t="shared" si="185"/>
        <v>0</v>
      </c>
      <c r="AH95" s="84">
        <f>AH93/AH92*AH94</f>
        <v>12228.711092181624</v>
      </c>
      <c r="AI95" s="84">
        <f t="shared" ref="AI95:AL95" si="186">AI93/AI92*AI94</f>
        <v>12504.110156774339</v>
      </c>
      <c r="AJ95" s="84">
        <f t="shared" si="186"/>
        <v>13177.309181242719</v>
      </c>
      <c r="AK95" s="84">
        <f t="shared" si="186"/>
        <v>13928.631227379421</v>
      </c>
      <c r="AL95" s="84">
        <f t="shared" si="186"/>
        <v>14543.011449414002</v>
      </c>
    </row>
    <row r="96" spans="2:38" x14ac:dyDescent="0.2">
      <c r="B96" s="47" t="s">
        <v>108</v>
      </c>
      <c r="C96" s="47"/>
      <c r="D96" s="47"/>
      <c r="E96" s="118"/>
      <c r="F96" s="117"/>
      <c r="G96" s="117"/>
      <c r="H96" s="117"/>
      <c r="I96" s="117"/>
      <c r="J96" s="117"/>
      <c r="K96" s="117"/>
      <c r="L96" s="117"/>
      <c r="P96" s="47"/>
      <c r="Q96" s="47"/>
      <c r="R96" s="118"/>
      <c r="S96" s="117">
        <f>R97</f>
        <v>8025.4999999999991</v>
      </c>
      <c r="T96" s="117">
        <f t="shared" ref="T96" si="187">S97</f>
        <v>9528.1029000000017</v>
      </c>
      <c r="U96" s="117">
        <f t="shared" ref="U96" si="188">T97</f>
        <v>12746.5957638</v>
      </c>
      <c r="V96" s="117">
        <f t="shared" ref="V96" si="189">U97</f>
        <v>11710.826420563248</v>
      </c>
      <c r="W96" s="117">
        <f t="shared" ref="W96" si="190">V97</f>
        <v>13297.39389298543</v>
      </c>
      <c r="X96" s="117">
        <f t="shared" ref="X96" si="191">W97</f>
        <v>13057.224469500008</v>
      </c>
      <c r="Y96" s="117">
        <f t="shared" ref="Y96" si="192">X97</f>
        <v>14800.037985258834</v>
      </c>
      <c r="AC96" s="47"/>
      <c r="AD96" s="47"/>
      <c r="AE96" s="118"/>
      <c r="AF96" s="117">
        <f>AE97</f>
        <v>0</v>
      </c>
      <c r="AG96" s="117">
        <f t="shared" ref="AG96" si="193">AF97</f>
        <v>0</v>
      </c>
      <c r="AH96" s="155">
        <f>AH95</f>
        <v>12228.711092181624</v>
      </c>
      <c r="AI96" s="117">
        <f t="shared" ref="AI96" si="194">AH97</f>
        <v>12228.711092181624</v>
      </c>
      <c r="AJ96" s="117">
        <f t="shared" ref="AJ96" si="195">AI97</f>
        <v>12779.509221367054</v>
      </c>
      <c r="AK96" s="117">
        <f t="shared" ref="AK96" si="196">AJ97</f>
        <v>13575.109141118384</v>
      </c>
      <c r="AL96" s="117">
        <f t="shared" ref="AL96" si="197">AK97</f>
        <v>14282.153313640458</v>
      </c>
    </row>
    <row r="97" spans="2:38" x14ac:dyDescent="0.2">
      <c r="B97" s="115" t="s">
        <v>111</v>
      </c>
      <c r="C97" s="115"/>
      <c r="D97" s="115"/>
      <c r="E97" s="119"/>
      <c r="F97" s="119"/>
      <c r="G97" s="119"/>
      <c r="H97" s="121"/>
      <c r="I97" s="121"/>
      <c r="J97" s="121"/>
      <c r="K97" s="121"/>
      <c r="L97" s="121"/>
      <c r="P97" s="115"/>
      <c r="Q97" s="115"/>
      <c r="R97" s="119">
        <f>R189</f>
        <v>8025.4999999999991</v>
      </c>
      <c r="S97" s="119">
        <f t="shared" ref="S97:T97" si="198">S189</f>
        <v>9528.1029000000017</v>
      </c>
      <c r="T97" s="119">
        <f t="shared" si="198"/>
        <v>12746.5957638</v>
      </c>
      <c r="U97" s="121">
        <f>U95*2-U96</f>
        <v>11710.826420563248</v>
      </c>
      <c r="V97" s="121">
        <f t="shared" ref="V97:Y97" si="199">V95*2-V96</f>
        <v>13297.39389298543</v>
      </c>
      <c r="W97" s="121">
        <f t="shared" si="199"/>
        <v>13057.224469500008</v>
      </c>
      <c r="X97" s="121">
        <f t="shared" si="199"/>
        <v>14800.037985258834</v>
      </c>
      <c r="Y97" s="121">
        <f t="shared" si="199"/>
        <v>14285.984913569169</v>
      </c>
      <c r="AC97" s="115"/>
      <c r="AD97" s="115"/>
      <c r="AE97" s="119">
        <f>AE189</f>
        <v>0</v>
      </c>
      <c r="AF97" s="119">
        <f t="shared" ref="AF97:AG97" si="200">AF189</f>
        <v>0</v>
      </c>
      <c r="AG97" s="119">
        <f t="shared" si="200"/>
        <v>0</v>
      </c>
      <c r="AH97" s="121">
        <f>AH95*2-AH96</f>
        <v>12228.711092181624</v>
      </c>
      <c r="AI97" s="121">
        <f t="shared" ref="AI97:AL97" si="201">AI95*2-AI96</f>
        <v>12779.509221367054</v>
      </c>
      <c r="AJ97" s="121">
        <f t="shared" si="201"/>
        <v>13575.109141118384</v>
      </c>
      <c r="AK97" s="121">
        <f t="shared" si="201"/>
        <v>14282.153313640458</v>
      </c>
      <c r="AL97" s="121">
        <f t="shared" si="201"/>
        <v>14803.869585187545</v>
      </c>
    </row>
    <row r="98" spans="2:38" x14ac:dyDescent="0.2">
      <c r="B98" s="47"/>
      <c r="C98" s="47"/>
      <c r="D98" s="47"/>
      <c r="E98" s="1"/>
      <c r="F98" s="1"/>
      <c r="G98" s="1"/>
      <c r="P98" s="47"/>
      <c r="Q98" s="47"/>
      <c r="R98" s="1"/>
      <c r="S98" s="1"/>
      <c r="T98" s="1"/>
      <c r="AC98" s="47"/>
      <c r="AD98" s="47"/>
      <c r="AE98" s="1"/>
      <c r="AF98" s="1"/>
      <c r="AG98" s="1"/>
    </row>
    <row r="99" spans="2:38" x14ac:dyDescent="0.2">
      <c r="B99" s="113" t="s">
        <v>36</v>
      </c>
      <c r="C99" s="113"/>
      <c r="D99" s="113"/>
      <c r="E99" s="73"/>
      <c r="F99" s="73"/>
      <c r="G99" s="73"/>
      <c r="H99" s="73"/>
      <c r="I99" s="73"/>
      <c r="J99" s="73"/>
      <c r="K99" s="73"/>
      <c r="L99" s="73"/>
      <c r="P99" s="113"/>
      <c r="Q99" s="113"/>
      <c r="R99" s="73"/>
      <c r="S99" s="73"/>
      <c r="T99" s="73"/>
      <c r="U99" s="73"/>
      <c r="V99" s="73"/>
      <c r="W99" s="73"/>
      <c r="X99" s="73"/>
      <c r="Y99" s="73"/>
      <c r="AC99" s="113"/>
      <c r="AD99" s="113"/>
      <c r="AE99" s="73"/>
      <c r="AF99" s="73"/>
      <c r="AG99" s="73"/>
      <c r="AH99" s="73"/>
      <c r="AI99" s="73"/>
      <c r="AJ99" s="73"/>
      <c r="AK99" s="73"/>
      <c r="AL99" s="73"/>
    </row>
    <row r="100" spans="2:38" x14ac:dyDescent="0.2">
      <c r="B100" s="47" t="s">
        <v>127</v>
      </c>
      <c r="C100" s="47"/>
      <c r="D100" s="47"/>
      <c r="E100" s="114"/>
      <c r="F100" s="114"/>
      <c r="G100" s="114"/>
      <c r="H100" s="114"/>
      <c r="I100" s="114"/>
      <c r="J100" s="114"/>
      <c r="K100" s="114"/>
      <c r="L100" s="114"/>
      <c r="P100" s="47"/>
      <c r="Q100" s="47"/>
      <c r="R100" s="114">
        <v>365</v>
      </c>
      <c r="S100" s="114">
        <v>365</v>
      </c>
      <c r="T100" s="114">
        <v>365</v>
      </c>
      <c r="U100" s="114">
        <v>365</v>
      </c>
      <c r="V100" s="114">
        <v>365</v>
      </c>
      <c r="W100" s="114">
        <v>365</v>
      </c>
      <c r="X100" s="114">
        <v>365</v>
      </c>
      <c r="Y100" s="114">
        <v>365</v>
      </c>
      <c r="AC100" s="47"/>
      <c r="AD100" s="47"/>
      <c r="AE100" s="114">
        <v>365</v>
      </c>
      <c r="AF100" s="114">
        <v>365</v>
      </c>
      <c r="AG100" s="114">
        <v>365</v>
      </c>
      <c r="AH100" s="114">
        <v>365</v>
      </c>
      <c r="AI100" s="114">
        <v>365</v>
      </c>
      <c r="AJ100" s="114">
        <v>365</v>
      </c>
      <c r="AK100" s="114">
        <v>365</v>
      </c>
      <c r="AL100" s="114">
        <v>365</v>
      </c>
    </row>
    <row r="101" spans="2:38" x14ac:dyDescent="0.2">
      <c r="B101" s="47" t="s">
        <v>131</v>
      </c>
      <c r="C101" s="47"/>
      <c r="D101" s="47"/>
      <c r="E101" s="116"/>
      <c r="F101" s="116"/>
      <c r="G101" s="116"/>
      <c r="H101" s="120"/>
      <c r="I101" s="120"/>
      <c r="J101" s="120"/>
      <c r="K101" s="120"/>
      <c r="L101" s="120"/>
      <c r="P101" s="47"/>
      <c r="Q101" s="47"/>
      <c r="R101" s="116">
        <f>IFERROR(R103/R102*R100,0)</f>
        <v>219.63894967177248</v>
      </c>
      <c r="S101" s="116">
        <f t="shared" ref="S101:T101" si="202">IFERROR(S103/S102*S100,0)</f>
        <v>194.00164023868658</v>
      </c>
      <c r="T101" s="116">
        <f t="shared" si="202"/>
        <v>199.09924247083663</v>
      </c>
      <c r="U101" s="120">
        <f>AVERAGE(R101:T101)</f>
        <v>204.24661079376526</v>
      </c>
      <c r="V101" s="120">
        <f t="shared" ref="V101" si="203">AVERAGE(S101:U101)</f>
        <v>199.11583116776282</v>
      </c>
      <c r="W101" s="120">
        <f t="shared" ref="W101" si="204">AVERAGE(T101:V101)</f>
        <v>200.8205614774549</v>
      </c>
      <c r="X101" s="120">
        <f t="shared" ref="X101" si="205">AVERAGE(U101:W101)</f>
        <v>201.39433447966098</v>
      </c>
      <c r="Y101" s="120">
        <f t="shared" ref="Y101" si="206">AVERAGE(V101:X101)</f>
        <v>200.44357570829288</v>
      </c>
      <c r="AC101" s="47"/>
      <c r="AD101" s="47"/>
      <c r="AE101" s="116">
        <f>IFERROR(AE103/AE102*AE100,0)</f>
        <v>0</v>
      </c>
      <c r="AF101" s="116">
        <f t="shared" ref="AF101:AG101" si="207">IFERROR(AF103/AF102*AF100,0)</f>
        <v>0</v>
      </c>
      <c r="AG101" s="116">
        <f t="shared" si="207"/>
        <v>0</v>
      </c>
      <c r="AH101" s="155">
        <f>U101</f>
        <v>204.24661079376526</v>
      </c>
      <c r="AI101" s="155">
        <f t="shared" ref="AI101" si="208">V101</f>
        <v>199.11583116776282</v>
      </c>
      <c r="AJ101" s="155">
        <f t="shared" ref="AJ101" si="209">W101</f>
        <v>200.8205614774549</v>
      </c>
      <c r="AK101" s="155">
        <f t="shared" ref="AK101" si="210">X101</f>
        <v>201.39433447966098</v>
      </c>
      <c r="AL101" s="155">
        <f t="shared" ref="AL101" si="211">Y101</f>
        <v>200.44357570829288</v>
      </c>
    </row>
    <row r="102" spans="2:38" x14ac:dyDescent="0.2">
      <c r="B102" s="47" t="s">
        <v>132</v>
      </c>
      <c r="C102" s="47"/>
      <c r="D102" s="47"/>
      <c r="E102" s="117"/>
      <c r="F102" s="117"/>
      <c r="G102" s="117"/>
      <c r="H102" s="117"/>
      <c r="I102" s="117"/>
      <c r="J102" s="117"/>
      <c r="K102" s="117"/>
      <c r="L102" s="117"/>
      <c r="P102" s="47"/>
      <c r="Q102" s="47"/>
      <c r="R102" s="117">
        <f>R170</f>
        <v>20958.019999999997</v>
      </c>
      <c r="S102" s="117">
        <f t="shared" ref="S102:Y102" si="212">S170</f>
        <v>26645.25618</v>
      </c>
      <c r="T102" s="117">
        <f t="shared" si="212"/>
        <v>32614.194747600006</v>
      </c>
      <c r="U102" s="117">
        <f t="shared" si="212"/>
        <v>34723.435901364006</v>
      </c>
      <c r="V102" s="117">
        <f t="shared" si="212"/>
        <v>36653.263379000105</v>
      </c>
      <c r="W102" s="117">
        <f t="shared" si="212"/>
        <v>38174.507274631462</v>
      </c>
      <c r="X102" s="117">
        <f t="shared" si="212"/>
        <v>40230.057666342393</v>
      </c>
      <c r="Y102" s="117">
        <f t="shared" si="212"/>
        <v>42253.229613018571</v>
      </c>
      <c r="AC102" s="47"/>
      <c r="AD102" s="47"/>
      <c r="AE102" s="117">
        <f>AE170</f>
        <v>0</v>
      </c>
      <c r="AF102" s="117">
        <f t="shared" ref="AF102:AL102" si="213">AF170</f>
        <v>0</v>
      </c>
      <c r="AG102" s="117">
        <f t="shared" si="213"/>
        <v>0</v>
      </c>
      <c r="AH102" s="117">
        <f t="shared" si="213"/>
        <v>34723.435901364006</v>
      </c>
      <c r="AI102" s="117">
        <f t="shared" si="213"/>
        <v>36653.263379000105</v>
      </c>
      <c r="AJ102" s="117">
        <f t="shared" si="213"/>
        <v>38174.507274631462</v>
      </c>
      <c r="AK102" s="117">
        <f t="shared" si="213"/>
        <v>40230.057666342393</v>
      </c>
      <c r="AL102" s="117">
        <f t="shared" si="213"/>
        <v>42253.229613018571</v>
      </c>
    </row>
    <row r="103" spans="2:38" x14ac:dyDescent="0.2">
      <c r="B103" s="47" t="s">
        <v>130</v>
      </c>
      <c r="C103" s="47"/>
      <c r="D103" s="47"/>
      <c r="E103" s="116"/>
      <c r="F103" s="116"/>
      <c r="G103" s="116"/>
      <c r="H103" s="84"/>
      <c r="I103" s="84"/>
      <c r="J103" s="84"/>
      <c r="K103" s="84"/>
      <c r="L103" s="84"/>
      <c r="P103" s="47"/>
      <c r="Q103" s="47"/>
      <c r="R103" s="116">
        <f>AVERAGE(R104:R105)</f>
        <v>12611.500000000002</v>
      </c>
      <c r="S103" s="116">
        <f t="shared" ref="S103:T103" si="214">AVERAGE(S104:S105)</f>
        <v>14162.2559</v>
      </c>
      <c r="T103" s="116">
        <f t="shared" si="214"/>
        <v>17790.305391900001</v>
      </c>
      <c r="U103" s="84">
        <f>U101/U100*U102</f>
        <v>19430.531775255207</v>
      </c>
      <c r="V103" s="84">
        <f t="shared" ref="V103:Y103" si="215">V101/V100*V102</f>
        <v>19995.191788275421</v>
      </c>
      <c r="W103" s="84">
        <f t="shared" si="215"/>
        <v>21003.358863059388</v>
      </c>
      <c r="X103" s="84">
        <f t="shared" si="215"/>
        <v>22197.54983504496</v>
      </c>
      <c r="Y103" s="84">
        <f t="shared" si="215"/>
        <v>23203.803914676631</v>
      </c>
      <c r="AC103" s="47"/>
      <c r="AD103" s="47"/>
      <c r="AE103" s="116">
        <f>AVERAGE(AE104:AE105)</f>
        <v>0</v>
      </c>
      <c r="AF103" s="116">
        <f t="shared" ref="AF103:AG103" si="216">AVERAGE(AF104:AF105)</f>
        <v>0</v>
      </c>
      <c r="AG103" s="116">
        <f t="shared" si="216"/>
        <v>0</v>
      </c>
      <c r="AH103" s="84">
        <f>AH101/AH100*AH102</f>
        <v>19430.531775255207</v>
      </c>
      <c r="AI103" s="84">
        <f t="shared" ref="AI103:AL103" si="217">AI101/AI100*AI102</f>
        <v>19995.191788275421</v>
      </c>
      <c r="AJ103" s="84">
        <f t="shared" si="217"/>
        <v>21003.358863059388</v>
      </c>
      <c r="AK103" s="84">
        <f t="shared" si="217"/>
        <v>22197.54983504496</v>
      </c>
      <c r="AL103" s="84">
        <f t="shared" si="217"/>
        <v>23203.803914676631</v>
      </c>
    </row>
    <row r="104" spans="2:38" x14ac:dyDescent="0.2">
      <c r="B104" s="47" t="s">
        <v>108</v>
      </c>
      <c r="C104" s="47"/>
      <c r="D104" s="47"/>
      <c r="E104" s="118"/>
      <c r="F104" s="117"/>
      <c r="G104" s="117"/>
      <c r="H104" s="117"/>
      <c r="I104" s="117"/>
      <c r="J104" s="117"/>
      <c r="K104" s="117"/>
      <c r="L104" s="117"/>
      <c r="P104" s="47"/>
      <c r="Q104" s="47"/>
      <c r="R104" s="118"/>
      <c r="S104" s="117">
        <f>R105</f>
        <v>12611.500000000002</v>
      </c>
      <c r="T104" s="117">
        <f t="shared" ref="T104" si="218">S105</f>
        <v>15713.011799999998</v>
      </c>
      <c r="U104" s="117">
        <f t="shared" ref="U104" si="219">T105</f>
        <v>19867.598983800002</v>
      </c>
      <c r="V104" s="117">
        <f t="shared" ref="V104" si="220">U105</f>
        <v>18993.464566710412</v>
      </c>
      <c r="W104" s="117">
        <f t="shared" ref="W104" si="221">V105</f>
        <v>20996.919009840429</v>
      </c>
      <c r="X104" s="117">
        <f t="shared" ref="X104" si="222">W105</f>
        <v>21009.798716278347</v>
      </c>
      <c r="Y104" s="117">
        <f t="shared" ref="Y104" si="223">X105</f>
        <v>23385.300953811573</v>
      </c>
      <c r="AC104" s="47"/>
      <c r="AD104" s="47"/>
      <c r="AE104" s="118"/>
      <c r="AF104" s="117">
        <f>AE105</f>
        <v>0</v>
      </c>
      <c r="AG104" s="117">
        <f t="shared" ref="AG104" si="224">AF105</f>
        <v>0</v>
      </c>
      <c r="AH104" s="155">
        <f>AH103</f>
        <v>19430.531775255207</v>
      </c>
      <c r="AI104" s="117">
        <f t="shared" ref="AI104" si="225">AH105</f>
        <v>19430.531775255207</v>
      </c>
      <c r="AJ104" s="117">
        <f t="shared" ref="AJ104" si="226">AI105</f>
        <v>20559.851801295634</v>
      </c>
      <c r="AK104" s="117">
        <f t="shared" ref="AK104" si="227">AJ105</f>
        <v>21446.865924823142</v>
      </c>
      <c r="AL104" s="117">
        <f t="shared" ref="AL104" si="228">AK105</f>
        <v>22948.233745266778</v>
      </c>
    </row>
    <row r="105" spans="2:38" x14ac:dyDescent="0.2">
      <c r="B105" s="115" t="s">
        <v>111</v>
      </c>
      <c r="C105" s="115"/>
      <c r="D105" s="115"/>
      <c r="E105" s="119"/>
      <c r="F105" s="119"/>
      <c r="G105" s="119"/>
      <c r="H105" s="121"/>
      <c r="I105" s="121"/>
      <c r="J105" s="121"/>
      <c r="K105" s="121"/>
      <c r="L105" s="121"/>
      <c r="P105" s="115"/>
      <c r="Q105" s="115"/>
      <c r="R105" s="119">
        <f>R196</f>
        <v>12611.500000000002</v>
      </c>
      <c r="S105" s="119">
        <f t="shared" ref="S105:T105" si="229">S196</f>
        <v>15713.011799999998</v>
      </c>
      <c r="T105" s="119">
        <f t="shared" si="229"/>
        <v>19867.598983800002</v>
      </c>
      <c r="U105" s="121">
        <f>U103*2-U104</f>
        <v>18993.464566710412</v>
      </c>
      <c r="V105" s="121">
        <f t="shared" ref="V105:Y105" si="230">V103*2-V104</f>
        <v>20996.919009840429</v>
      </c>
      <c r="W105" s="121">
        <f t="shared" si="230"/>
        <v>21009.798716278347</v>
      </c>
      <c r="X105" s="121">
        <f t="shared" si="230"/>
        <v>23385.300953811573</v>
      </c>
      <c r="Y105" s="121">
        <f t="shared" si="230"/>
        <v>23022.30687554169</v>
      </c>
      <c r="AC105" s="115"/>
      <c r="AD105" s="115"/>
      <c r="AE105" s="119">
        <f>AE196</f>
        <v>0</v>
      </c>
      <c r="AF105" s="119">
        <f t="shared" ref="AF105:AG105" si="231">AF196</f>
        <v>0</v>
      </c>
      <c r="AG105" s="119">
        <f t="shared" si="231"/>
        <v>0</v>
      </c>
      <c r="AH105" s="121">
        <f>AH103*2-AH104</f>
        <v>19430.531775255207</v>
      </c>
      <c r="AI105" s="121">
        <f t="shared" ref="AI105:AL105" si="232">AI103*2-AI104</f>
        <v>20559.851801295634</v>
      </c>
      <c r="AJ105" s="121">
        <f t="shared" si="232"/>
        <v>21446.865924823142</v>
      </c>
      <c r="AK105" s="121">
        <f t="shared" si="232"/>
        <v>22948.233745266778</v>
      </c>
      <c r="AL105" s="121">
        <f t="shared" si="232"/>
        <v>23459.374084086485</v>
      </c>
    </row>
    <row r="106" spans="2:38" x14ac:dyDescent="0.2">
      <c r="B106" s="47"/>
      <c r="C106" s="47"/>
      <c r="D106" s="47"/>
      <c r="E106" s="1"/>
      <c r="F106" s="1"/>
      <c r="G106" s="1"/>
      <c r="P106" s="47"/>
      <c r="Q106" s="47"/>
      <c r="R106" s="1"/>
      <c r="S106" s="1"/>
      <c r="T106" s="1"/>
      <c r="AC106" s="47"/>
      <c r="AD106" s="47"/>
      <c r="AE106" s="1"/>
      <c r="AF106" s="1"/>
      <c r="AG106" s="1"/>
    </row>
    <row r="107" spans="2:38" x14ac:dyDescent="0.2">
      <c r="B107" s="47" t="s">
        <v>135</v>
      </c>
      <c r="C107" s="47"/>
      <c r="D107" s="47"/>
      <c r="E107" s="117"/>
      <c r="F107" s="117"/>
      <c r="G107" s="117"/>
      <c r="H107" s="117"/>
      <c r="I107" s="117"/>
      <c r="J107" s="117"/>
      <c r="K107" s="117"/>
      <c r="L107" s="117"/>
      <c r="P107" s="47"/>
      <c r="Q107" s="47"/>
      <c r="R107" s="117">
        <f>R89+R97-R105</f>
        <v>3668.7999999999975</v>
      </c>
      <c r="S107" s="117">
        <f t="shared" ref="S107:Y107" si="233">S89+S97-S105</f>
        <v>3844.6731000000018</v>
      </c>
      <c r="T107" s="117">
        <f t="shared" si="233"/>
        <v>5696.8025759999982</v>
      </c>
      <c r="U107" s="117">
        <f t="shared" si="233"/>
        <v>5047.2099122528343</v>
      </c>
      <c r="V107" s="117">
        <f t="shared" si="233"/>
        <v>5756.2549608450026</v>
      </c>
      <c r="W107" s="117">
        <f t="shared" si="233"/>
        <v>5674.6140804301649</v>
      </c>
      <c r="X107" s="117">
        <f t="shared" si="233"/>
        <v>6446.6569170400908</v>
      </c>
      <c r="Y107" s="117">
        <f t="shared" si="233"/>
        <v>6165.4661727365819</v>
      </c>
      <c r="AC107" s="47"/>
      <c r="AD107" s="47"/>
      <c r="AE107" s="117">
        <f>AE89+AE97-AE105</f>
        <v>0</v>
      </c>
      <c r="AF107" s="117">
        <f t="shared" ref="AF107:AL107" si="234">AF89+AF97-AF105</f>
        <v>0</v>
      </c>
      <c r="AG107" s="117">
        <f t="shared" si="234"/>
        <v>0</v>
      </c>
      <c r="AH107" s="117">
        <f t="shared" si="234"/>
        <v>5372.0062441264163</v>
      </c>
      <c r="AI107" s="117">
        <f t="shared" si="234"/>
        <v>5431.4586289714207</v>
      </c>
      <c r="AJ107" s="117">
        <f t="shared" si="234"/>
        <v>5999.4104123037469</v>
      </c>
      <c r="AK107" s="117">
        <f t="shared" si="234"/>
        <v>6121.8605851665088</v>
      </c>
      <c r="AL107" s="117">
        <f t="shared" si="234"/>
        <v>6490.2625046101639</v>
      </c>
    </row>
    <row r="108" spans="2:38" ht="10.8" thickBot="1" x14ac:dyDescent="0.25">
      <c r="B108" s="122" t="s">
        <v>136</v>
      </c>
      <c r="C108" s="122"/>
      <c r="D108" s="122"/>
      <c r="E108" s="123"/>
      <c r="F108" s="124"/>
      <c r="G108" s="124"/>
      <c r="H108" s="124"/>
      <c r="I108" s="124"/>
      <c r="J108" s="124"/>
      <c r="K108" s="124"/>
      <c r="L108" s="124"/>
      <c r="P108" s="122"/>
      <c r="Q108" s="122"/>
      <c r="R108" s="123"/>
      <c r="S108" s="124">
        <f>S107-R107</f>
        <v>175.87310000000434</v>
      </c>
      <c r="T108" s="124">
        <f t="shared" ref="T108" si="235">T107-S107</f>
        <v>1852.1294759999964</v>
      </c>
      <c r="U108" s="124">
        <f t="shared" ref="U108" si="236">U107-T107</f>
        <v>-649.5926637471639</v>
      </c>
      <c r="V108" s="124">
        <f t="shared" ref="V108" si="237">V107-U107</f>
        <v>709.04504859216831</v>
      </c>
      <c r="W108" s="124">
        <f t="shared" ref="W108" si="238">W107-V107</f>
        <v>-81.640880414837738</v>
      </c>
      <c r="X108" s="124">
        <f t="shared" ref="X108" si="239">X107-W107</f>
        <v>772.04283660992587</v>
      </c>
      <c r="Y108" s="124">
        <f t="shared" ref="Y108" si="240">Y107-X107</f>
        <v>-281.19074430350884</v>
      </c>
      <c r="AC108" s="122"/>
      <c r="AD108" s="122"/>
      <c r="AE108" s="123"/>
      <c r="AF108" s="124">
        <f>AF107-AE107</f>
        <v>0</v>
      </c>
      <c r="AG108" s="124">
        <f t="shared" ref="AG108" si="241">AG107-AF107</f>
        <v>0</v>
      </c>
      <c r="AH108" s="124">
        <f t="shared" ref="AH108" si="242">AH107-AG107</f>
        <v>5372.0062441264163</v>
      </c>
      <c r="AI108" s="124">
        <f t="shared" ref="AI108" si="243">AI107-AH107</f>
        <v>59.452384845004417</v>
      </c>
      <c r="AJ108" s="124">
        <f t="shared" ref="AJ108" si="244">AJ107-AI107</f>
        <v>567.95178333232616</v>
      </c>
      <c r="AK108" s="124">
        <f t="shared" ref="AK108" si="245">AK107-AJ107</f>
        <v>122.45017286276197</v>
      </c>
      <c r="AL108" s="124">
        <f t="shared" ref="AL108" si="246">AL107-AK107</f>
        <v>368.40191944365506</v>
      </c>
    </row>
    <row r="109" spans="2:38" ht="10.8" thickTop="1" x14ac:dyDescent="0.2">
      <c r="B109" s="47"/>
      <c r="C109" s="47"/>
      <c r="D109" s="47"/>
      <c r="E109" s="1"/>
      <c r="F109" s="1"/>
      <c r="G109" s="1"/>
      <c r="P109" s="47"/>
      <c r="Q109" s="47"/>
      <c r="R109" s="1"/>
      <c r="S109" s="1"/>
      <c r="T109" s="1"/>
      <c r="AC109" s="47"/>
      <c r="AD109" s="47"/>
      <c r="AE109" s="1"/>
      <c r="AF109" s="1"/>
      <c r="AG109" s="1"/>
    </row>
    <row r="110" spans="2:38" x14ac:dyDescent="0.2">
      <c r="B110" s="76" t="s">
        <v>33</v>
      </c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</row>
    <row r="111" spans="2:38" x14ac:dyDescent="0.2">
      <c r="B111" s="47"/>
      <c r="C111" s="47"/>
      <c r="D111" s="47"/>
      <c r="E111" s="1"/>
      <c r="F111" s="1"/>
      <c r="G111" s="1"/>
      <c r="P111" s="47"/>
      <c r="Q111" s="47"/>
      <c r="R111" s="1"/>
      <c r="S111" s="1"/>
      <c r="T111" s="1"/>
      <c r="AC111" s="47"/>
      <c r="AD111" s="47"/>
      <c r="AE111" s="1"/>
      <c r="AF111" s="1"/>
      <c r="AG111" s="1"/>
    </row>
    <row r="112" spans="2:38" x14ac:dyDescent="0.2">
      <c r="B112" s="47" t="s">
        <v>137</v>
      </c>
      <c r="C112" s="47"/>
      <c r="D112" s="47"/>
      <c r="E112" s="1"/>
      <c r="F112" s="117"/>
      <c r="G112" s="117"/>
      <c r="H112" s="117"/>
      <c r="I112" s="117"/>
      <c r="J112" s="117"/>
      <c r="K112" s="117"/>
      <c r="L112" s="117"/>
      <c r="P112" s="47"/>
      <c r="Q112" s="47"/>
      <c r="R112" s="1"/>
      <c r="S112" s="117">
        <f>R116</f>
        <v>62844</v>
      </c>
      <c r="T112" s="117">
        <f t="shared" ref="T112" si="247">S116</f>
        <v>63159</v>
      </c>
      <c r="U112" s="117">
        <f t="shared" ref="U112" si="248">T116</f>
        <v>59167</v>
      </c>
      <c r="V112" s="117">
        <f t="shared" ref="V112" si="249">U116</f>
        <v>79167</v>
      </c>
      <c r="W112" s="117">
        <f t="shared" ref="W112" si="250">V116</f>
        <v>79167</v>
      </c>
      <c r="X112" s="117">
        <f t="shared" ref="X112" si="251">W116</f>
        <v>79167</v>
      </c>
      <c r="Y112" s="117">
        <f t="shared" ref="Y112" si="252">X116</f>
        <v>79167</v>
      </c>
      <c r="AC112" s="47"/>
      <c r="AD112" s="47"/>
      <c r="AE112" s="1"/>
      <c r="AF112" s="117">
        <f>AE116</f>
        <v>0</v>
      </c>
      <c r="AG112" s="117">
        <f t="shared" ref="AG112" si="253">AF116</f>
        <v>0</v>
      </c>
      <c r="AH112" s="117">
        <f t="shared" ref="AH112" si="254">AG116</f>
        <v>0</v>
      </c>
      <c r="AI112" s="117">
        <f t="shared" ref="AI112" si="255">AH116</f>
        <v>22500</v>
      </c>
      <c r="AJ112" s="117">
        <f t="shared" ref="AJ112" si="256">AI116</f>
        <v>22500</v>
      </c>
      <c r="AK112" s="117">
        <f t="shared" ref="AK112" si="257">AJ116</f>
        <v>22500</v>
      </c>
      <c r="AL112" s="117">
        <f t="shared" ref="AL112" si="258">AK116</f>
        <v>22500</v>
      </c>
    </row>
    <row r="113" spans="2:38" x14ac:dyDescent="0.2">
      <c r="B113" s="47" t="s">
        <v>138</v>
      </c>
      <c r="C113" s="47"/>
      <c r="D113" s="47"/>
      <c r="E113" s="1"/>
      <c r="F113" s="117"/>
      <c r="G113" s="117"/>
      <c r="H113" s="117"/>
      <c r="I113" s="117"/>
      <c r="J113" s="117"/>
      <c r="K113" s="117"/>
      <c r="L113" s="117"/>
      <c r="P113" s="47"/>
      <c r="Q113" s="47"/>
      <c r="R113" s="1"/>
      <c r="S113" s="117">
        <f>-S174</f>
        <v>-7800.786000000001</v>
      </c>
      <c r="T113" s="117">
        <f t="shared" ref="T113:Y113" si="259">-T174</f>
        <v>-9969.4045080000014</v>
      </c>
      <c r="U113" s="117">
        <f t="shared" si="259"/>
        <v>-10467.874733400002</v>
      </c>
      <c r="V113" s="117">
        <f t="shared" si="259"/>
        <v>-10991.268470070003</v>
      </c>
      <c r="W113" s="117">
        <f t="shared" si="259"/>
        <v>-11540.831893573504</v>
      </c>
      <c r="X113" s="117">
        <f t="shared" si="259"/>
        <v>-12117.87348825218</v>
      </c>
      <c r="Y113" s="117">
        <f t="shared" si="259"/>
        <v>-12723.76716266479</v>
      </c>
      <c r="AC113" s="47"/>
      <c r="AD113" s="47"/>
      <c r="AE113" s="1"/>
      <c r="AF113" s="117">
        <f>-AF174</f>
        <v>0</v>
      </c>
      <c r="AG113" s="117">
        <f t="shared" ref="AG113:AL113" si="260">-AG174</f>
        <v>0</v>
      </c>
      <c r="AH113" s="117">
        <f t="shared" si="260"/>
        <v>-10467.874733400002</v>
      </c>
      <c r="AI113" s="117">
        <f t="shared" si="260"/>
        <v>-10991.268470070003</v>
      </c>
      <c r="AJ113" s="117">
        <f t="shared" si="260"/>
        <v>-11540.831893573504</v>
      </c>
      <c r="AK113" s="117">
        <f t="shared" si="260"/>
        <v>-12117.87348825218</v>
      </c>
      <c r="AL113" s="117">
        <f t="shared" si="260"/>
        <v>-12723.76716266479</v>
      </c>
    </row>
    <row r="114" spans="2:38" x14ac:dyDescent="0.2">
      <c r="B114" s="47" t="s">
        <v>139</v>
      </c>
      <c r="C114" s="47"/>
      <c r="D114" s="47"/>
      <c r="E114" s="1"/>
      <c r="F114" s="117"/>
      <c r="G114" s="117"/>
      <c r="H114" s="128"/>
      <c r="I114" s="128"/>
      <c r="J114" s="128"/>
      <c r="K114" s="128"/>
      <c r="L114" s="128"/>
      <c r="P114" s="47"/>
      <c r="Q114" s="47"/>
      <c r="R114" s="1"/>
      <c r="S114" s="117">
        <f>-S219</f>
        <v>8115.786000000001</v>
      </c>
      <c r="T114" s="117">
        <f>-T219</f>
        <v>5977.4045080000014</v>
      </c>
      <c r="U114" s="128">
        <f>-U113</f>
        <v>10467.874733400002</v>
      </c>
      <c r="V114" s="128">
        <f t="shared" ref="V114:Y114" si="261">-V113</f>
        <v>10991.268470070003</v>
      </c>
      <c r="W114" s="128">
        <f t="shared" si="261"/>
        <v>11540.831893573504</v>
      </c>
      <c r="X114" s="128">
        <f t="shared" si="261"/>
        <v>12117.87348825218</v>
      </c>
      <c r="Y114" s="128">
        <f t="shared" si="261"/>
        <v>12723.76716266479</v>
      </c>
      <c r="AC114" s="47"/>
      <c r="AD114" s="47"/>
      <c r="AE114" s="1"/>
      <c r="AF114" s="117">
        <f>-AF219</f>
        <v>0</v>
      </c>
      <c r="AG114" s="117">
        <f>-AG219</f>
        <v>0</v>
      </c>
      <c r="AH114" s="128">
        <f>-AH113</f>
        <v>10467.874733400002</v>
      </c>
      <c r="AI114" s="128">
        <f t="shared" ref="AI114:AL114" si="262">-AI113</f>
        <v>10991.268470070003</v>
      </c>
      <c r="AJ114" s="128">
        <f t="shared" si="262"/>
        <v>11540.831893573504</v>
      </c>
      <c r="AK114" s="128">
        <f t="shared" si="262"/>
        <v>12117.87348825218</v>
      </c>
      <c r="AL114" s="128">
        <f t="shared" si="262"/>
        <v>12723.76716266479</v>
      </c>
    </row>
    <row r="115" spans="2:38" x14ac:dyDescent="0.2">
      <c r="B115" s="47" t="s">
        <v>142</v>
      </c>
      <c r="C115" s="47"/>
      <c r="D115" s="47"/>
      <c r="E115" s="1"/>
      <c r="F115" s="117"/>
      <c r="G115" s="117"/>
      <c r="H115" s="156"/>
      <c r="I115" s="156"/>
      <c r="J115" s="156"/>
      <c r="K115" s="156"/>
      <c r="L115" s="156"/>
      <c r="P115" s="47"/>
      <c r="Q115" s="47"/>
      <c r="R115" s="1"/>
      <c r="S115" s="117"/>
      <c r="T115" s="117"/>
      <c r="U115" s="156">
        <f>U57</f>
        <v>20000</v>
      </c>
      <c r="V115" s="156">
        <f t="shared" ref="V115:Y115" si="263">V57</f>
        <v>0</v>
      </c>
      <c r="W115" s="156">
        <f t="shared" si="263"/>
        <v>0</v>
      </c>
      <c r="X115" s="156">
        <f t="shared" si="263"/>
        <v>0</v>
      </c>
      <c r="Y115" s="156">
        <f t="shared" si="263"/>
        <v>0</v>
      </c>
      <c r="AC115" s="47"/>
      <c r="AD115" s="47"/>
      <c r="AE115" s="1"/>
      <c r="AF115" s="117"/>
      <c r="AG115" s="117"/>
      <c r="AH115" s="156">
        <f>AH57</f>
        <v>22500</v>
      </c>
      <c r="AI115" s="156">
        <f t="shared" ref="AI115:AL115" si="264">AI57</f>
        <v>0</v>
      </c>
      <c r="AJ115" s="156">
        <f t="shared" si="264"/>
        <v>0</v>
      </c>
      <c r="AK115" s="156">
        <f t="shared" si="264"/>
        <v>0</v>
      </c>
      <c r="AL115" s="156">
        <f t="shared" si="264"/>
        <v>0</v>
      </c>
    </row>
    <row r="116" spans="2:38" ht="10.8" thickBot="1" x14ac:dyDescent="0.25">
      <c r="B116" s="125" t="s">
        <v>140</v>
      </c>
      <c r="C116" s="125"/>
      <c r="D116" s="125"/>
      <c r="E116" s="126"/>
      <c r="F116" s="127"/>
      <c r="G116" s="127"/>
      <c r="H116" s="127"/>
      <c r="I116" s="127"/>
      <c r="J116" s="127"/>
      <c r="K116" s="127"/>
      <c r="L116" s="127"/>
      <c r="P116" s="125"/>
      <c r="Q116" s="125"/>
      <c r="R116" s="126">
        <f>R190</f>
        <v>62844</v>
      </c>
      <c r="S116" s="127">
        <f>SUM(S112:S115)</f>
        <v>63159</v>
      </c>
      <c r="T116" s="127">
        <f t="shared" ref="T116" si="265">SUM(T112:T115)</f>
        <v>59167</v>
      </c>
      <c r="U116" s="127">
        <f t="shared" ref="U116" si="266">SUM(U112:U115)</f>
        <v>79167</v>
      </c>
      <c r="V116" s="127">
        <f t="shared" ref="V116" si="267">SUM(V112:V115)</f>
        <v>79167</v>
      </c>
      <c r="W116" s="127">
        <f t="shared" ref="W116" si="268">SUM(W112:W115)</f>
        <v>79167</v>
      </c>
      <c r="X116" s="127">
        <f t="shared" ref="X116" si="269">SUM(X112:X115)</f>
        <v>79167</v>
      </c>
      <c r="Y116" s="127">
        <f t="shared" ref="Y116" si="270">SUM(Y112:Y115)</f>
        <v>79167</v>
      </c>
      <c r="AC116" s="125"/>
      <c r="AD116" s="125"/>
      <c r="AE116" s="126">
        <f>AE190</f>
        <v>0</v>
      </c>
      <c r="AF116" s="127">
        <f>SUM(AF112:AF115)</f>
        <v>0</v>
      </c>
      <c r="AG116" s="127">
        <f t="shared" ref="AG116" si="271">SUM(AG112:AG115)</f>
        <v>0</v>
      </c>
      <c r="AH116" s="127">
        <f t="shared" ref="AH116" si="272">SUM(AH112:AH115)</f>
        <v>22500</v>
      </c>
      <c r="AI116" s="127">
        <f t="shared" ref="AI116" si="273">SUM(AI112:AI115)</f>
        <v>22500</v>
      </c>
      <c r="AJ116" s="127">
        <f t="shared" ref="AJ116" si="274">SUM(AJ112:AJ115)</f>
        <v>22500</v>
      </c>
      <c r="AK116" s="127">
        <f t="shared" ref="AK116" si="275">SUM(AK112:AK115)</f>
        <v>22500</v>
      </c>
      <c r="AL116" s="127">
        <f t="shared" ref="AL116" si="276">SUM(AL112:AL115)</f>
        <v>22500</v>
      </c>
    </row>
    <row r="117" spans="2:38" x14ac:dyDescent="0.2">
      <c r="B117" s="47"/>
      <c r="C117" s="47"/>
      <c r="D117" s="47"/>
      <c r="E117" s="1"/>
      <c r="F117" s="1"/>
      <c r="G117" s="1"/>
      <c r="P117" s="47"/>
      <c r="Q117" s="47"/>
      <c r="R117" s="1"/>
      <c r="S117" s="1"/>
      <c r="T117" s="1"/>
      <c r="AC117" s="47"/>
      <c r="AD117" s="47"/>
      <c r="AE117" s="1"/>
      <c r="AF117" s="1"/>
      <c r="AG117" s="1"/>
    </row>
    <row r="118" spans="2:38" x14ac:dyDescent="0.2">
      <c r="B118" s="157" t="s">
        <v>167</v>
      </c>
      <c r="C118" s="47"/>
      <c r="D118" s="47"/>
      <c r="E118" s="1"/>
      <c r="F118" s="1"/>
      <c r="G118" s="1"/>
      <c r="P118" s="47"/>
      <c r="Q118" s="47"/>
      <c r="R118" s="1"/>
      <c r="S118" s="1"/>
      <c r="T118" s="1"/>
      <c r="AC118" s="47"/>
      <c r="AD118" s="47"/>
      <c r="AE118" s="1"/>
      <c r="AF118" s="1"/>
      <c r="AG118" s="1"/>
    </row>
    <row r="119" spans="2:38" x14ac:dyDescent="0.2">
      <c r="B119" s="158" t="s">
        <v>168</v>
      </c>
      <c r="C119" s="47"/>
      <c r="D119" s="47"/>
      <c r="E119" s="1"/>
      <c r="F119" s="164"/>
      <c r="G119" s="164"/>
      <c r="H119" s="165"/>
      <c r="I119" s="165"/>
      <c r="J119" s="165"/>
      <c r="K119" s="165"/>
      <c r="L119" s="165"/>
      <c r="P119" s="47"/>
      <c r="Q119" s="47"/>
      <c r="R119" s="1"/>
      <c r="S119" s="164"/>
      <c r="T119" s="164"/>
      <c r="U119" s="165">
        <f>U45-U136</f>
        <v>15000</v>
      </c>
      <c r="V119" s="165">
        <f t="shared" ref="V119:Y119" si="277">V45-V136</f>
        <v>10000</v>
      </c>
      <c r="W119" s="165">
        <f t="shared" si="277"/>
        <v>10000</v>
      </c>
      <c r="X119" s="165">
        <f t="shared" si="277"/>
        <v>10000</v>
      </c>
      <c r="Y119" s="165">
        <f t="shared" si="277"/>
        <v>0</v>
      </c>
      <c r="AC119" s="47"/>
      <c r="AD119" s="47"/>
      <c r="AE119" s="1"/>
      <c r="AF119" s="164"/>
      <c r="AG119" s="164"/>
      <c r="AH119" s="165">
        <f>AH45-AH136</f>
        <v>15000</v>
      </c>
      <c r="AI119" s="165">
        <f t="shared" ref="AI119:AL119" si="278">AI45-AI136</f>
        <v>10000</v>
      </c>
      <c r="AJ119" s="165">
        <f t="shared" si="278"/>
        <v>10000</v>
      </c>
      <c r="AK119" s="165">
        <f t="shared" si="278"/>
        <v>10000</v>
      </c>
      <c r="AL119" s="165">
        <f t="shared" si="278"/>
        <v>0</v>
      </c>
    </row>
    <row r="120" spans="2:38" x14ac:dyDescent="0.2">
      <c r="B120" s="159" t="s">
        <v>169</v>
      </c>
      <c r="C120" s="115"/>
      <c r="D120" s="115"/>
      <c r="E120" s="160"/>
      <c r="F120" s="166"/>
      <c r="G120" s="166"/>
      <c r="H120" s="22"/>
      <c r="I120" s="22"/>
      <c r="J120" s="22"/>
      <c r="K120" s="22"/>
      <c r="L120" s="22"/>
      <c r="P120" s="115"/>
      <c r="Q120" s="115"/>
      <c r="R120" s="160"/>
      <c r="S120" s="166"/>
      <c r="T120" s="166"/>
      <c r="U120" s="22">
        <f>U119*U51</f>
        <v>7500</v>
      </c>
      <c r="V120" s="22">
        <f t="shared" ref="V120" si="279">V119*V51</f>
        <v>5000</v>
      </c>
      <c r="W120" s="22">
        <f t="shared" ref="W120" si="280">W119*W51</f>
        <v>5000</v>
      </c>
      <c r="X120" s="22">
        <f t="shared" ref="X120" si="281">X119*X51</f>
        <v>5000</v>
      </c>
      <c r="Y120" s="22">
        <f t="shared" ref="Y120" si="282">Y119*Y51</f>
        <v>0</v>
      </c>
      <c r="AC120" s="115"/>
      <c r="AD120" s="115"/>
      <c r="AE120" s="160"/>
      <c r="AF120" s="166"/>
      <c r="AG120" s="166"/>
      <c r="AH120" s="22">
        <f>AH119*AH51</f>
        <v>7500</v>
      </c>
      <c r="AI120" s="22">
        <f t="shared" ref="AI120" si="283">AI119*AI51</f>
        <v>5000</v>
      </c>
      <c r="AJ120" s="22">
        <f t="shared" ref="AJ120" si="284">AJ119*AJ51</f>
        <v>5000</v>
      </c>
      <c r="AK120" s="22">
        <f t="shared" ref="AK120" si="285">AK119*AK51</f>
        <v>5000</v>
      </c>
      <c r="AL120" s="22">
        <f t="shared" ref="AL120" si="286">AL119*AL51</f>
        <v>0</v>
      </c>
    </row>
    <row r="121" spans="2:38" x14ac:dyDescent="0.2">
      <c r="B121" s="47"/>
      <c r="C121" s="47"/>
      <c r="D121" s="47"/>
      <c r="E121" s="1"/>
      <c r="F121" s="1"/>
      <c r="G121" s="1"/>
      <c r="P121" s="47"/>
      <c r="Q121" s="47"/>
      <c r="R121" s="1"/>
      <c r="S121" s="1"/>
      <c r="T121" s="1"/>
      <c r="AC121" s="47"/>
      <c r="AD121" s="47"/>
      <c r="AE121" s="1"/>
      <c r="AF121" s="1"/>
      <c r="AG121" s="1"/>
    </row>
    <row r="122" spans="2:38" x14ac:dyDescent="0.2">
      <c r="B122" s="76" t="s">
        <v>76</v>
      </c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</row>
    <row r="123" spans="2:38" x14ac:dyDescent="0.2">
      <c r="B123" s="47"/>
      <c r="C123" s="47"/>
      <c r="D123" s="47"/>
      <c r="E123" s="1"/>
      <c r="F123" s="1"/>
      <c r="G123" s="1"/>
      <c r="P123" s="47"/>
      <c r="Q123" s="47"/>
      <c r="R123" s="1"/>
      <c r="S123" s="1"/>
      <c r="T123" s="1"/>
      <c r="AC123" s="47"/>
      <c r="AD123" s="47"/>
      <c r="AE123" s="1"/>
      <c r="AF123" s="1"/>
      <c r="AG123" s="1"/>
    </row>
    <row r="124" spans="2:38" x14ac:dyDescent="0.2">
      <c r="B124" s="47" t="s">
        <v>141</v>
      </c>
      <c r="C124" s="47"/>
      <c r="D124" s="47"/>
      <c r="E124" s="1"/>
      <c r="F124" s="117"/>
      <c r="G124" s="117"/>
      <c r="H124" s="117"/>
      <c r="I124" s="117"/>
      <c r="J124" s="117"/>
      <c r="K124" s="117"/>
      <c r="L124" s="117"/>
      <c r="P124" s="47"/>
      <c r="Q124" s="47"/>
      <c r="R124" s="1"/>
      <c r="S124" s="117">
        <f>R126</f>
        <v>0</v>
      </c>
      <c r="T124" s="117">
        <f t="shared" ref="T124" si="287">S126</f>
        <v>0</v>
      </c>
      <c r="U124" s="117">
        <f t="shared" ref="U124" si="288">T126</f>
        <v>0</v>
      </c>
      <c r="V124" s="117">
        <f t="shared" ref="V124" si="289">U126</f>
        <v>20000</v>
      </c>
      <c r="W124" s="117">
        <f t="shared" ref="W124" si="290">V126</f>
        <v>20000</v>
      </c>
      <c r="X124" s="117">
        <f t="shared" ref="X124" si="291">W126</f>
        <v>20000</v>
      </c>
      <c r="Y124" s="117">
        <f t="shared" ref="Y124" si="292">X126</f>
        <v>20000</v>
      </c>
      <c r="AC124" s="47"/>
      <c r="AD124" s="47"/>
      <c r="AE124" s="1"/>
      <c r="AF124" s="117">
        <f>AE126</f>
        <v>0</v>
      </c>
      <c r="AG124" s="117">
        <f t="shared" ref="AG124" si="293">AF126</f>
        <v>0</v>
      </c>
      <c r="AH124" s="117">
        <f t="shared" ref="AH124" si="294">AG126</f>
        <v>0</v>
      </c>
      <c r="AI124" s="117">
        <f t="shared" ref="AI124" si="295">AH126</f>
        <v>22500</v>
      </c>
      <c r="AJ124" s="117">
        <f t="shared" ref="AJ124" si="296">AI126</f>
        <v>22500</v>
      </c>
      <c r="AK124" s="117">
        <f t="shared" ref="AK124" si="297">AJ126</f>
        <v>22500</v>
      </c>
      <c r="AL124" s="117">
        <f t="shared" ref="AL124" si="298">AK126</f>
        <v>22500</v>
      </c>
    </row>
    <row r="125" spans="2:38" x14ac:dyDescent="0.2">
      <c r="B125" s="47" t="s">
        <v>142</v>
      </c>
      <c r="C125" s="47"/>
      <c r="D125" s="47"/>
      <c r="E125" s="1"/>
      <c r="F125" s="117"/>
      <c r="G125" s="117"/>
      <c r="H125" s="117"/>
      <c r="I125" s="117"/>
      <c r="J125" s="117"/>
      <c r="K125" s="117"/>
      <c r="L125" s="117"/>
      <c r="P125" s="47"/>
      <c r="Q125" s="47"/>
      <c r="R125" s="1"/>
      <c r="S125" s="117"/>
      <c r="T125" s="117"/>
      <c r="U125" s="117">
        <f>U58</f>
        <v>20000</v>
      </c>
      <c r="V125" s="117">
        <f t="shared" ref="V125:Y125" si="299">V58</f>
        <v>0</v>
      </c>
      <c r="W125" s="117">
        <f t="shared" si="299"/>
        <v>0</v>
      </c>
      <c r="X125" s="117">
        <f t="shared" si="299"/>
        <v>0</v>
      </c>
      <c r="Y125" s="117">
        <f t="shared" si="299"/>
        <v>0</v>
      </c>
      <c r="AC125" s="47"/>
      <c r="AD125" s="47"/>
      <c r="AE125" s="1"/>
      <c r="AF125" s="117"/>
      <c r="AG125" s="117"/>
      <c r="AH125" s="117">
        <f>AH58</f>
        <v>22500</v>
      </c>
      <c r="AI125" s="117">
        <f t="shared" ref="AI125:AL125" si="300">AI58</f>
        <v>0</v>
      </c>
      <c r="AJ125" s="117">
        <f t="shared" si="300"/>
        <v>0</v>
      </c>
      <c r="AK125" s="117">
        <f t="shared" si="300"/>
        <v>0</v>
      </c>
      <c r="AL125" s="117">
        <f t="shared" si="300"/>
        <v>0</v>
      </c>
    </row>
    <row r="126" spans="2:38" ht="10.8" thickBot="1" x14ac:dyDescent="0.25">
      <c r="B126" s="125" t="s">
        <v>143</v>
      </c>
      <c r="C126" s="125"/>
      <c r="D126" s="125"/>
      <c r="E126" s="126"/>
      <c r="F126" s="127"/>
      <c r="G126" s="127"/>
      <c r="H126" s="127"/>
      <c r="I126" s="127"/>
      <c r="J126" s="127"/>
      <c r="K126" s="127"/>
      <c r="L126" s="127"/>
      <c r="P126" s="125"/>
      <c r="Q126" s="125"/>
      <c r="R126" s="126">
        <f>R191</f>
        <v>0</v>
      </c>
      <c r="S126" s="127">
        <f>SUM(S124:S125)</f>
        <v>0</v>
      </c>
      <c r="T126" s="127">
        <f t="shared" ref="T126:Y126" si="301">SUM(T124:T125)</f>
        <v>0</v>
      </c>
      <c r="U126" s="127">
        <f t="shared" si="301"/>
        <v>20000</v>
      </c>
      <c r="V126" s="127">
        <f t="shared" si="301"/>
        <v>20000</v>
      </c>
      <c r="W126" s="127">
        <f t="shared" si="301"/>
        <v>20000</v>
      </c>
      <c r="X126" s="127">
        <f t="shared" si="301"/>
        <v>20000</v>
      </c>
      <c r="Y126" s="127">
        <f t="shared" si="301"/>
        <v>20000</v>
      </c>
      <c r="AC126" s="125"/>
      <c r="AD126" s="125"/>
      <c r="AE126" s="126">
        <f>AE191</f>
        <v>0</v>
      </c>
      <c r="AF126" s="127">
        <f>SUM(AF124:AF125)</f>
        <v>0</v>
      </c>
      <c r="AG126" s="127">
        <f t="shared" ref="AG126:AL126" si="302">SUM(AG124:AG125)</f>
        <v>0</v>
      </c>
      <c r="AH126" s="127">
        <f t="shared" si="302"/>
        <v>22500</v>
      </c>
      <c r="AI126" s="127">
        <f t="shared" si="302"/>
        <v>22500</v>
      </c>
      <c r="AJ126" s="127">
        <f t="shared" si="302"/>
        <v>22500</v>
      </c>
      <c r="AK126" s="127">
        <f t="shared" si="302"/>
        <v>22500</v>
      </c>
      <c r="AL126" s="127">
        <f t="shared" si="302"/>
        <v>22500</v>
      </c>
    </row>
    <row r="127" spans="2:38" x14ac:dyDescent="0.2">
      <c r="B127" s="47"/>
      <c r="C127" s="47"/>
      <c r="D127" s="47"/>
      <c r="E127" s="1"/>
      <c r="F127" s="1"/>
      <c r="G127" s="1"/>
      <c r="P127" s="47"/>
      <c r="Q127" s="47"/>
      <c r="R127" s="1"/>
      <c r="S127" s="1"/>
      <c r="T127" s="1"/>
      <c r="AC127" s="47"/>
      <c r="AD127" s="47"/>
      <c r="AE127" s="1"/>
      <c r="AF127" s="1"/>
      <c r="AG127" s="1"/>
    </row>
    <row r="128" spans="2:38" x14ac:dyDescent="0.2">
      <c r="B128" s="157" t="s">
        <v>167</v>
      </c>
      <c r="C128" s="47"/>
      <c r="D128" s="47"/>
      <c r="E128" s="1"/>
      <c r="F128" s="1"/>
      <c r="G128" s="1"/>
      <c r="P128" s="47"/>
      <c r="Q128" s="47"/>
      <c r="R128" s="1"/>
      <c r="S128" s="1"/>
      <c r="T128" s="1"/>
      <c r="AC128" s="47"/>
      <c r="AD128" s="47"/>
      <c r="AE128" s="1"/>
      <c r="AF128" s="1"/>
      <c r="AG128" s="1"/>
    </row>
    <row r="129" spans="2:38" x14ac:dyDescent="0.2">
      <c r="B129" s="158" t="s">
        <v>168</v>
      </c>
      <c r="C129" s="47"/>
      <c r="D129" s="47"/>
      <c r="E129" s="1"/>
      <c r="F129" s="1"/>
      <c r="G129" s="1"/>
      <c r="H129" s="83"/>
      <c r="I129" s="83"/>
      <c r="J129" s="83"/>
      <c r="K129" s="83"/>
      <c r="L129" s="83"/>
      <c r="P129" s="47"/>
      <c r="Q129" s="47"/>
      <c r="R129" s="1"/>
      <c r="S129" s="1"/>
      <c r="T129" s="1"/>
      <c r="U129" s="83">
        <f>U119</f>
        <v>15000</v>
      </c>
      <c r="V129" s="83">
        <f t="shared" ref="V129:Y129" si="303">V119</f>
        <v>10000</v>
      </c>
      <c r="W129" s="83">
        <f t="shared" si="303"/>
        <v>10000</v>
      </c>
      <c r="X129" s="83">
        <f t="shared" si="303"/>
        <v>10000</v>
      </c>
      <c r="Y129" s="83">
        <f t="shared" si="303"/>
        <v>0</v>
      </c>
      <c r="AC129" s="47"/>
      <c r="AD129" s="47"/>
      <c r="AE129" s="1"/>
      <c r="AF129" s="1"/>
      <c r="AG129" s="1"/>
      <c r="AH129" s="83">
        <f>AH119</f>
        <v>15000</v>
      </c>
      <c r="AI129" s="83">
        <f t="shared" ref="AI129:AL129" si="304">AI119</f>
        <v>10000</v>
      </c>
      <c r="AJ129" s="83">
        <f t="shared" si="304"/>
        <v>10000</v>
      </c>
      <c r="AK129" s="83">
        <f t="shared" si="304"/>
        <v>10000</v>
      </c>
      <c r="AL129" s="83">
        <f t="shared" si="304"/>
        <v>0</v>
      </c>
    </row>
    <row r="130" spans="2:38" x14ac:dyDescent="0.2">
      <c r="B130" s="159" t="s">
        <v>170</v>
      </c>
      <c r="C130" s="115"/>
      <c r="D130" s="115"/>
      <c r="E130" s="160"/>
      <c r="F130" s="160"/>
      <c r="G130" s="160"/>
      <c r="H130" s="22"/>
      <c r="I130" s="22"/>
      <c r="J130" s="22"/>
      <c r="K130" s="22"/>
      <c r="L130" s="22"/>
      <c r="P130" s="115"/>
      <c r="Q130" s="115"/>
      <c r="R130" s="160"/>
      <c r="S130" s="160"/>
      <c r="T130" s="160"/>
      <c r="U130" s="22">
        <f>U129*U52</f>
        <v>7500</v>
      </c>
      <c r="V130" s="22">
        <f t="shared" ref="V130" si="305">V129*V52</f>
        <v>5000</v>
      </c>
      <c r="W130" s="22">
        <f t="shared" ref="W130" si="306">W129*W52</f>
        <v>5000</v>
      </c>
      <c r="X130" s="22">
        <f t="shared" ref="X130" si="307">X129*X52</f>
        <v>5000</v>
      </c>
      <c r="Y130" s="22">
        <f t="shared" ref="Y130" si="308">Y129*Y52</f>
        <v>0</v>
      </c>
      <c r="AC130" s="115"/>
      <c r="AD130" s="115"/>
      <c r="AE130" s="160"/>
      <c r="AF130" s="160"/>
      <c r="AG130" s="160"/>
      <c r="AH130" s="22">
        <f>AH129*AH52</f>
        <v>7500</v>
      </c>
      <c r="AI130" s="22">
        <f t="shared" ref="AI130" si="309">AI129*AI52</f>
        <v>5000</v>
      </c>
      <c r="AJ130" s="22">
        <f t="shared" ref="AJ130" si="310">AJ129*AJ52</f>
        <v>5000</v>
      </c>
      <c r="AK130" s="22">
        <f t="shared" ref="AK130" si="311">AK129*AK52</f>
        <v>5000</v>
      </c>
      <c r="AL130" s="22">
        <f t="shared" ref="AL130" si="312">AL129*AL52</f>
        <v>0</v>
      </c>
    </row>
    <row r="131" spans="2:38" x14ac:dyDescent="0.2">
      <c r="B131" s="47"/>
      <c r="C131" s="47"/>
      <c r="D131" s="47"/>
      <c r="E131" s="1"/>
      <c r="F131" s="1"/>
      <c r="G131" s="1"/>
      <c r="P131" s="47"/>
      <c r="Q131" s="47"/>
      <c r="R131" s="1"/>
      <c r="S131" s="1"/>
      <c r="T131" s="1"/>
      <c r="AC131" s="47"/>
      <c r="AD131" s="47"/>
      <c r="AE131" s="1"/>
      <c r="AF131" s="1"/>
      <c r="AG131" s="1"/>
    </row>
    <row r="132" spans="2:38" x14ac:dyDescent="0.2">
      <c r="B132" s="76" t="s">
        <v>87</v>
      </c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</row>
    <row r="133" spans="2:38" x14ac:dyDescent="0.2">
      <c r="B133" s="47"/>
      <c r="C133" s="47"/>
      <c r="D133" s="47"/>
      <c r="E133" s="1"/>
      <c r="F133" s="1"/>
      <c r="G133" s="1"/>
      <c r="P133" s="47"/>
      <c r="Q133" s="47"/>
      <c r="R133" s="1"/>
      <c r="S133" s="1"/>
      <c r="T133" s="1"/>
      <c r="AC133" s="47"/>
      <c r="AD133" s="47"/>
      <c r="AE133" s="1"/>
      <c r="AF133" s="1"/>
      <c r="AG133" s="1"/>
    </row>
    <row r="134" spans="2:38" x14ac:dyDescent="0.2">
      <c r="B134" s="47" t="s">
        <v>119</v>
      </c>
      <c r="C134" s="47"/>
      <c r="D134" s="47"/>
      <c r="E134" s="1"/>
      <c r="F134" s="1"/>
      <c r="G134" s="1"/>
      <c r="H134" s="84"/>
      <c r="I134" s="84"/>
      <c r="J134" s="84"/>
      <c r="K134" s="84"/>
      <c r="L134" s="84"/>
      <c r="P134" s="47"/>
      <c r="Q134" s="47"/>
      <c r="R134" s="1"/>
      <c r="S134" s="1"/>
      <c r="T134" s="1"/>
      <c r="U134" s="84">
        <f>T137</f>
        <v>0</v>
      </c>
      <c r="V134" s="84">
        <f t="shared" ref="V134:Y134" si="313">U137</f>
        <v>30000</v>
      </c>
      <c r="W134" s="84">
        <f t="shared" si="313"/>
        <v>20000</v>
      </c>
      <c r="X134" s="84">
        <f t="shared" si="313"/>
        <v>10000</v>
      </c>
      <c r="Y134" s="84">
        <f t="shared" si="313"/>
        <v>0</v>
      </c>
      <c r="AC134" s="47"/>
      <c r="AD134" s="47"/>
      <c r="AE134" s="1"/>
      <c r="AF134" s="1"/>
      <c r="AG134" s="1"/>
      <c r="AH134" s="84">
        <f>AG137</f>
        <v>0</v>
      </c>
      <c r="AI134" s="84">
        <f t="shared" ref="AI134:AL134" si="314">AH137</f>
        <v>30000</v>
      </c>
      <c r="AJ134" s="84">
        <f t="shared" si="314"/>
        <v>20000</v>
      </c>
      <c r="AK134" s="84">
        <f t="shared" si="314"/>
        <v>10000</v>
      </c>
      <c r="AL134" s="84">
        <f t="shared" si="314"/>
        <v>0</v>
      </c>
    </row>
    <row r="135" spans="2:38" x14ac:dyDescent="0.2">
      <c r="B135" s="47" t="s">
        <v>172</v>
      </c>
      <c r="C135" s="47"/>
      <c r="D135" s="47"/>
      <c r="E135" s="1"/>
      <c r="F135" s="1"/>
      <c r="G135" s="1"/>
      <c r="H135" s="83"/>
      <c r="I135" s="83"/>
      <c r="J135" s="83"/>
      <c r="K135" s="83"/>
      <c r="L135" s="83"/>
      <c r="P135" s="47"/>
      <c r="Q135" s="47"/>
      <c r="R135" s="1"/>
      <c r="S135" s="1"/>
      <c r="T135" s="1"/>
      <c r="U135" s="83">
        <f>U44-U45</f>
        <v>30000</v>
      </c>
      <c r="V135" s="83">
        <f t="shared" ref="V135:Y135" si="315">V44-V45</f>
        <v>0</v>
      </c>
      <c r="W135" s="83">
        <f t="shared" si="315"/>
        <v>0</v>
      </c>
      <c r="X135" s="83">
        <f t="shared" si="315"/>
        <v>0</v>
      </c>
      <c r="Y135" s="83">
        <f t="shared" si="315"/>
        <v>0</v>
      </c>
      <c r="AC135" s="47"/>
      <c r="AD135" s="47"/>
      <c r="AE135" s="1"/>
      <c r="AF135" s="1"/>
      <c r="AG135" s="1"/>
      <c r="AH135" s="83">
        <f>AH44-AH45</f>
        <v>30000</v>
      </c>
      <c r="AI135" s="83">
        <f t="shared" ref="AI135:AL135" si="316">AI44-AI45</f>
        <v>0</v>
      </c>
      <c r="AJ135" s="83">
        <f t="shared" si="316"/>
        <v>0</v>
      </c>
      <c r="AK135" s="83">
        <f t="shared" si="316"/>
        <v>0</v>
      </c>
      <c r="AL135" s="83">
        <f t="shared" si="316"/>
        <v>0</v>
      </c>
    </row>
    <row r="136" spans="2:38" x14ac:dyDescent="0.2">
      <c r="B136" s="47" t="s">
        <v>173</v>
      </c>
      <c r="C136" s="47"/>
      <c r="D136" s="47"/>
      <c r="E136" s="1"/>
      <c r="F136" s="1"/>
      <c r="G136" s="1"/>
      <c r="H136" s="83"/>
      <c r="I136" s="83"/>
      <c r="J136" s="83"/>
      <c r="K136" s="83"/>
      <c r="L136" s="83"/>
      <c r="P136" s="47"/>
      <c r="Q136" s="47"/>
      <c r="R136" s="1"/>
      <c r="S136" s="1"/>
      <c r="T136" s="1"/>
      <c r="U136" s="83">
        <f>-U46</f>
        <v>0</v>
      </c>
      <c r="V136" s="83">
        <f t="shared" ref="V136:Y136" si="317">-V46</f>
        <v>-10000</v>
      </c>
      <c r="W136" s="83">
        <f t="shared" si="317"/>
        <v>-10000</v>
      </c>
      <c r="X136" s="83">
        <f t="shared" si="317"/>
        <v>-10000</v>
      </c>
      <c r="Y136" s="83">
        <f t="shared" si="317"/>
        <v>0</v>
      </c>
      <c r="AC136" s="47"/>
      <c r="AD136" s="47"/>
      <c r="AE136" s="1"/>
      <c r="AF136" s="1"/>
      <c r="AG136" s="1"/>
      <c r="AH136" s="83">
        <f>-AH46</f>
        <v>0</v>
      </c>
      <c r="AI136" s="83">
        <f t="shared" ref="AI136:AL136" si="318">-AI46</f>
        <v>-10000</v>
      </c>
      <c r="AJ136" s="83">
        <f t="shared" si="318"/>
        <v>-10000</v>
      </c>
      <c r="AK136" s="83">
        <f t="shared" si="318"/>
        <v>-10000</v>
      </c>
      <c r="AL136" s="83">
        <f t="shared" si="318"/>
        <v>0</v>
      </c>
    </row>
    <row r="137" spans="2:38" ht="10.8" thickBot="1" x14ac:dyDescent="0.25">
      <c r="B137" s="125" t="s">
        <v>122</v>
      </c>
      <c r="C137" s="125"/>
      <c r="D137" s="125"/>
      <c r="E137" s="63"/>
      <c r="F137" s="63"/>
      <c r="G137" s="63"/>
      <c r="H137" s="163"/>
      <c r="I137" s="163"/>
      <c r="J137" s="163"/>
      <c r="K137" s="163"/>
      <c r="L137" s="163"/>
      <c r="P137" s="125"/>
      <c r="Q137" s="125"/>
      <c r="R137" s="63"/>
      <c r="S137" s="63"/>
      <c r="T137" s="63"/>
      <c r="U137" s="163">
        <f>SUM(U134:U136)</f>
        <v>30000</v>
      </c>
      <c r="V137" s="163">
        <f t="shared" ref="V137" si="319">SUM(V134:V136)</f>
        <v>20000</v>
      </c>
      <c r="W137" s="163">
        <f t="shared" ref="W137" si="320">SUM(W134:W136)</f>
        <v>10000</v>
      </c>
      <c r="X137" s="163">
        <f t="shared" ref="X137" si="321">SUM(X134:X136)</f>
        <v>0</v>
      </c>
      <c r="Y137" s="163">
        <f t="shared" ref="Y137" si="322">SUM(Y134:Y136)</f>
        <v>0</v>
      </c>
      <c r="AC137" s="125"/>
      <c r="AD137" s="125"/>
      <c r="AE137" s="63"/>
      <c r="AF137" s="63"/>
      <c r="AG137" s="63"/>
      <c r="AH137" s="163">
        <f>SUM(AH134:AH136)</f>
        <v>30000</v>
      </c>
      <c r="AI137" s="163">
        <f t="shared" ref="AI137" si="323">SUM(AI134:AI136)</f>
        <v>20000</v>
      </c>
      <c r="AJ137" s="163">
        <f t="shared" ref="AJ137" si="324">SUM(AJ134:AJ136)</f>
        <v>10000</v>
      </c>
      <c r="AK137" s="163">
        <f t="shared" ref="AK137" si="325">SUM(AK134:AK136)</f>
        <v>0</v>
      </c>
      <c r="AL137" s="163">
        <f t="shared" ref="AL137" si="326">SUM(AL134:AL136)</f>
        <v>0</v>
      </c>
    </row>
    <row r="138" spans="2:38" x14ac:dyDescent="0.2">
      <c r="B138" s="47"/>
      <c r="C138" s="47"/>
      <c r="D138" s="47"/>
      <c r="E138" s="1"/>
      <c r="F138" s="1"/>
      <c r="G138" s="1"/>
      <c r="P138" s="47"/>
      <c r="Q138" s="47"/>
      <c r="R138" s="1"/>
      <c r="S138" s="1"/>
      <c r="T138" s="1"/>
      <c r="AC138" s="47"/>
      <c r="AD138" s="47"/>
      <c r="AE138" s="1"/>
      <c r="AF138" s="1"/>
      <c r="AG138" s="1"/>
    </row>
    <row r="139" spans="2:38" x14ac:dyDescent="0.2">
      <c r="B139" s="76" t="s">
        <v>144</v>
      </c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</row>
    <row r="140" spans="2:38" x14ac:dyDescent="0.2">
      <c r="B140" s="47"/>
      <c r="C140" s="47"/>
      <c r="D140" s="47"/>
      <c r="E140" s="1"/>
      <c r="F140" s="1"/>
      <c r="G140" s="1"/>
      <c r="P140" s="47"/>
      <c r="Q140" s="47"/>
      <c r="R140" s="1"/>
      <c r="S140" s="1"/>
      <c r="T140" s="1"/>
      <c r="AC140" s="47"/>
      <c r="AD140" s="47"/>
      <c r="AE140" s="1"/>
      <c r="AF140" s="1"/>
      <c r="AG140" s="1"/>
    </row>
    <row r="141" spans="2:38" x14ac:dyDescent="0.2">
      <c r="B141" s="47" t="s">
        <v>145</v>
      </c>
      <c r="C141" s="47"/>
      <c r="D141" s="47"/>
      <c r="E141" s="1"/>
      <c r="F141" s="117"/>
      <c r="G141" s="117"/>
      <c r="H141" s="117"/>
      <c r="I141" s="117"/>
      <c r="J141" s="117"/>
      <c r="K141" s="117"/>
      <c r="L141" s="117"/>
      <c r="P141" s="47"/>
      <c r="Q141" s="47"/>
      <c r="R141" s="1"/>
      <c r="S141" s="117">
        <f>R143</f>
        <v>5000</v>
      </c>
      <c r="T141" s="117">
        <f t="shared" ref="T141" si="327">S143</f>
        <v>5000</v>
      </c>
      <c r="U141" s="117">
        <f t="shared" ref="U141" si="328">T143</f>
        <v>5000</v>
      </c>
      <c r="V141" s="117">
        <f t="shared" ref="V141" si="329">U143</f>
        <v>5000</v>
      </c>
      <c r="W141" s="117">
        <f t="shared" ref="W141" si="330">V143</f>
        <v>5000</v>
      </c>
      <c r="X141" s="117">
        <f t="shared" ref="X141" si="331">W143</f>
        <v>5000</v>
      </c>
      <c r="Y141" s="117">
        <f t="shared" ref="Y141" si="332">X143</f>
        <v>5000</v>
      </c>
      <c r="AC141" s="47"/>
      <c r="AD141" s="47"/>
      <c r="AE141" s="1"/>
      <c r="AF141" s="117">
        <f>AE143</f>
        <v>0</v>
      </c>
      <c r="AG141" s="117">
        <f t="shared" ref="AG141" si="333">AF143</f>
        <v>0</v>
      </c>
      <c r="AH141" s="117">
        <f t="shared" ref="AH141" si="334">AG143</f>
        <v>0</v>
      </c>
      <c r="AI141" s="117">
        <f t="shared" ref="AI141" si="335">AH143</f>
        <v>0</v>
      </c>
      <c r="AJ141" s="117">
        <f t="shared" ref="AJ141" si="336">AI143</f>
        <v>0</v>
      </c>
      <c r="AK141" s="117">
        <f t="shared" ref="AK141" si="337">AJ143</f>
        <v>0</v>
      </c>
      <c r="AL141" s="117">
        <f t="shared" ref="AL141" si="338">AK143</f>
        <v>0</v>
      </c>
    </row>
    <row r="142" spans="2:38" x14ac:dyDescent="0.2">
      <c r="B142" s="47" t="s">
        <v>146</v>
      </c>
      <c r="C142" s="47"/>
      <c r="D142" s="47"/>
      <c r="E142" s="1"/>
      <c r="F142" s="1"/>
      <c r="G142" s="1"/>
      <c r="H142" s="130"/>
      <c r="I142" s="130"/>
      <c r="J142" s="130"/>
      <c r="K142" s="130"/>
      <c r="L142" s="130"/>
      <c r="P142" s="47"/>
      <c r="Q142" s="47"/>
      <c r="R142" s="1"/>
      <c r="S142" s="1"/>
      <c r="T142" s="1"/>
      <c r="U142" s="130">
        <v>0</v>
      </c>
      <c r="V142" s="130">
        <v>0</v>
      </c>
      <c r="W142" s="130">
        <v>0</v>
      </c>
      <c r="X142" s="130">
        <v>0</v>
      </c>
      <c r="Y142" s="130">
        <v>0</v>
      </c>
      <c r="AC142" s="47"/>
      <c r="AD142" s="47"/>
      <c r="AE142" s="1"/>
      <c r="AF142" s="1"/>
      <c r="AG142" s="1"/>
      <c r="AH142" s="130">
        <v>0</v>
      </c>
      <c r="AI142" s="130">
        <v>0</v>
      </c>
      <c r="AJ142" s="130">
        <v>0</v>
      </c>
      <c r="AK142" s="130">
        <v>0</v>
      </c>
      <c r="AL142" s="130">
        <v>0</v>
      </c>
    </row>
    <row r="143" spans="2:38" ht="10.8" thickBot="1" x14ac:dyDescent="0.25">
      <c r="B143" s="125" t="s">
        <v>147</v>
      </c>
      <c r="C143" s="125"/>
      <c r="D143" s="125"/>
      <c r="E143" s="126"/>
      <c r="F143" s="127"/>
      <c r="G143" s="127"/>
      <c r="H143" s="127"/>
      <c r="I143" s="127"/>
      <c r="J143" s="127"/>
      <c r="K143" s="127"/>
      <c r="L143" s="127"/>
      <c r="P143" s="125"/>
      <c r="Q143" s="125"/>
      <c r="R143" s="126">
        <f>R202</f>
        <v>5000</v>
      </c>
      <c r="S143" s="127">
        <f>SUM(S141:S142)</f>
        <v>5000</v>
      </c>
      <c r="T143" s="127">
        <f t="shared" ref="T143:Y143" si="339">SUM(T141:T142)</f>
        <v>5000</v>
      </c>
      <c r="U143" s="127">
        <f t="shared" si="339"/>
        <v>5000</v>
      </c>
      <c r="V143" s="127">
        <f t="shared" si="339"/>
        <v>5000</v>
      </c>
      <c r="W143" s="127">
        <f t="shared" si="339"/>
        <v>5000</v>
      </c>
      <c r="X143" s="127">
        <f t="shared" si="339"/>
        <v>5000</v>
      </c>
      <c r="Y143" s="127">
        <f t="shared" si="339"/>
        <v>5000</v>
      </c>
      <c r="AC143" s="125"/>
      <c r="AD143" s="125"/>
      <c r="AE143" s="126">
        <f>AE202</f>
        <v>0</v>
      </c>
      <c r="AF143" s="127">
        <f>SUM(AF141:AF142)</f>
        <v>0</v>
      </c>
      <c r="AG143" s="127">
        <f t="shared" ref="AG143:AL143" si="340">SUM(AG141:AG142)</f>
        <v>0</v>
      </c>
      <c r="AH143" s="127">
        <f t="shared" si="340"/>
        <v>0</v>
      </c>
      <c r="AI143" s="127">
        <f t="shared" si="340"/>
        <v>0</v>
      </c>
      <c r="AJ143" s="127">
        <f t="shared" si="340"/>
        <v>0</v>
      </c>
      <c r="AK143" s="127">
        <f t="shared" si="340"/>
        <v>0</v>
      </c>
      <c r="AL143" s="127">
        <f t="shared" si="340"/>
        <v>0</v>
      </c>
    </row>
    <row r="144" spans="2:38" x14ac:dyDescent="0.2">
      <c r="B144" s="47"/>
      <c r="C144" s="47"/>
      <c r="D144" s="47"/>
      <c r="E144" s="1"/>
      <c r="F144" s="1"/>
      <c r="G144" s="1"/>
      <c r="P144" s="47"/>
      <c r="Q144" s="47"/>
      <c r="R144" s="1"/>
      <c r="S144" s="1"/>
      <c r="T144" s="1"/>
      <c r="AC144" s="47"/>
      <c r="AD144" s="47"/>
      <c r="AE144" s="1"/>
      <c r="AF144" s="1"/>
      <c r="AG144" s="1"/>
    </row>
    <row r="145" spans="2:38" x14ac:dyDescent="0.2">
      <c r="B145" s="47" t="s">
        <v>148</v>
      </c>
      <c r="C145" s="47"/>
      <c r="D145" s="47"/>
      <c r="E145" s="1"/>
      <c r="F145" s="117"/>
      <c r="G145" s="117"/>
      <c r="H145" s="117"/>
      <c r="I145" s="117"/>
      <c r="J145" s="117"/>
      <c r="K145" s="117"/>
      <c r="L145" s="117"/>
      <c r="P145" s="47"/>
      <c r="Q145" s="47"/>
      <c r="R145" s="1"/>
      <c r="S145" s="117">
        <f>R148</f>
        <v>72816</v>
      </c>
      <c r="T145" s="117">
        <f t="shared" ref="T145" si="341">S148</f>
        <v>74366.127617999999</v>
      </c>
      <c r="U145" s="117">
        <f t="shared" ref="U145" si="342">T148</f>
        <v>76819.313227289997</v>
      </c>
      <c r="V145" s="117">
        <f t="shared" ref="V145" si="343">U148</f>
        <v>78742.1169312774</v>
      </c>
      <c r="W145" s="117">
        <f t="shared" ref="W145" si="344">V148</f>
        <v>80734.128612359549</v>
      </c>
      <c r="X145" s="117">
        <f t="shared" ref="X145" si="345">W148</f>
        <v>83038.500274253791</v>
      </c>
      <c r="Y145" s="117">
        <f t="shared" ref="Y145" si="346">X148</f>
        <v>85525.54677214683</v>
      </c>
      <c r="AC145" s="47"/>
      <c r="AD145" s="47"/>
      <c r="AE145" s="1"/>
      <c r="AF145" s="117">
        <f>AE148</f>
        <v>0</v>
      </c>
      <c r="AG145" s="117">
        <f t="shared" ref="AG145" si="347">AF148</f>
        <v>0</v>
      </c>
      <c r="AH145" s="117">
        <f t="shared" ref="AH145" si="348">AG148</f>
        <v>0</v>
      </c>
      <c r="AI145" s="117">
        <f t="shared" ref="AI145" si="349">AH148</f>
        <v>1922.8037039873984</v>
      </c>
      <c r="AJ145" s="117">
        <f t="shared" ref="AJ145" si="350">AI148</f>
        <v>3914.8153850695517</v>
      </c>
      <c r="AK145" s="117">
        <f t="shared" ref="AK145" si="351">AJ148</f>
        <v>6219.1870469637943</v>
      </c>
      <c r="AL145" s="117">
        <f t="shared" ref="AL145" si="352">AK148</f>
        <v>8706.2335448568374</v>
      </c>
    </row>
    <row r="146" spans="2:38" x14ac:dyDescent="0.2">
      <c r="B146" s="47" t="s">
        <v>149</v>
      </c>
      <c r="C146" s="47"/>
      <c r="D146" s="47"/>
      <c r="E146" s="1"/>
      <c r="F146" s="117"/>
      <c r="G146" s="117"/>
      <c r="H146" s="117"/>
      <c r="I146" s="117"/>
      <c r="J146" s="117"/>
      <c r="K146" s="117"/>
      <c r="L146" s="117"/>
      <c r="P146" s="47"/>
      <c r="Q146" s="47"/>
      <c r="R146" s="1"/>
      <c r="S146" s="117">
        <f>S181</f>
        <v>1550.1276179999963</v>
      </c>
      <c r="T146" s="117">
        <f t="shared" ref="T146:Y146" si="353">T181</f>
        <v>2453.1856092899925</v>
      </c>
      <c r="U146" s="117">
        <f t="shared" si="353"/>
        <v>1922.8037039873984</v>
      </c>
      <c r="V146" s="117">
        <f t="shared" si="353"/>
        <v>1992.0116810821532</v>
      </c>
      <c r="W146" s="117">
        <f t="shared" si="353"/>
        <v>2304.3716618942422</v>
      </c>
      <c r="X146" s="117">
        <f t="shared" si="353"/>
        <v>2487.0464978930427</v>
      </c>
      <c r="Y146" s="117">
        <f t="shared" si="353"/>
        <v>2694.0369479941455</v>
      </c>
      <c r="AC146" s="47"/>
      <c r="AD146" s="47"/>
      <c r="AE146" s="1"/>
      <c r="AF146" s="117">
        <f>AF181</f>
        <v>0</v>
      </c>
      <c r="AG146" s="117">
        <f t="shared" ref="AG146:AL146" si="354">AG181</f>
        <v>0</v>
      </c>
      <c r="AH146" s="117">
        <f t="shared" si="354"/>
        <v>1922.8037039873984</v>
      </c>
      <c r="AI146" s="117">
        <f t="shared" si="354"/>
        <v>1992.0116810821532</v>
      </c>
      <c r="AJ146" s="117">
        <f t="shared" si="354"/>
        <v>2304.3716618942422</v>
      </c>
      <c r="AK146" s="117">
        <f t="shared" si="354"/>
        <v>2487.0464978930427</v>
      </c>
      <c r="AL146" s="117">
        <f t="shared" si="354"/>
        <v>2694.0369479941455</v>
      </c>
    </row>
    <row r="147" spans="2:38" x14ac:dyDescent="0.2">
      <c r="B147" s="47" t="s">
        <v>150</v>
      </c>
      <c r="C147" s="47"/>
      <c r="D147" s="47"/>
      <c r="E147" s="1"/>
      <c r="F147" s="1"/>
      <c r="G147" s="1"/>
      <c r="H147" s="130"/>
      <c r="I147" s="130"/>
      <c r="J147" s="130"/>
      <c r="K147" s="130"/>
      <c r="L147" s="130"/>
      <c r="P147" s="47"/>
      <c r="Q147" s="47"/>
      <c r="R147" s="1"/>
      <c r="S147" s="1"/>
      <c r="T147" s="1"/>
      <c r="U147" s="130">
        <v>0</v>
      </c>
      <c r="V147" s="130">
        <v>0</v>
      </c>
      <c r="W147" s="130">
        <v>0</v>
      </c>
      <c r="X147" s="130">
        <v>0</v>
      </c>
      <c r="Y147" s="130">
        <v>0</v>
      </c>
      <c r="AC147" s="47"/>
      <c r="AD147" s="47"/>
      <c r="AE147" s="1"/>
      <c r="AF147" s="1"/>
      <c r="AG147" s="1"/>
      <c r="AH147" s="130">
        <v>0</v>
      </c>
      <c r="AI147" s="130">
        <v>0</v>
      </c>
      <c r="AJ147" s="130">
        <v>0</v>
      </c>
      <c r="AK147" s="130">
        <v>0</v>
      </c>
      <c r="AL147" s="130">
        <v>0</v>
      </c>
    </row>
    <row r="148" spans="2:38" ht="10.8" thickBot="1" x14ac:dyDescent="0.25">
      <c r="B148" s="125" t="s">
        <v>151</v>
      </c>
      <c r="C148" s="125"/>
      <c r="D148" s="125"/>
      <c r="E148" s="126"/>
      <c r="F148" s="127"/>
      <c r="G148" s="127"/>
      <c r="H148" s="127"/>
      <c r="I148" s="127"/>
      <c r="J148" s="127"/>
      <c r="K148" s="127"/>
      <c r="L148" s="127"/>
      <c r="P148" s="125"/>
      <c r="Q148" s="125"/>
      <c r="R148" s="126">
        <f>R203</f>
        <v>72816</v>
      </c>
      <c r="S148" s="127">
        <f>SUM(S145:S147)</f>
        <v>74366.127617999999</v>
      </c>
      <c r="T148" s="127">
        <f t="shared" ref="T148:Y148" si="355">SUM(T145:T147)</f>
        <v>76819.313227289997</v>
      </c>
      <c r="U148" s="127">
        <f t="shared" si="355"/>
        <v>78742.1169312774</v>
      </c>
      <c r="V148" s="127">
        <f t="shared" si="355"/>
        <v>80734.128612359549</v>
      </c>
      <c r="W148" s="127">
        <f t="shared" si="355"/>
        <v>83038.500274253791</v>
      </c>
      <c r="X148" s="127">
        <f t="shared" si="355"/>
        <v>85525.54677214683</v>
      </c>
      <c r="Y148" s="127">
        <f t="shared" si="355"/>
        <v>88219.583720140974</v>
      </c>
      <c r="AC148" s="125"/>
      <c r="AD148" s="125"/>
      <c r="AE148" s="126">
        <f>AE203</f>
        <v>0</v>
      </c>
      <c r="AF148" s="127">
        <f>SUM(AF145:AF147)</f>
        <v>0</v>
      </c>
      <c r="AG148" s="127">
        <f t="shared" ref="AG148:AL148" si="356">SUM(AG145:AG147)</f>
        <v>0</v>
      </c>
      <c r="AH148" s="127">
        <f t="shared" si="356"/>
        <v>1922.8037039873984</v>
      </c>
      <c r="AI148" s="127">
        <f t="shared" si="356"/>
        <v>3914.8153850695517</v>
      </c>
      <c r="AJ148" s="127">
        <f t="shared" si="356"/>
        <v>6219.1870469637943</v>
      </c>
      <c r="AK148" s="127">
        <f t="shared" si="356"/>
        <v>8706.2335448568374</v>
      </c>
      <c r="AL148" s="127">
        <f t="shared" si="356"/>
        <v>11400.270492850983</v>
      </c>
    </row>
    <row r="149" spans="2:38" x14ac:dyDescent="0.2">
      <c r="B149" s="47"/>
      <c r="C149" s="47"/>
      <c r="D149" s="47"/>
      <c r="E149" s="1"/>
      <c r="F149" s="1"/>
      <c r="G149" s="1"/>
      <c r="P149" s="47"/>
      <c r="Q149" s="47"/>
      <c r="R149" s="1"/>
      <c r="S149" s="1"/>
      <c r="T149" s="1"/>
      <c r="AC149" s="47"/>
      <c r="AD149" s="47"/>
      <c r="AE149" s="1"/>
      <c r="AF149" s="1"/>
      <c r="AG149" s="1"/>
    </row>
    <row r="150" spans="2:38" x14ac:dyDescent="0.2">
      <c r="B150" s="47"/>
      <c r="C150" s="47"/>
      <c r="D150" s="47"/>
      <c r="E150" s="1"/>
      <c r="F150" s="1"/>
      <c r="G150" s="1"/>
      <c r="P150" s="47"/>
      <c r="Q150" s="47"/>
      <c r="R150" s="1"/>
      <c r="S150" s="1"/>
      <c r="T150" s="1"/>
      <c r="AC150" s="47"/>
      <c r="AD150" s="47"/>
      <c r="AE150" s="1"/>
      <c r="AF150" s="1"/>
      <c r="AG150" s="1"/>
    </row>
    <row r="151" spans="2:38" x14ac:dyDescent="0.2">
      <c r="B151" s="47"/>
      <c r="C151" s="47"/>
      <c r="D151" s="47"/>
      <c r="E151" s="1"/>
      <c r="F151" s="1"/>
      <c r="G151" s="1"/>
      <c r="P151" s="47"/>
      <c r="Q151" s="47"/>
      <c r="R151" s="1"/>
      <c r="S151" s="1"/>
      <c r="T151" s="1"/>
      <c r="AC151" s="47"/>
      <c r="AD151" s="47"/>
      <c r="AE151" s="1"/>
      <c r="AF151" s="1"/>
      <c r="AG151" s="1"/>
    </row>
    <row r="152" spans="2:38" x14ac:dyDescent="0.2">
      <c r="B152" s="47"/>
      <c r="C152" s="47"/>
      <c r="D152" s="47"/>
      <c r="E152" s="1"/>
      <c r="F152" s="1"/>
      <c r="G152" s="1"/>
      <c r="P152" s="47"/>
      <c r="Q152" s="47"/>
      <c r="R152" s="1"/>
      <c r="S152" s="1"/>
      <c r="T152" s="1"/>
      <c r="AC152" s="47"/>
      <c r="AD152" s="47"/>
      <c r="AE152" s="1"/>
      <c r="AF152" s="1"/>
      <c r="AG152" s="1"/>
    </row>
    <row r="153" spans="2:38" x14ac:dyDescent="0.2">
      <c r="B153" s="48" t="s">
        <v>3</v>
      </c>
      <c r="C153" s="48"/>
      <c r="D153" s="48"/>
      <c r="E153" s="36">
        <f>E$7</f>
        <v>2020</v>
      </c>
      <c r="F153" s="36">
        <f t="shared" ref="F153:L153" si="357">F$7</f>
        <v>2021</v>
      </c>
      <c r="G153" s="36">
        <f t="shared" si="357"/>
        <v>2022</v>
      </c>
      <c r="H153" s="36">
        <f t="shared" si="357"/>
        <v>2023</v>
      </c>
      <c r="I153" s="36">
        <f t="shared" si="357"/>
        <v>2024</v>
      </c>
      <c r="J153" s="36">
        <f t="shared" si="357"/>
        <v>2025</v>
      </c>
      <c r="K153" s="36">
        <f t="shared" si="357"/>
        <v>2026</v>
      </c>
      <c r="L153" s="36">
        <f t="shared" si="357"/>
        <v>2027</v>
      </c>
      <c r="P153" s="48"/>
      <c r="Q153" s="48"/>
      <c r="R153" s="36">
        <f>R$7</f>
        <v>2020</v>
      </c>
      <c r="S153" s="36">
        <f t="shared" ref="S153:Y153" si="358">S$7</f>
        <v>2021</v>
      </c>
      <c r="T153" s="36">
        <f t="shared" si="358"/>
        <v>2022</v>
      </c>
      <c r="U153" s="36">
        <f t="shared" si="358"/>
        <v>2023</v>
      </c>
      <c r="V153" s="36">
        <f t="shared" si="358"/>
        <v>2024</v>
      </c>
      <c r="W153" s="36">
        <f t="shared" si="358"/>
        <v>2025</v>
      </c>
      <c r="X153" s="36">
        <f t="shared" si="358"/>
        <v>2026</v>
      </c>
      <c r="Y153" s="36">
        <f t="shared" si="358"/>
        <v>2027</v>
      </c>
      <c r="AC153" s="48"/>
      <c r="AD153" s="48"/>
      <c r="AE153" s="36">
        <f>AE$7</f>
        <v>2020</v>
      </c>
      <c r="AF153" s="36">
        <f t="shared" ref="AF153:AL153" si="359">AF$7</f>
        <v>2021</v>
      </c>
      <c r="AG153" s="36">
        <f t="shared" si="359"/>
        <v>2022</v>
      </c>
      <c r="AH153" s="36">
        <f t="shared" si="359"/>
        <v>2023</v>
      </c>
      <c r="AI153" s="36">
        <f t="shared" si="359"/>
        <v>2024</v>
      </c>
      <c r="AJ153" s="36">
        <f t="shared" si="359"/>
        <v>2025</v>
      </c>
      <c r="AK153" s="36">
        <f t="shared" si="359"/>
        <v>2026</v>
      </c>
      <c r="AL153" s="36">
        <f t="shared" si="359"/>
        <v>2027</v>
      </c>
    </row>
    <row r="154" spans="2:38" x14ac:dyDescent="0.2">
      <c r="B154" s="47"/>
      <c r="C154" s="47"/>
      <c r="D154" s="47"/>
      <c r="E154" s="1"/>
      <c r="F154" s="1"/>
      <c r="G154" s="1"/>
      <c r="P154" s="47"/>
      <c r="Q154" s="47"/>
      <c r="R154" s="1"/>
      <c r="S154" s="1"/>
      <c r="T154" s="1"/>
      <c r="AC154" s="47"/>
      <c r="AD154" s="47"/>
      <c r="AE154" s="1"/>
      <c r="AF154" s="1"/>
      <c r="AG154" s="1"/>
    </row>
    <row r="155" spans="2:38" x14ac:dyDescent="0.2">
      <c r="B155" s="49" t="s">
        <v>4</v>
      </c>
      <c r="C155" s="49"/>
      <c r="D155" s="49"/>
      <c r="E155" s="180" cm="1">
        <f t="array" ref="E155">_xlfn.SWITCH($C$11,1,R155,2,AE155)</f>
        <v>45860</v>
      </c>
      <c r="F155" s="180" cm="1">
        <f t="array" ref="F155">_xlfn.SWITCH($C$11,1,S155,2,AF155)</f>
        <v>55719.9</v>
      </c>
      <c r="G155" s="180" cm="1">
        <f t="array" ref="G155">_xlfn.SWITCH($C$11,1,T155,2,AG155)</f>
        <v>71210.032200000001</v>
      </c>
      <c r="H155" s="180" cm="1">
        <f t="array" ref="H155">_xlfn.SWITCH($C$11,1,U155,2,AH155)</f>
        <v>74770.533810000008</v>
      </c>
      <c r="I155" s="180" cm="1">
        <f t="array" ref="I155">_xlfn.SWITCH($C$11,1,V155,2,AI155)</f>
        <v>78509.060500500011</v>
      </c>
      <c r="J155" s="180" cm="1">
        <f t="array" ref="J155">_xlfn.SWITCH($C$11,1,W155,2,AJ155)</f>
        <v>82434.513525525021</v>
      </c>
      <c r="K155" s="180" cm="1">
        <f t="array" ref="K155">_xlfn.SWITCH($C$11,1,X155,2,AK155)</f>
        <v>86556.239201801276</v>
      </c>
      <c r="L155" s="180" cm="1">
        <f t="array" ref="L155">_xlfn.SWITCH($C$11,1,Y155,2,AL155)</f>
        <v>90884.051161891344</v>
      </c>
      <c r="P155" s="49"/>
      <c r="Q155" s="49"/>
      <c r="R155" s="17">
        <v>45860</v>
      </c>
      <c r="S155" s="17">
        <v>55719.9</v>
      </c>
      <c r="T155" s="17">
        <v>71210.032200000001</v>
      </c>
      <c r="U155" s="83">
        <f>T155*(1+U20)</f>
        <v>74770.533810000008</v>
      </c>
      <c r="V155" s="83">
        <f>U155*(1+V20)</f>
        <v>78509.060500500011</v>
      </c>
      <c r="W155" s="83">
        <f>V155*(1+W20)</f>
        <v>82434.513525525021</v>
      </c>
      <c r="X155" s="83">
        <f>W155*(1+X20)</f>
        <v>86556.239201801276</v>
      </c>
      <c r="Y155" s="83">
        <f>X155*(1+Y20)</f>
        <v>90884.051161891344</v>
      </c>
      <c r="AC155" s="49"/>
      <c r="AD155" s="49"/>
      <c r="AE155" s="17"/>
      <c r="AF155" s="17"/>
      <c r="AG155" s="17"/>
      <c r="AH155" s="187">
        <f>U155</f>
        <v>74770.533810000008</v>
      </c>
      <c r="AI155" s="83">
        <f>AH155*(1+AI20)</f>
        <v>78509.060500500011</v>
      </c>
      <c r="AJ155" s="83">
        <f>AI155*(1+AJ20)</f>
        <v>82434.513525525021</v>
      </c>
      <c r="AK155" s="83">
        <f>AJ155*(1+AK20)</f>
        <v>86556.239201801276</v>
      </c>
      <c r="AL155" s="83">
        <f>AK155*(1+AL20)</f>
        <v>90884.051161891344</v>
      </c>
    </row>
    <row r="156" spans="2:38" x14ac:dyDescent="0.2">
      <c r="B156" s="50" t="s">
        <v>5</v>
      </c>
      <c r="C156" s="50"/>
      <c r="D156" s="50"/>
      <c r="E156" s="180" cm="1">
        <f t="array" ref="E156">_xlfn.SWITCH($C$11,1,R156,2,AE156)</f>
        <v>15317.240000000002</v>
      </c>
      <c r="F156" s="180" cm="1">
        <f t="array" ref="F156">_xlfn.SWITCH($C$11,1,S156,2,AF156)</f>
        <v>18331.847100000003</v>
      </c>
      <c r="G156" s="180" cm="1">
        <f t="array" ref="G156">_xlfn.SWITCH($C$11,1,T156,2,AG156)</f>
        <v>23997.780851400003</v>
      </c>
      <c r="H156" s="180" cm="1">
        <f t="array" ref="H156">_xlfn.SWITCH($C$11,1,U156,2,AH156)</f>
        <v>24923.511270000003</v>
      </c>
      <c r="I156" s="180" cm="1">
        <f t="array" ref="I156">_xlfn.SWITCH($C$11,1,V156,2,AI156)</f>
        <v>26152.240375611007</v>
      </c>
      <c r="J156" s="180" cm="1">
        <f t="array" ref="J156">_xlfn.SWITCH($C$11,1,W156,2,AJ156)</f>
        <v>27572.818209222827</v>
      </c>
      <c r="K156" s="180" cm="1">
        <f t="array" ref="K156">_xlfn.SWITCH($C$11,1,X156,2,AK156)</f>
        <v>28878.794622576286</v>
      </c>
      <c r="L156" s="180" cm="1">
        <f t="array" ref="L156">_xlfn.SWITCH($C$11,1,Y156,2,AL156)</f>
        <v>30332.084564729987</v>
      </c>
      <c r="P156" s="50"/>
      <c r="Q156" s="50"/>
      <c r="R156" s="10">
        <v>15317.240000000002</v>
      </c>
      <c r="S156" s="10">
        <v>18331.847100000003</v>
      </c>
      <c r="T156" s="10">
        <v>23997.780851400003</v>
      </c>
      <c r="U156" s="83">
        <f>U155*U21</f>
        <v>24923.511270000003</v>
      </c>
      <c r="V156" s="83">
        <f>V155*V21</f>
        <v>26152.240375611007</v>
      </c>
      <c r="W156" s="83">
        <f>W155*W21</f>
        <v>27572.818209222827</v>
      </c>
      <c r="X156" s="83">
        <f>X155*X21</f>
        <v>28878.794622576286</v>
      </c>
      <c r="Y156" s="83">
        <f>Y155*Y21</f>
        <v>30332.084564729987</v>
      </c>
      <c r="AC156" s="50"/>
      <c r="AD156" s="50"/>
      <c r="AE156" s="10"/>
      <c r="AF156" s="10"/>
      <c r="AG156" s="10"/>
      <c r="AH156" s="83">
        <f>AH155*AH21</f>
        <v>24923.511270000003</v>
      </c>
      <c r="AI156" s="83">
        <f>AI155*AI21</f>
        <v>26152.240375611007</v>
      </c>
      <c r="AJ156" s="83">
        <f>AJ155*AJ21</f>
        <v>27572.818209222827</v>
      </c>
      <c r="AK156" s="83">
        <f>AK155*AK21</f>
        <v>28878.794622576286</v>
      </c>
      <c r="AL156" s="83">
        <f>AL155*AL21</f>
        <v>30332.084564729987</v>
      </c>
    </row>
    <row r="157" spans="2:38" x14ac:dyDescent="0.2">
      <c r="B157" s="51" t="s">
        <v>6</v>
      </c>
      <c r="C157" s="51"/>
      <c r="D157" s="51"/>
      <c r="E157" s="25">
        <f>E155-E156</f>
        <v>30542.76</v>
      </c>
      <c r="F157" s="25">
        <f t="shared" ref="F157:L157" si="360">F155-F156</f>
        <v>37388.052899999995</v>
      </c>
      <c r="G157" s="25">
        <f t="shared" si="360"/>
        <v>47212.251348599995</v>
      </c>
      <c r="H157" s="25">
        <f t="shared" si="360"/>
        <v>49847.022540000005</v>
      </c>
      <c r="I157" s="25">
        <f t="shared" si="360"/>
        <v>52356.820124889004</v>
      </c>
      <c r="J157" s="25">
        <f t="shared" si="360"/>
        <v>54861.695316302197</v>
      </c>
      <c r="K157" s="25">
        <f t="shared" si="360"/>
        <v>57677.44457922499</v>
      </c>
      <c r="L157" s="25">
        <f t="shared" si="360"/>
        <v>60551.966597161358</v>
      </c>
      <c r="P157" s="51"/>
      <c r="Q157" s="51"/>
      <c r="R157" s="22">
        <f>R155-R156</f>
        <v>30542.76</v>
      </c>
      <c r="S157" s="22">
        <f t="shared" ref="S157:Y157" si="361">S155-S156</f>
        <v>37388.052899999995</v>
      </c>
      <c r="T157" s="22">
        <f t="shared" si="361"/>
        <v>47212.251348599995</v>
      </c>
      <c r="U157" s="22">
        <f t="shared" si="361"/>
        <v>49847.022540000005</v>
      </c>
      <c r="V157" s="22">
        <f t="shared" si="361"/>
        <v>52356.820124889004</v>
      </c>
      <c r="W157" s="22">
        <f t="shared" si="361"/>
        <v>54861.695316302197</v>
      </c>
      <c r="X157" s="22">
        <f t="shared" si="361"/>
        <v>57677.44457922499</v>
      </c>
      <c r="Y157" s="22">
        <f t="shared" si="361"/>
        <v>60551.966597161358</v>
      </c>
      <c r="AC157" s="51"/>
      <c r="AD157" s="51"/>
      <c r="AE157" s="22">
        <f>AE155-AE156</f>
        <v>0</v>
      </c>
      <c r="AF157" s="22">
        <f t="shared" ref="AF157:AL157" si="362">AF155-AF156</f>
        <v>0</v>
      </c>
      <c r="AG157" s="22">
        <f t="shared" si="362"/>
        <v>0</v>
      </c>
      <c r="AH157" s="22">
        <f t="shared" si="362"/>
        <v>49847.022540000005</v>
      </c>
      <c r="AI157" s="22">
        <f t="shared" si="362"/>
        <v>52356.820124889004</v>
      </c>
      <c r="AJ157" s="22">
        <f t="shared" si="362"/>
        <v>54861.695316302197</v>
      </c>
      <c r="AK157" s="22">
        <f t="shared" si="362"/>
        <v>57677.44457922499</v>
      </c>
      <c r="AL157" s="22">
        <f t="shared" si="362"/>
        <v>60551.966597161358</v>
      </c>
    </row>
    <row r="158" spans="2:38" x14ac:dyDescent="0.2">
      <c r="B158" s="52"/>
      <c r="C158" s="52"/>
      <c r="D158" s="52"/>
      <c r="E158" s="182"/>
      <c r="F158" s="182"/>
      <c r="G158" s="182"/>
      <c r="H158" s="132"/>
      <c r="I158" s="132"/>
      <c r="J158" s="132"/>
      <c r="K158" s="132"/>
      <c r="L158" s="132"/>
      <c r="P158" s="52"/>
      <c r="Q158" s="52"/>
      <c r="R158" s="14"/>
      <c r="S158" s="14"/>
      <c r="T158" s="14"/>
      <c r="AC158" s="52"/>
      <c r="AD158" s="52"/>
      <c r="AE158" s="14"/>
      <c r="AF158" s="14"/>
      <c r="AG158" s="14"/>
    </row>
    <row r="159" spans="2:38" x14ac:dyDescent="0.2">
      <c r="B159" s="52" t="s">
        <v>7</v>
      </c>
      <c r="C159" s="52"/>
      <c r="D159" s="52"/>
      <c r="E159" s="182"/>
      <c r="F159" s="182"/>
      <c r="G159" s="182"/>
      <c r="H159" s="132"/>
      <c r="I159" s="132"/>
      <c r="J159" s="132"/>
      <c r="K159" s="132"/>
      <c r="L159" s="132"/>
      <c r="P159" s="52"/>
      <c r="Q159" s="52"/>
      <c r="R159" s="15"/>
      <c r="S159" s="15"/>
      <c r="T159" s="15"/>
      <c r="AC159" s="52"/>
      <c r="AD159" s="52"/>
      <c r="AE159" s="15"/>
      <c r="AF159" s="15"/>
      <c r="AG159" s="15"/>
    </row>
    <row r="160" spans="2:38" x14ac:dyDescent="0.2">
      <c r="B160" s="49" t="s">
        <v>8</v>
      </c>
      <c r="C160" s="49"/>
      <c r="D160" s="49"/>
      <c r="E160" s="180" cm="1">
        <f t="array" ref="E160">_xlfn.SWITCH($C$11,1,R160,2,AE160)</f>
        <v>5182.18</v>
      </c>
      <c r="F160" s="180" cm="1">
        <f t="array" ref="F160">_xlfn.SWITCH($C$11,1,S160,2,AF160)</f>
        <v>6630.6680999999999</v>
      </c>
      <c r="G160" s="180" cm="1">
        <f t="array" ref="G160">_xlfn.SWITCH($C$11,1,T160,2,AG160)</f>
        <v>8189.1537030000009</v>
      </c>
      <c r="H160" s="180" cm="1">
        <f t="array" ref="H160">_xlfn.SWITCH($C$11,1,U160,2,AH160)</f>
        <v>8648.4584106900002</v>
      </c>
      <c r="I160" s="180" cm="1">
        <f t="array" ref="I160">_xlfn.SWITCH($C$11,1,V160,2,AI160)</f>
        <v>9150.667162780499</v>
      </c>
      <c r="J160" s="180" cm="1">
        <f t="array" ref="J160">_xlfn.SWITCH($C$11,1,W160,2,AJ160)</f>
        <v>9541.0316580468771</v>
      </c>
      <c r="K160" s="180" cm="1">
        <f t="array" ref="K160">_xlfn.SWITCH($C$11,1,X160,2,AK160)</f>
        <v>10039.455151863245</v>
      </c>
      <c r="L160" s="180" cm="1">
        <f t="array" ref="L160">_xlfn.SWITCH($C$11,1,Y160,2,AL160)</f>
        <v>10551.152128922289</v>
      </c>
      <c r="P160" s="49"/>
      <c r="Q160" s="49"/>
      <c r="R160" s="17">
        <v>5182.18</v>
      </c>
      <c r="S160" s="17">
        <v>6630.6680999999999</v>
      </c>
      <c r="T160" s="17">
        <v>8189.1537030000009</v>
      </c>
      <c r="U160" s="83">
        <f t="shared" ref="U160:Y169" si="363">U24*U$155</f>
        <v>8648.4584106900002</v>
      </c>
      <c r="V160" s="83">
        <f t="shared" si="363"/>
        <v>9150.667162780499</v>
      </c>
      <c r="W160" s="83">
        <f t="shared" si="363"/>
        <v>9541.0316580468771</v>
      </c>
      <c r="X160" s="83">
        <f t="shared" si="363"/>
        <v>10039.455151863245</v>
      </c>
      <c r="Y160" s="83">
        <f t="shared" si="363"/>
        <v>10551.152128922289</v>
      </c>
      <c r="AC160" s="49"/>
      <c r="AD160" s="49"/>
      <c r="AE160" s="17"/>
      <c r="AF160" s="17"/>
      <c r="AG160" s="17"/>
      <c r="AH160" s="83">
        <f t="shared" ref="AH160:AL169" si="364">AH24*AH$155</f>
        <v>8648.4584106900002</v>
      </c>
      <c r="AI160" s="83">
        <f t="shared" si="364"/>
        <v>9150.667162780499</v>
      </c>
      <c r="AJ160" s="83">
        <f t="shared" si="364"/>
        <v>9541.0316580468771</v>
      </c>
      <c r="AK160" s="83">
        <f t="shared" si="364"/>
        <v>10039.455151863245</v>
      </c>
      <c r="AL160" s="83">
        <f t="shared" si="364"/>
        <v>10551.152128922289</v>
      </c>
    </row>
    <row r="161" spans="2:40" x14ac:dyDescent="0.2">
      <c r="B161" s="49" t="s">
        <v>9</v>
      </c>
      <c r="C161" s="49"/>
      <c r="D161" s="49"/>
      <c r="E161" s="180" cm="1">
        <f t="array" ref="E161">_xlfn.SWITCH($C$11,1,R161,2,AE161)</f>
        <v>1788.54</v>
      </c>
      <c r="F161" s="180" cm="1">
        <f t="array" ref="F161">_xlfn.SWITCH($C$11,1,S161,2,AF161)</f>
        <v>2295.6598800000002</v>
      </c>
      <c r="G161" s="180" cm="1">
        <f t="array" ref="G161">_xlfn.SWITCH($C$11,1,T161,2,AG161)</f>
        <v>3062.0313845999999</v>
      </c>
      <c r="H161" s="180" cm="1">
        <f t="array" ref="H161">_xlfn.SWITCH($C$11,1,U161,2,AH161)</f>
        <v>3070.576588464</v>
      </c>
      <c r="I161" s="180" cm="1">
        <f t="array" ref="I161">_xlfn.SWITCH($C$11,1,V161,2,AI161)</f>
        <v>3278.1894373431001</v>
      </c>
      <c r="J161" s="180" cm="1">
        <f t="array" ref="J161">_xlfn.SWITCH($C$11,1,W161,2,AJ161)</f>
        <v>3457.3645598631301</v>
      </c>
      <c r="K161" s="180" cm="1">
        <f t="array" ref="K161">_xlfn.SWITCH($C$11,1,X161,2,AK161)</f>
        <v>3599.6709552492312</v>
      </c>
      <c r="L161" s="180" cm="1">
        <f t="array" ref="L161">_xlfn.SWITCH($C$11,1,Y161,2,AL161)</f>
        <v>3795.4376592217004</v>
      </c>
      <c r="P161" s="49"/>
      <c r="Q161" s="49"/>
      <c r="R161" s="17">
        <v>1788.54</v>
      </c>
      <c r="S161" s="17">
        <v>2295.6598800000002</v>
      </c>
      <c r="T161" s="17">
        <v>3062.0313845999999</v>
      </c>
      <c r="U161" s="83">
        <f t="shared" si="363"/>
        <v>3070.576588464</v>
      </c>
      <c r="V161" s="83">
        <f t="shared" si="363"/>
        <v>3278.1894373431001</v>
      </c>
      <c r="W161" s="83">
        <f t="shared" si="363"/>
        <v>3457.3645598631301</v>
      </c>
      <c r="X161" s="83">
        <f t="shared" si="363"/>
        <v>3599.6709552492312</v>
      </c>
      <c r="Y161" s="83">
        <f t="shared" si="363"/>
        <v>3795.4376592217004</v>
      </c>
      <c r="AC161" s="49"/>
      <c r="AD161" s="49"/>
      <c r="AE161" s="17"/>
      <c r="AF161" s="17"/>
      <c r="AG161" s="17"/>
      <c r="AH161" s="83">
        <f t="shared" si="364"/>
        <v>3070.576588464</v>
      </c>
      <c r="AI161" s="83">
        <f t="shared" si="364"/>
        <v>3278.1894373431001</v>
      </c>
      <c r="AJ161" s="83">
        <f t="shared" si="364"/>
        <v>3457.3645598631301</v>
      </c>
      <c r="AK161" s="83">
        <f t="shared" si="364"/>
        <v>3599.6709552492312</v>
      </c>
      <c r="AL161" s="83">
        <f t="shared" si="364"/>
        <v>3795.4376592217004</v>
      </c>
    </row>
    <row r="162" spans="2:40" x14ac:dyDescent="0.2">
      <c r="B162" s="49" t="s">
        <v>10</v>
      </c>
      <c r="C162" s="49"/>
      <c r="D162" s="49"/>
      <c r="E162" s="180" cm="1">
        <f t="array" ref="E162">_xlfn.SWITCH($C$11,1,R162,2,AE162)</f>
        <v>1467.52</v>
      </c>
      <c r="F162" s="180" cm="1">
        <f t="array" ref="F162">_xlfn.SWITCH($C$11,1,S162,2,AF162)</f>
        <v>1894.4766000000002</v>
      </c>
      <c r="G162" s="180" cm="1">
        <f t="array" ref="G162">_xlfn.SWITCH($C$11,1,T162,2,AG162)</f>
        <v>2634.7711914000001</v>
      </c>
      <c r="H162" s="180" cm="1">
        <f t="array" ref="H162">_xlfn.SWITCH($C$11,1,U162,2,AH162)</f>
        <v>2567.1216608100003</v>
      </c>
      <c r="I162" s="180" cm="1">
        <f t="array" ref="I162">_xlfn.SWITCH($C$11,1,V162,2,AI162)</f>
        <v>2756.5403464620008</v>
      </c>
      <c r="J162" s="180" cm="1">
        <f t="array" ref="J162">_xlfn.SWITCH($C$11,1,W162,2,AJ162)</f>
        <v>2924.898665090851</v>
      </c>
      <c r="K162" s="180" cm="1">
        <f t="array" ref="K162">_xlfn.SWITCH($C$11,1,X162,2,AK162)</f>
        <v>3027.3311809716424</v>
      </c>
      <c r="L162" s="180" cm="1">
        <f t="array" ref="L162">_xlfn.SWITCH($C$11,1,Y162,2,AL162)</f>
        <v>3198.1461789519872</v>
      </c>
      <c r="P162" s="49"/>
      <c r="Q162" s="49"/>
      <c r="R162" s="17">
        <v>1467.52</v>
      </c>
      <c r="S162" s="17">
        <v>1894.4766000000002</v>
      </c>
      <c r="T162" s="17">
        <v>2634.7711914000001</v>
      </c>
      <c r="U162" s="83">
        <f t="shared" si="363"/>
        <v>2567.1216608100003</v>
      </c>
      <c r="V162" s="83">
        <f t="shared" si="363"/>
        <v>2756.5403464620008</v>
      </c>
      <c r="W162" s="83">
        <f t="shared" si="363"/>
        <v>2924.898665090851</v>
      </c>
      <c r="X162" s="83">
        <f t="shared" si="363"/>
        <v>3027.3311809716424</v>
      </c>
      <c r="Y162" s="83">
        <f t="shared" si="363"/>
        <v>3198.1461789519872</v>
      </c>
      <c r="AC162" s="49"/>
      <c r="AD162" s="49"/>
      <c r="AE162" s="17"/>
      <c r="AF162" s="17"/>
      <c r="AG162" s="17"/>
      <c r="AH162" s="83">
        <f t="shared" si="364"/>
        <v>2567.1216608100003</v>
      </c>
      <c r="AI162" s="83">
        <f t="shared" si="364"/>
        <v>2756.5403464620008</v>
      </c>
      <c r="AJ162" s="83">
        <f t="shared" si="364"/>
        <v>2924.898665090851</v>
      </c>
      <c r="AK162" s="83">
        <f t="shared" si="364"/>
        <v>3027.3311809716424</v>
      </c>
      <c r="AL162" s="83">
        <f t="shared" si="364"/>
        <v>3198.1461789519872</v>
      </c>
    </row>
    <row r="163" spans="2:40" x14ac:dyDescent="0.2">
      <c r="B163" s="49" t="s">
        <v>11</v>
      </c>
      <c r="C163" s="49"/>
      <c r="D163" s="49"/>
      <c r="E163" s="180" cm="1">
        <f t="array" ref="E163">_xlfn.SWITCH($C$11,1,R163,2,AE163)</f>
        <v>2293</v>
      </c>
      <c r="F163" s="180" cm="1">
        <f t="array" ref="F163">_xlfn.SWITCH($C$11,1,S163,2,AF163)</f>
        <v>2953.1547</v>
      </c>
      <c r="G163" s="180" cm="1">
        <f t="array" ref="G163">_xlfn.SWITCH($C$11,1,T163,2,AG163)</f>
        <v>3489.2915778000001</v>
      </c>
      <c r="H163" s="180" cm="1">
        <f t="array" ref="H163">_xlfn.SWITCH($C$11,1,U163,2,AH163)</f>
        <v>3788.3737130400009</v>
      </c>
      <c r="I163" s="180" cm="1">
        <f t="array" ref="I163">_xlfn.SWITCH($C$11,1,V163,2,AI163)</f>
        <v>3995.2388565810011</v>
      </c>
      <c r="J163" s="180" cm="1">
        <f t="array" ref="J163">_xlfn.SWITCH($C$11,1,W163,2,AJ163)</f>
        <v>4136.9913269291264</v>
      </c>
      <c r="K163" s="180" cm="1">
        <f t="array" ref="K163">_xlfn.SWITCH($C$11,1,X163,2,AK163)</f>
        <v>4378.0359507380235</v>
      </c>
      <c r="L163" s="180" cm="1">
        <f t="array" ref="L163">_xlfn.SWITCH($C$11,1,Y163,2,AL163)</f>
        <v>4594.319689187957</v>
      </c>
      <c r="P163" s="49"/>
      <c r="Q163" s="49"/>
      <c r="R163" s="17">
        <v>2293</v>
      </c>
      <c r="S163" s="17">
        <v>2953.1547</v>
      </c>
      <c r="T163" s="17">
        <v>3489.2915778000001</v>
      </c>
      <c r="U163" s="83">
        <f t="shared" si="363"/>
        <v>3788.3737130400009</v>
      </c>
      <c r="V163" s="83">
        <f t="shared" si="363"/>
        <v>3995.2388565810011</v>
      </c>
      <c r="W163" s="83">
        <f t="shared" si="363"/>
        <v>4136.9913269291264</v>
      </c>
      <c r="X163" s="83">
        <f t="shared" si="363"/>
        <v>4378.0359507380235</v>
      </c>
      <c r="Y163" s="83">
        <f t="shared" si="363"/>
        <v>4594.319689187957</v>
      </c>
      <c r="AC163" s="49"/>
      <c r="AD163" s="49"/>
      <c r="AE163" s="17"/>
      <c r="AF163" s="17"/>
      <c r="AG163" s="17"/>
      <c r="AH163" s="83">
        <f t="shared" si="364"/>
        <v>3788.3737130400009</v>
      </c>
      <c r="AI163" s="83">
        <f t="shared" si="364"/>
        <v>3995.2388565810011</v>
      </c>
      <c r="AJ163" s="83">
        <f t="shared" si="364"/>
        <v>4136.9913269291264</v>
      </c>
      <c r="AK163" s="83">
        <f t="shared" si="364"/>
        <v>4378.0359507380235</v>
      </c>
      <c r="AL163" s="83">
        <f t="shared" si="364"/>
        <v>4594.319689187957</v>
      </c>
    </row>
    <row r="164" spans="2:40" x14ac:dyDescent="0.2">
      <c r="B164" s="49" t="s">
        <v>12</v>
      </c>
      <c r="C164" s="49"/>
      <c r="D164" s="49"/>
      <c r="E164" s="180" cm="1">
        <f t="array" ref="E164">_xlfn.SWITCH($C$11,1,R164,2,AE164)</f>
        <v>5732.5</v>
      </c>
      <c r="F164" s="180" cm="1">
        <f t="array" ref="F164">_xlfn.SWITCH($C$11,1,S164,2,AF164)</f>
        <v>7187.8671000000004</v>
      </c>
      <c r="G164" s="180" cm="1">
        <f t="array" ref="G164">_xlfn.SWITCH($C$11,1,T164,2,AG164)</f>
        <v>8758.8339606000009</v>
      </c>
      <c r="H164" s="180" cm="1">
        <f t="array" ref="H164">_xlfn.SWITCH($C$11,1,U164,2,AH164)</f>
        <v>9396.1637487900025</v>
      </c>
      <c r="I164" s="180" cm="1">
        <f t="array" ref="I164">_xlfn.SWITCH($C$11,1,V164,2,AI164)</f>
        <v>9883.4183941185038</v>
      </c>
      <c r="J164" s="180" cm="1">
        <f t="array" ref="J164">_xlfn.SWITCH($C$11,1,W164,2,AJ164)</f>
        <v>10292.101670168329</v>
      </c>
      <c r="K164" s="180" cm="1">
        <f t="array" ref="K164">_xlfn.SWITCH($C$11,1,X164,2,AK164)</f>
        <v>10860.136530961809</v>
      </c>
      <c r="L164" s="180" cm="1">
        <f t="array" ref="L164">_xlfn.SWITCH($C$11,1,Y164,2,AL164)</f>
        <v>11397.159222453975</v>
      </c>
      <c r="P164" s="49"/>
      <c r="Q164" s="49"/>
      <c r="R164" s="17">
        <v>5732.5</v>
      </c>
      <c r="S164" s="17">
        <v>7187.8671000000004</v>
      </c>
      <c r="T164" s="17">
        <v>8758.8339606000009</v>
      </c>
      <c r="U164" s="83">
        <f t="shared" si="363"/>
        <v>9396.1637487900025</v>
      </c>
      <c r="V164" s="83">
        <f t="shared" si="363"/>
        <v>9883.4183941185038</v>
      </c>
      <c r="W164" s="83">
        <f t="shared" si="363"/>
        <v>10292.101670168329</v>
      </c>
      <c r="X164" s="83">
        <f t="shared" si="363"/>
        <v>10860.136530961809</v>
      </c>
      <c r="Y164" s="83">
        <f t="shared" si="363"/>
        <v>11397.159222453975</v>
      </c>
      <c r="AC164" s="49"/>
      <c r="AD164" s="49"/>
      <c r="AE164" s="17"/>
      <c r="AF164" s="17"/>
      <c r="AG164" s="17"/>
      <c r="AH164" s="83">
        <f t="shared" si="364"/>
        <v>9396.1637487900025</v>
      </c>
      <c r="AI164" s="83">
        <f t="shared" si="364"/>
        <v>9883.4183941185038</v>
      </c>
      <c r="AJ164" s="83">
        <f t="shared" si="364"/>
        <v>10292.101670168329</v>
      </c>
      <c r="AK164" s="83">
        <f t="shared" si="364"/>
        <v>10860.136530961809</v>
      </c>
      <c r="AL164" s="83">
        <f t="shared" si="364"/>
        <v>11397.159222453975</v>
      </c>
    </row>
    <row r="165" spans="2:40" x14ac:dyDescent="0.2">
      <c r="B165" s="49" t="s">
        <v>13</v>
      </c>
      <c r="C165" s="49"/>
      <c r="D165" s="49"/>
      <c r="E165" s="180" cm="1">
        <f t="array" ref="E165">_xlfn.SWITCH($C$11,1,R165,2,AE165)</f>
        <v>0</v>
      </c>
      <c r="F165" s="180" cm="1">
        <f t="array" ref="F165">_xlfn.SWITCH($C$11,1,S165,2,AF165)</f>
        <v>0</v>
      </c>
      <c r="G165" s="180" cm="1">
        <f t="array" ref="G165">_xlfn.SWITCH($C$11,1,T165,2,AG165)</f>
        <v>0</v>
      </c>
      <c r="H165" s="180" cm="1">
        <f t="array" ref="H165">_xlfn.SWITCH($C$11,1,U165,2,AH165)</f>
        <v>0</v>
      </c>
      <c r="I165" s="180" cm="1">
        <f t="array" ref="I165">_xlfn.SWITCH($C$11,1,V165,2,AI165)</f>
        <v>0</v>
      </c>
      <c r="J165" s="180" cm="1">
        <f t="array" ref="J165">_xlfn.SWITCH($C$11,1,W165,2,AJ165)</f>
        <v>0</v>
      </c>
      <c r="K165" s="180" cm="1">
        <f t="array" ref="K165">_xlfn.SWITCH($C$11,1,X165,2,AK165)</f>
        <v>0</v>
      </c>
      <c r="L165" s="180" cm="1">
        <f t="array" ref="L165">_xlfn.SWITCH($C$11,1,Y165,2,AL165)</f>
        <v>0</v>
      </c>
      <c r="P165" s="49"/>
      <c r="Q165" s="49"/>
      <c r="R165" s="17">
        <v>0</v>
      </c>
      <c r="S165" s="17">
        <v>0</v>
      </c>
      <c r="T165" s="17">
        <v>0</v>
      </c>
      <c r="U165" s="83">
        <f t="shared" si="363"/>
        <v>0</v>
      </c>
      <c r="V165" s="83">
        <f t="shared" si="363"/>
        <v>0</v>
      </c>
      <c r="W165" s="83">
        <f t="shared" si="363"/>
        <v>0</v>
      </c>
      <c r="X165" s="83">
        <f t="shared" si="363"/>
        <v>0</v>
      </c>
      <c r="Y165" s="83">
        <f t="shared" si="363"/>
        <v>0</v>
      </c>
      <c r="AC165" s="49"/>
      <c r="AD165" s="49"/>
      <c r="AE165" s="17"/>
      <c r="AF165" s="17"/>
      <c r="AG165" s="17"/>
      <c r="AH165" s="83">
        <f t="shared" si="364"/>
        <v>0</v>
      </c>
      <c r="AI165" s="83">
        <f t="shared" si="364"/>
        <v>0</v>
      </c>
      <c r="AJ165" s="83">
        <f t="shared" si="364"/>
        <v>0</v>
      </c>
      <c r="AK165" s="83">
        <f t="shared" si="364"/>
        <v>0</v>
      </c>
      <c r="AL165" s="83">
        <f t="shared" si="364"/>
        <v>0</v>
      </c>
    </row>
    <row r="166" spans="2:40" x14ac:dyDescent="0.2">
      <c r="B166" s="49" t="s">
        <v>14</v>
      </c>
      <c r="C166" s="49"/>
      <c r="D166" s="49"/>
      <c r="E166" s="180" cm="1">
        <f t="array" ref="E166">_xlfn.SWITCH($C$11,1,R166,2,AE166)</f>
        <v>321.02</v>
      </c>
      <c r="F166" s="180" cm="1">
        <f t="array" ref="F166">_xlfn.SWITCH($C$11,1,S166,2,AF166)</f>
        <v>334.31940000000003</v>
      </c>
      <c r="G166" s="180" cm="1">
        <f t="array" ref="G166">_xlfn.SWITCH($C$11,1,T166,2,AG166)</f>
        <v>569.6802576</v>
      </c>
      <c r="H166" s="180" cm="1">
        <f t="array" ref="H166">_xlfn.SWITCH($C$11,1,U166,2,AH166)</f>
        <v>523.39373666999995</v>
      </c>
      <c r="I166" s="180" cm="1">
        <f t="array" ref="I166">_xlfn.SWITCH($C$11,1,V166,2,AI166)</f>
        <v>549.56342350349996</v>
      </c>
      <c r="J166" s="180" cm="1">
        <f t="array" ref="J166">_xlfn.SWITCH($C$11,1,W166,2,AJ166)</f>
        <v>604.51976585385012</v>
      </c>
      <c r="K166" s="180" cm="1">
        <f t="array" ref="K166">_xlfn.SWITCH($C$11,1,X166,2,AK166)</f>
        <v>615.51103432392017</v>
      </c>
      <c r="L166" s="180" cm="1">
        <f t="array" ref="L166">_xlfn.SWITCH($C$11,1,Y166,2,AL166)</f>
        <v>649.65266200907513</v>
      </c>
      <c r="P166" s="49"/>
      <c r="Q166" s="49"/>
      <c r="R166" s="17">
        <v>321.02</v>
      </c>
      <c r="S166" s="17">
        <v>334.31940000000003</v>
      </c>
      <c r="T166" s="17">
        <v>569.6802576</v>
      </c>
      <c r="U166" s="83">
        <f t="shared" si="363"/>
        <v>523.39373666999995</v>
      </c>
      <c r="V166" s="83">
        <f t="shared" si="363"/>
        <v>549.56342350349996</v>
      </c>
      <c r="W166" s="83">
        <f t="shared" si="363"/>
        <v>604.51976585385012</v>
      </c>
      <c r="X166" s="83">
        <f t="shared" si="363"/>
        <v>615.51103432392017</v>
      </c>
      <c r="Y166" s="83">
        <f t="shared" si="363"/>
        <v>649.65266200907513</v>
      </c>
      <c r="AC166" s="49"/>
      <c r="AD166" s="49"/>
      <c r="AE166" s="17"/>
      <c r="AF166" s="17"/>
      <c r="AG166" s="17"/>
      <c r="AH166" s="83">
        <f t="shared" si="364"/>
        <v>523.39373666999995</v>
      </c>
      <c r="AI166" s="83">
        <f t="shared" si="364"/>
        <v>549.56342350349996</v>
      </c>
      <c r="AJ166" s="83">
        <f t="shared" si="364"/>
        <v>604.51976585385012</v>
      </c>
      <c r="AK166" s="83">
        <f t="shared" si="364"/>
        <v>615.51103432392017</v>
      </c>
      <c r="AL166" s="83">
        <f t="shared" si="364"/>
        <v>649.65266200907513</v>
      </c>
    </row>
    <row r="167" spans="2:40" x14ac:dyDescent="0.2">
      <c r="B167" s="49" t="s">
        <v>15</v>
      </c>
      <c r="C167" s="49"/>
      <c r="D167" s="49"/>
      <c r="E167" s="180" cm="1">
        <f t="array" ref="E167">_xlfn.SWITCH($C$11,1,R167,2,AE167)</f>
        <v>0</v>
      </c>
      <c r="F167" s="180" cm="1">
        <f t="array" ref="F167">_xlfn.SWITCH($C$11,1,S167,2,AF167)</f>
        <v>0</v>
      </c>
      <c r="G167" s="180" cm="1">
        <f t="array" ref="G167">_xlfn.SWITCH($C$11,1,T167,2,AG167)</f>
        <v>0</v>
      </c>
      <c r="H167" s="180" cm="1">
        <f t="array" ref="H167">_xlfn.SWITCH($C$11,1,U167,2,AH167)</f>
        <v>0</v>
      </c>
      <c r="I167" s="180" cm="1">
        <f t="array" ref="I167">_xlfn.SWITCH($C$11,1,V167,2,AI167)</f>
        <v>0</v>
      </c>
      <c r="J167" s="180" cm="1">
        <f t="array" ref="J167">_xlfn.SWITCH($C$11,1,W167,2,AJ167)</f>
        <v>0</v>
      </c>
      <c r="K167" s="180" cm="1">
        <f t="array" ref="K167">_xlfn.SWITCH($C$11,1,X167,2,AK167)</f>
        <v>0</v>
      </c>
      <c r="L167" s="180" cm="1">
        <f t="array" ref="L167">_xlfn.SWITCH($C$11,1,Y167,2,AL167)</f>
        <v>0</v>
      </c>
      <c r="P167" s="49"/>
      <c r="Q167" s="49"/>
      <c r="R167" s="17">
        <v>0</v>
      </c>
      <c r="S167" s="17">
        <v>0</v>
      </c>
      <c r="T167" s="17">
        <v>0</v>
      </c>
      <c r="U167" s="83">
        <f t="shared" si="363"/>
        <v>0</v>
      </c>
      <c r="V167" s="83">
        <f t="shared" si="363"/>
        <v>0</v>
      </c>
      <c r="W167" s="83">
        <f t="shared" si="363"/>
        <v>0</v>
      </c>
      <c r="X167" s="83">
        <f t="shared" si="363"/>
        <v>0</v>
      </c>
      <c r="Y167" s="83">
        <f t="shared" si="363"/>
        <v>0</v>
      </c>
      <c r="AC167" s="49"/>
      <c r="AD167" s="49"/>
      <c r="AE167" s="17"/>
      <c r="AF167" s="17"/>
      <c r="AG167" s="17"/>
      <c r="AH167" s="83">
        <f t="shared" si="364"/>
        <v>0</v>
      </c>
      <c r="AI167" s="83">
        <f t="shared" si="364"/>
        <v>0</v>
      </c>
      <c r="AJ167" s="83">
        <f t="shared" si="364"/>
        <v>0</v>
      </c>
      <c r="AK167" s="83">
        <f t="shared" si="364"/>
        <v>0</v>
      </c>
      <c r="AL167" s="83">
        <f t="shared" si="364"/>
        <v>0</v>
      </c>
    </row>
    <row r="168" spans="2:40" x14ac:dyDescent="0.2">
      <c r="B168" s="49" t="s">
        <v>16</v>
      </c>
      <c r="C168" s="49"/>
      <c r="D168" s="49"/>
      <c r="E168" s="180" cm="1">
        <f t="array" ref="E168">_xlfn.SWITCH($C$11,1,R168,2,AE168)</f>
        <v>1605.1000000000001</v>
      </c>
      <c r="F168" s="180" cm="1">
        <f t="array" ref="F168">_xlfn.SWITCH($C$11,1,S168,2,AF168)</f>
        <v>2117.3562000000002</v>
      </c>
      <c r="G168" s="180" cm="1">
        <f t="array" ref="G168">_xlfn.SWITCH($C$11,1,T168,2,AG168)</f>
        <v>2919.6113202000001</v>
      </c>
      <c r="H168" s="180" cm="1">
        <f t="array" ref="H168">_xlfn.SWITCH($C$11,1,U168,2,AH168)</f>
        <v>2841.2802847800008</v>
      </c>
      <c r="I168" s="180" cm="1">
        <f t="array" ref="I168">_xlfn.SWITCH($C$11,1,V168,2,AI168)</f>
        <v>3061.8533595195004</v>
      </c>
      <c r="J168" s="180" cm="1">
        <f t="array" ref="J168">_xlfn.SWITCH($C$11,1,W168,2,AJ168)</f>
        <v>3242.4241986706511</v>
      </c>
      <c r="K168" s="180" cm="1">
        <f t="array" ref="K168">_xlfn.SWITCH($C$11,1,X168,2,AK168)</f>
        <v>3356.4586090476273</v>
      </c>
      <c r="L168" s="180" cm="1">
        <f t="array" ref="L168">_xlfn.SWITCH($C$11,1,Y168,2,AL168)</f>
        <v>3547.8440712827214</v>
      </c>
      <c r="P168" s="49"/>
      <c r="Q168" s="49"/>
      <c r="R168" s="17">
        <v>1605.1000000000001</v>
      </c>
      <c r="S168" s="17">
        <v>2117.3562000000002</v>
      </c>
      <c r="T168" s="17">
        <v>2919.6113202000001</v>
      </c>
      <c r="U168" s="83">
        <f t="shared" si="363"/>
        <v>2841.2802847800008</v>
      </c>
      <c r="V168" s="83">
        <f t="shared" si="363"/>
        <v>3061.8533595195004</v>
      </c>
      <c r="W168" s="83">
        <f t="shared" si="363"/>
        <v>3242.4241986706511</v>
      </c>
      <c r="X168" s="83">
        <f t="shared" si="363"/>
        <v>3356.4586090476273</v>
      </c>
      <c r="Y168" s="83">
        <f t="shared" si="363"/>
        <v>3547.8440712827214</v>
      </c>
      <c r="AC168" s="49"/>
      <c r="AD168" s="49"/>
      <c r="AE168" s="17"/>
      <c r="AF168" s="17"/>
      <c r="AG168" s="17"/>
      <c r="AH168" s="83">
        <f t="shared" si="364"/>
        <v>2841.2802847800008</v>
      </c>
      <c r="AI168" s="83">
        <f t="shared" si="364"/>
        <v>3061.8533595195004</v>
      </c>
      <c r="AJ168" s="83">
        <f t="shared" si="364"/>
        <v>3242.4241986706511</v>
      </c>
      <c r="AK168" s="83">
        <f t="shared" si="364"/>
        <v>3356.4586090476273</v>
      </c>
      <c r="AL168" s="83">
        <f t="shared" si="364"/>
        <v>3547.8440712827214</v>
      </c>
    </row>
    <row r="169" spans="2:40" x14ac:dyDescent="0.2">
      <c r="B169" s="49" t="s">
        <v>17</v>
      </c>
      <c r="C169" s="49"/>
      <c r="D169" s="49"/>
      <c r="E169" s="180" cm="1">
        <f t="array" ref="E169">_xlfn.SWITCH($C$11,1,R169,2,AE169)</f>
        <v>2568.16</v>
      </c>
      <c r="F169" s="180" cm="1">
        <f t="array" ref="F169">_xlfn.SWITCH($C$11,1,S169,2,AF169)</f>
        <v>3231.7542000000003</v>
      </c>
      <c r="G169" s="180" cm="1">
        <f t="array" ref="G169">_xlfn.SWITCH($C$11,1,T169,2,AG169)</f>
        <v>2990.8213524000003</v>
      </c>
      <c r="H169" s="180" cm="1">
        <f t="array" ref="H169">_xlfn.SWITCH($C$11,1,U169,2,AH169)</f>
        <v>3888.0677581200002</v>
      </c>
      <c r="I169" s="180" cm="1">
        <f t="array" ref="I169">_xlfn.SWITCH($C$11,1,V169,2,AI169)</f>
        <v>3977.7923986920005</v>
      </c>
      <c r="J169" s="180" cm="1">
        <f t="array" ref="J169">_xlfn.SWITCH($C$11,1,W169,2,AJ169)</f>
        <v>3975.1754300086509</v>
      </c>
      <c r="K169" s="180" cm="1">
        <f t="array" ref="K169">_xlfn.SWITCH($C$11,1,X169,2,AK169)</f>
        <v>4353.4582531868937</v>
      </c>
      <c r="L169" s="180" cm="1">
        <f t="array" ref="L169">_xlfn.SWITCH($C$11,1,Y169,2,AL169)</f>
        <v>4519.5180009888672</v>
      </c>
      <c r="P169" s="49"/>
      <c r="Q169" s="49"/>
      <c r="R169" s="17">
        <v>2568.16</v>
      </c>
      <c r="S169" s="17">
        <v>3231.7542000000003</v>
      </c>
      <c r="T169" s="17">
        <v>2990.8213524000003</v>
      </c>
      <c r="U169" s="83">
        <f t="shared" si="363"/>
        <v>3888.0677581200002</v>
      </c>
      <c r="V169" s="83">
        <f t="shared" si="363"/>
        <v>3977.7923986920005</v>
      </c>
      <c r="W169" s="83">
        <f t="shared" si="363"/>
        <v>3975.1754300086509</v>
      </c>
      <c r="X169" s="83">
        <f t="shared" si="363"/>
        <v>4353.4582531868937</v>
      </c>
      <c r="Y169" s="83">
        <f t="shared" si="363"/>
        <v>4519.5180009888672</v>
      </c>
      <c r="AC169" s="49"/>
      <c r="AD169" s="49"/>
      <c r="AE169" s="17"/>
      <c r="AF169" s="17"/>
      <c r="AG169" s="17"/>
      <c r="AH169" s="83">
        <f t="shared" si="364"/>
        <v>3888.0677581200002</v>
      </c>
      <c r="AI169" s="83">
        <f t="shared" si="364"/>
        <v>3977.7923986920005</v>
      </c>
      <c r="AJ169" s="83">
        <f t="shared" si="364"/>
        <v>3975.1754300086509</v>
      </c>
      <c r="AK169" s="83">
        <f t="shared" si="364"/>
        <v>4353.4582531868937</v>
      </c>
      <c r="AL169" s="83">
        <f t="shared" si="364"/>
        <v>4519.5180009888672</v>
      </c>
    </row>
    <row r="170" spans="2:40" x14ac:dyDescent="0.2">
      <c r="B170" s="51" t="s">
        <v>18</v>
      </c>
      <c r="C170" s="51"/>
      <c r="D170" s="51"/>
      <c r="E170" s="25">
        <f>SUM(E160:E169)</f>
        <v>20958.019999999997</v>
      </c>
      <c r="F170" s="25">
        <f t="shared" ref="F170:L170" si="365">SUM(F160:F169)</f>
        <v>26645.25618</v>
      </c>
      <c r="G170" s="25">
        <f t="shared" si="365"/>
        <v>32614.194747600006</v>
      </c>
      <c r="H170" s="25">
        <f t="shared" si="365"/>
        <v>34723.435901364006</v>
      </c>
      <c r="I170" s="25">
        <f t="shared" si="365"/>
        <v>36653.263379000105</v>
      </c>
      <c r="J170" s="25">
        <f t="shared" si="365"/>
        <v>38174.507274631462</v>
      </c>
      <c r="K170" s="25">
        <f t="shared" si="365"/>
        <v>40230.057666342393</v>
      </c>
      <c r="L170" s="25">
        <f t="shared" si="365"/>
        <v>42253.229613018571</v>
      </c>
      <c r="P170" s="51"/>
      <c r="Q170" s="51"/>
      <c r="R170" s="25">
        <f>SUM(R160:R169)</f>
        <v>20958.019999999997</v>
      </c>
      <c r="S170" s="25">
        <f t="shared" ref="S170:Y170" si="366">SUM(S160:S169)</f>
        <v>26645.25618</v>
      </c>
      <c r="T170" s="25">
        <f t="shared" si="366"/>
        <v>32614.194747600006</v>
      </c>
      <c r="U170" s="25">
        <f t="shared" si="366"/>
        <v>34723.435901364006</v>
      </c>
      <c r="V170" s="25">
        <f t="shared" si="366"/>
        <v>36653.263379000105</v>
      </c>
      <c r="W170" s="25">
        <f t="shared" si="366"/>
        <v>38174.507274631462</v>
      </c>
      <c r="X170" s="25">
        <f t="shared" si="366"/>
        <v>40230.057666342393</v>
      </c>
      <c r="Y170" s="25">
        <f t="shared" si="366"/>
        <v>42253.229613018571</v>
      </c>
      <c r="AC170" s="51"/>
      <c r="AD170" s="51"/>
      <c r="AE170" s="25">
        <f>SUM(AE160:AE169)</f>
        <v>0</v>
      </c>
      <c r="AF170" s="25">
        <f t="shared" ref="AF170:AL170" si="367">SUM(AF160:AF169)</f>
        <v>0</v>
      </c>
      <c r="AG170" s="25">
        <f t="shared" si="367"/>
        <v>0</v>
      </c>
      <c r="AH170" s="25">
        <f t="shared" si="367"/>
        <v>34723.435901364006</v>
      </c>
      <c r="AI170" s="25">
        <f t="shared" si="367"/>
        <v>36653.263379000105</v>
      </c>
      <c r="AJ170" s="25">
        <f t="shared" si="367"/>
        <v>38174.507274631462</v>
      </c>
      <c r="AK170" s="25">
        <f t="shared" si="367"/>
        <v>40230.057666342393</v>
      </c>
      <c r="AL170" s="25">
        <f t="shared" si="367"/>
        <v>42253.229613018571</v>
      </c>
    </row>
    <row r="171" spans="2:40" ht="10.8" thickBot="1" x14ac:dyDescent="0.25">
      <c r="B171" s="53" t="s">
        <v>20</v>
      </c>
      <c r="C171" s="53"/>
      <c r="D171" s="53"/>
      <c r="E171" s="183">
        <f>E157-E170</f>
        <v>9584.7400000000016</v>
      </c>
      <c r="F171" s="183">
        <f t="shared" ref="F171:L171" si="368">F157-F170</f>
        <v>10742.796719999995</v>
      </c>
      <c r="G171" s="183">
        <f t="shared" si="368"/>
        <v>14598.056600999989</v>
      </c>
      <c r="H171" s="183">
        <f t="shared" si="368"/>
        <v>15123.586638635999</v>
      </c>
      <c r="I171" s="183">
        <f t="shared" si="368"/>
        <v>15703.556745888898</v>
      </c>
      <c r="J171" s="183">
        <f t="shared" si="368"/>
        <v>16687.188041670735</v>
      </c>
      <c r="K171" s="183">
        <f t="shared" si="368"/>
        <v>17447.386912882597</v>
      </c>
      <c r="L171" s="183">
        <f t="shared" si="368"/>
        <v>18298.736984142786</v>
      </c>
      <c r="P171" s="53"/>
      <c r="Q171" s="53"/>
      <c r="R171" s="41">
        <f>R157-R170</f>
        <v>9584.7400000000016</v>
      </c>
      <c r="S171" s="41">
        <f t="shared" ref="S171:Y171" si="369">S157-S170</f>
        <v>10742.796719999995</v>
      </c>
      <c r="T171" s="41">
        <f t="shared" si="369"/>
        <v>14598.056600999989</v>
      </c>
      <c r="U171" s="41">
        <f t="shared" si="369"/>
        <v>15123.586638635999</v>
      </c>
      <c r="V171" s="41">
        <f t="shared" si="369"/>
        <v>15703.556745888898</v>
      </c>
      <c r="W171" s="41">
        <f t="shared" si="369"/>
        <v>16687.188041670735</v>
      </c>
      <c r="X171" s="41">
        <f t="shared" si="369"/>
        <v>17447.386912882597</v>
      </c>
      <c r="Y171" s="41">
        <f t="shared" si="369"/>
        <v>18298.736984142786</v>
      </c>
      <c r="AC171" s="53"/>
      <c r="AD171" s="53"/>
      <c r="AE171" s="41">
        <f>AE157-AE170</f>
        <v>0</v>
      </c>
      <c r="AF171" s="41">
        <f t="shared" ref="AF171:AL171" si="370">AF157-AF170</f>
        <v>0</v>
      </c>
      <c r="AG171" s="41">
        <f t="shared" si="370"/>
        <v>0</v>
      </c>
      <c r="AH171" s="41">
        <f t="shared" si="370"/>
        <v>15123.586638635999</v>
      </c>
      <c r="AI171" s="41">
        <f t="shared" si="370"/>
        <v>15703.556745888898</v>
      </c>
      <c r="AJ171" s="41">
        <f t="shared" si="370"/>
        <v>16687.188041670735</v>
      </c>
      <c r="AK171" s="41">
        <f t="shared" si="370"/>
        <v>17447.386912882597</v>
      </c>
      <c r="AL171" s="41">
        <f t="shared" si="370"/>
        <v>18298.736984142786</v>
      </c>
    </row>
    <row r="172" spans="2:40" x14ac:dyDescent="0.2">
      <c r="B172" s="54" t="s">
        <v>85</v>
      </c>
      <c r="C172" s="54"/>
      <c r="D172" s="54"/>
      <c r="E172" s="180"/>
      <c r="F172" s="180"/>
      <c r="G172" s="180"/>
      <c r="H172" s="132"/>
      <c r="I172" s="132"/>
      <c r="J172" s="132"/>
      <c r="K172" s="132"/>
      <c r="L172" s="132"/>
      <c r="P172" s="54"/>
      <c r="Q172" s="54"/>
      <c r="R172" s="17"/>
      <c r="S172" s="17"/>
      <c r="T172" s="17"/>
      <c r="AC172" s="54"/>
      <c r="AD172" s="54"/>
      <c r="AE172" s="17"/>
      <c r="AF172" s="17"/>
      <c r="AG172" s="17"/>
    </row>
    <row r="173" spans="2:40" x14ac:dyDescent="0.2">
      <c r="B173" s="49"/>
      <c r="C173" s="49"/>
      <c r="D173" s="49"/>
      <c r="E173" s="180"/>
      <c r="F173" s="180"/>
      <c r="G173" s="180"/>
      <c r="H173" s="132"/>
      <c r="I173" s="132"/>
      <c r="J173" s="132"/>
      <c r="K173" s="132"/>
      <c r="L173" s="132"/>
      <c r="P173" s="49"/>
      <c r="Q173" s="49"/>
      <c r="R173" s="17"/>
      <c r="S173" s="17"/>
      <c r="T173" s="17"/>
      <c r="AC173" s="49"/>
      <c r="AD173" s="49"/>
      <c r="AE173" s="17"/>
      <c r="AF173" s="17"/>
      <c r="AG173" s="17"/>
    </row>
    <row r="174" spans="2:40" x14ac:dyDescent="0.2">
      <c r="B174" s="49" t="s">
        <v>21</v>
      </c>
      <c r="C174" s="49"/>
      <c r="D174" s="49"/>
      <c r="E174" s="180" cm="1">
        <f t="array" ref="E174">_xlfn.SWITCH($C$11,1,R174,2,AE174)</f>
        <v>6420.4000000000005</v>
      </c>
      <c r="F174" s="180" cm="1">
        <f t="array" ref="F174">_xlfn.SWITCH($C$11,1,S174,2,AF174)</f>
        <v>7800.786000000001</v>
      </c>
      <c r="G174" s="180" cm="1">
        <f t="array" ref="G174">_xlfn.SWITCH($C$11,1,T174,2,AG174)</f>
        <v>9969.4045080000014</v>
      </c>
      <c r="H174" s="180" cm="1">
        <f t="array" ref="H174">_xlfn.SWITCH($C$11,1,U174,2,AH174)</f>
        <v>10467.874733400002</v>
      </c>
      <c r="I174" s="180" cm="1">
        <f t="array" ref="I174">_xlfn.SWITCH($C$11,1,V174,2,AI174)</f>
        <v>10991.268470070003</v>
      </c>
      <c r="J174" s="180" cm="1">
        <f t="array" ref="J174">_xlfn.SWITCH($C$11,1,W174,2,AJ174)</f>
        <v>11540.831893573504</v>
      </c>
      <c r="K174" s="180" cm="1">
        <f t="array" ref="K174">_xlfn.SWITCH($C$11,1,X174,2,AK174)</f>
        <v>12117.87348825218</v>
      </c>
      <c r="L174" s="180" cm="1">
        <f t="array" ref="L174">_xlfn.SWITCH($C$11,1,Y174,2,AL174)</f>
        <v>12723.76716266479</v>
      </c>
      <c r="P174" s="49"/>
      <c r="Q174" s="49"/>
      <c r="R174" s="17">
        <v>6420.4000000000005</v>
      </c>
      <c r="S174" s="17">
        <v>7800.786000000001</v>
      </c>
      <c r="T174" s="17">
        <v>9969.4045080000014</v>
      </c>
      <c r="U174" s="83">
        <f>U36*U$155</f>
        <v>10467.874733400002</v>
      </c>
      <c r="V174" s="83">
        <f>V36*V$155</f>
        <v>10991.268470070003</v>
      </c>
      <c r="W174" s="83">
        <f>W36*W$155</f>
        <v>11540.831893573504</v>
      </c>
      <c r="X174" s="83">
        <f>X36*X$155</f>
        <v>12117.87348825218</v>
      </c>
      <c r="Y174" s="83">
        <f>Y36*Y$155</f>
        <v>12723.76716266479</v>
      </c>
      <c r="AC174" s="49"/>
      <c r="AD174" s="49"/>
      <c r="AE174" s="17"/>
      <c r="AF174" s="17"/>
      <c r="AG174" s="17"/>
      <c r="AH174" s="83">
        <f>AH36*AH$155</f>
        <v>10467.874733400002</v>
      </c>
      <c r="AI174" s="83">
        <f>AI36*AI$155</f>
        <v>10991.268470070003</v>
      </c>
      <c r="AJ174" s="83">
        <f>AJ36*AJ$155</f>
        <v>11540.831893573504</v>
      </c>
      <c r="AK174" s="83">
        <f>AK36*AK$155</f>
        <v>12117.87348825218</v>
      </c>
      <c r="AL174" s="83">
        <f>AL36*AL$155</f>
        <v>12723.76716266479</v>
      </c>
    </row>
    <row r="175" spans="2:40" x14ac:dyDescent="0.2">
      <c r="B175" s="50" t="s">
        <v>22</v>
      </c>
      <c r="C175" s="50"/>
      <c r="D175" s="50"/>
      <c r="E175" s="180" cm="1">
        <f t="array" ref="E175">_xlfn.SWITCH($C$11,1,R175,2,AE175)</f>
        <v>0</v>
      </c>
      <c r="F175" s="180" cm="1">
        <f t="array" ref="F175">_xlfn.SWITCH($C$11,1,S175,2,AF175)</f>
        <v>0</v>
      </c>
      <c r="G175" s="180" cm="1">
        <f t="array" ref="G175">_xlfn.SWITCH($C$11,1,T175,2,AG175)</f>
        <v>0</v>
      </c>
      <c r="H175" s="180" cm="1">
        <f t="array" ref="H175">_xlfn.SWITCH($C$11,1,U175,2,AH175)</f>
        <v>900</v>
      </c>
      <c r="I175" s="180" cm="1">
        <f t="array" ref="I175">_xlfn.SWITCH($C$11,1,V175,2,AI175)</f>
        <v>792.77848374689017</v>
      </c>
      <c r="J175" s="180" cm="1">
        <f t="array" ref="J175">_xlfn.SWITCH($C$11,1,W175,2,AJ175)</f>
        <v>679.12367651859392</v>
      </c>
      <c r="K175" s="180" cm="1">
        <f t="array" ref="K175">_xlfn.SWITCH($C$11,1,X175,2,AK175)</f>
        <v>558.64958085659975</v>
      </c>
      <c r="L175" s="180" cm="1">
        <f t="array" ref="L175">_xlfn.SWITCH($C$11,1,Y175,2,AL175)</f>
        <v>430.94703945488578</v>
      </c>
      <c r="N175" s="70" t="s">
        <v>106</v>
      </c>
      <c r="P175" s="50"/>
      <c r="Q175" s="50"/>
      <c r="R175" s="17">
        <v>0</v>
      </c>
      <c r="S175" s="17">
        <v>0</v>
      </c>
      <c r="T175" s="17">
        <v>0</v>
      </c>
      <c r="U175" s="83">
        <f>-U67</f>
        <v>900</v>
      </c>
      <c r="V175" s="83">
        <f t="shared" ref="V175:Y175" si="371">-V67</f>
        <v>792.77848374689017</v>
      </c>
      <c r="W175" s="83">
        <f t="shared" si="371"/>
        <v>679.12367651859392</v>
      </c>
      <c r="X175" s="83">
        <f t="shared" si="371"/>
        <v>558.64958085659975</v>
      </c>
      <c r="Y175" s="83">
        <f t="shared" si="371"/>
        <v>430.94703945488578</v>
      </c>
      <c r="AA175" s="70" t="s">
        <v>106</v>
      </c>
      <c r="AC175" s="50"/>
      <c r="AD175" s="50"/>
      <c r="AE175" s="17"/>
      <c r="AF175" s="17"/>
      <c r="AG175" s="17"/>
      <c r="AH175" s="83">
        <f>-AH67</f>
        <v>900</v>
      </c>
      <c r="AI175" s="83">
        <f t="shared" ref="AI175:AL175" si="372">-AI67</f>
        <v>792.77848374689017</v>
      </c>
      <c r="AJ175" s="83">
        <f t="shared" si="372"/>
        <v>679.12367651859392</v>
      </c>
      <c r="AK175" s="83">
        <f t="shared" si="372"/>
        <v>558.64958085659975</v>
      </c>
      <c r="AL175" s="83">
        <f t="shared" si="372"/>
        <v>430.94703945488578</v>
      </c>
      <c r="AN175" s="70" t="s">
        <v>106</v>
      </c>
    </row>
    <row r="176" spans="2:40" x14ac:dyDescent="0.2">
      <c r="B176" s="50" t="s">
        <v>75</v>
      </c>
      <c r="C176" s="50"/>
      <c r="D176" s="50"/>
      <c r="E176" s="180" cm="1">
        <f t="array" ref="E176">_xlfn.SWITCH($C$11,1,R176,2,AE176)</f>
        <v>458.6</v>
      </c>
      <c r="F176" s="180" cm="1">
        <f t="array" ref="F176">_xlfn.SWITCH($C$11,1,S176,2,AF176)</f>
        <v>557.19900000000007</v>
      </c>
      <c r="G176" s="180" cm="1">
        <f t="array" ref="G176">_xlfn.SWITCH($C$11,1,T176,2,AG176)</f>
        <v>854.52038640000001</v>
      </c>
      <c r="H176" s="180" cm="1">
        <f t="array" ref="H176">_xlfn.SWITCH($C$11,1,U176,2,AH176)</f>
        <v>797.55236064000007</v>
      </c>
      <c r="I176" s="180" cm="1">
        <f t="array" ref="I176">_xlfn.SWITCH($C$11,1,V176,2,AI176)</f>
        <v>854.87643656099999</v>
      </c>
      <c r="J176" s="180" cm="1">
        <f t="array" ref="J176">_xlfn.SWITCH($C$11,1,W176,2,AJ176)</f>
        <v>922.04529943365026</v>
      </c>
      <c r="K176" s="180" cm="1">
        <f t="array" ref="K176">_xlfn.SWITCH($C$11,1,X176,2,AK176)</f>
        <v>944.63846239990517</v>
      </c>
      <c r="L176" s="180" cm="1">
        <f t="array" ref="L176">_xlfn.SWITCH($C$11,1,Y176,2,AL176)</f>
        <v>999.35055433980915</v>
      </c>
      <c r="P176" s="50"/>
      <c r="Q176" s="50"/>
      <c r="R176" s="17">
        <v>458.6</v>
      </c>
      <c r="S176" s="17">
        <v>557.19900000000007</v>
      </c>
      <c r="T176" s="17">
        <v>854.52038640000001</v>
      </c>
      <c r="U176" s="83">
        <f>U38*U$155</f>
        <v>797.55236064000007</v>
      </c>
      <c r="V176" s="83">
        <f>V38*V$155</f>
        <v>854.87643656099999</v>
      </c>
      <c r="W176" s="83">
        <f>W38*W$155</f>
        <v>922.04529943365026</v>
      </c>
      <c r="X176" s="83">
        <f>X38*X$155</f>
        <v>944.63846239990517</v>
      </c>
      <c r="Y176" s="83">
        <f>Y38*Y$155</f>
        <v>999.35055433980915</v>
      </c>
      <c r="AC176" s="50"/>
      <c r="AD176" s="50"/>
      <c r="AE176" s="17"/>
      <c r="AF176" s="17"/>
      <c r="AG176" s="17"/>
      <c r="AH176" s="83">
        <f>AH38*AH$155</f>
        <v>797.55236064000007</v>
      </c>
      <c r="AI176" s="83">
        <f>AI38*AI$155</f>
        <v>854.87643656099999</v>
      </c>
      <c r="AJ176" s="83">
        <f>AJ38*AJ$155</f>
        <v>922.04529943365026</v>
      </c>
      <c r="AK176" s="83">
        <f>AK38*AK$155</f>
        <v>944.63846239990517</v>
      </c>
      <c r="AL176" s="83">
        <f>AL38*AL$155</f>
        <v>999.35055433980915</v>
      </c>
    </row>
    <row r="177" spans="2:40" x14ac:dyDescent="0.2">
      <c r="B177" s="51" t="s">
        <v>23</v>
      </c>
      <c r="C177" s="51"/>
      <c r="D177" s="51"/>
      <c r="E177" s="25">
        <f>SUM(E174:E176)</f>
        <v>6879.0000000000009</v>
      </c>
      <c r="F177" s="25">
        <f t="shared" ref="F177:L177" si="373">SUM(F174:F176)</f>
        <v>8357.9850000000006</v>
      </c>
      <c r="G177" s="25">
        <f t="shared" si="373"/>
        <v>10823.924894400001</v>
      </c>
      <c r="H177" s="25">
        <f t="shared" si="373"/>
        <v>12165.427094040002</v>
      </c>
      <c r="I177" s="25">
        <f t="shared" si="373"/>
        <v>12638.923390377893</v>
      </c>
      <c r="J177" s="25">
        <f t="shared" si="373"/>
        <v>13142.000869525747</v>
      </c>
      <c r="K177" s="25">
        <f t="shared" si="373"/>
        <v>13621.161531508686</v>
      </c>
      <c r="L177" s="25">
        <f t="shared" si="373"/>
        <v>14154.064756459486</v>
      </c>
      <c r="P177" s="51"/>
      <c r="Q177" s="51"/>
      <c r="R177" s="22">
        <f>SUM(R174:R176)</f>
        <v>6879.0000000000009</v>
      </c>
      <c r="S177" s="22">
        <f t="shared" ref="S177:Y177" si="374">SUM(S174:S176)</f>
        <v>8357.9850000000006</v>
      </c>
      <c r="T177" s="22">
        <f t="shared" si="374"/>
        <v>10823.924894400001</v>
      </c>
      <c r="U177" s="22">
        <f t="shared" si="374"/>
        <v>12165.427094040002</v>
      </c>
      <c r="V177" s="22">
        <f t="shared" si="374"/>
        <v>12638.923390377893</v>
      </c>
      <c r="W177" s="22">
        <f t="shared" si="374"/>
        <v>13142.000869525747</v>
      </c>
      <c r="X177" s="22">
        <f t="shared" si="374"/>
        <v>13621.161531508686</v>
      </c>
      <c r="Y177" s="22">
        <f t="shared" si="374"/>
        <v>14154.064756459486</v>
      </c>
      <c r="AC177" s="51"/>
      <c r="AD177" s="51"/>
      <c r="AE177" s="22">
        <f>SUM(AE174:AE176)</f>
        <v>0</v>
      </c>
      <c r="AF177" s="22">
        <f t="shared" ref="AF177:AL177" si="375">SUM(AF174:AF176)</f>
        <v>0</v>
      </c>
      <c r="AG177" s="22">
        <f t="shared" si="375"/>
        <v>0</v>
      </c>
      <c r="AH177" s="22">
        <f t="shared" si="375"/>
        <v>12165.427094040002</v>
      </c>
      <c r="AI177" s="22">
        <f t="shared" si="375"/>
        <v>12638.923390377893</v>
      </c>
      <c r="AJ177" s="22">
        <f t="shared" si="375"/>
        <v>13142.000869525747</v>
      </c>
      <c r="AK177" s="22">
        <f t="shared" si="375"/>
        <v>13621.161531508686</v>
      </c>
      <c r="AL177" s="22">
        <f t="shared" si="375"/>
        <v>14154.064756459486</v>
      </c>
    </row>
    <row r="178" spans="2:40" x14ac:dyDescent="0.2">
      <c r="B178" s="55" t="s">
        <v>24</v>
      </c>
      <c r="C178" s="55"/>
      <c r="D178" s="55"/>
      <c r="E178" s="184">
        <f>E171-E177</f>
        <v>2705.7400000000007</v>
      </c>
      <c r="F178" s="184">
        <f t="shared" ref="F178:L178" si="376">F171-F177</f>
        <v>2384.8117199999942</v>
      </c>
      <c r="G178" s="184">
        <f t="shared" si="376"/>
        <v>3774.1317065999883</v>
      </c>
      <c r="H178" s="184">
        <f t="shared" si="376"/>
        <v>2958.1595445959974</v>
      </c>
      <c r="I178" s="184">
        <f t="shared" si="376"/>
        <v>3064.633355511005</v>
      </c>
      <c r="J178" s="184">
        <f t="shared" si="376"/>
        <v>3545.1871721449879</v>
      </c>
      <c r="K178" s="184">
        <f t="shared" si="376"/>
        <v>3826.2253813739117</v>
      </c>
      <c r="L178" s="184">
        <f t="shared" si="376"/>
        <v>4144.6722276833007</v>
      </c>
      <c r="P178" s="55"/>
      <c r="Q178" s="55"/>
      <c r="R178" s="12">
        <f>R171-R177</f>
        <v>2705.7400000000007</v>
      </c>
      <c r="S178" s="12">
        <f t="shared" ref="S178:Y178" si="377">S171-S177</f>
        <v>2384.8117199999942</v>
      </c>
      <c r="T178" s="12">
        <f t="shared" si="377"/>
        <v>3774.1317065999883</v>
      </c>
      <c r="U178" s="12">
        <f t="shared" si="377"/>
        <v>2958.1595445959974</v>
      </c>
      <c r="V178" s="12">
        <f t="shared" si="377"/>
        <v>3064.633355511005</v>
      </c>
      <c r="W178" s="12">
        <f t="shared" si="377"/>
        <v>3545.1871721449879</v>
      </c>
      <c r="X178" s="12">
        <f t="shared" si="377"/>
        <v>3826.2253813739117</v>
      </c>
      <c r="Y178" s="12">
        <f t="shared" si="377"/>
        <v>4144.6722276833007</v>
      </c>
      <c r="AC178" s="55"/>
      <c r="AD178" s="55"/>
      <c r="AE178" s="12">
        <f>AE171-AE177</f>
        <v>0</v>
      </c>
      <c r="AF178" s="12">
        <f t="shared" ref="AF178:AL178" si="378">AF171-AF177</f>
        <v>0</v>
      </c>
      <c r="AG178" s="12">
        <f t="shared" si="378"/>
        <v>0</v>
      </c>
      <c r="AH178" s="12">
        <f t="shared" si="378"/>
        <v>2958.1595445959974</v>
      </c>
      <c r="AI178" s="12">
        <f t="shared" si="378"/>
        <v>3064.633355511005</v>
      </c>
      <c r="AJ178" s="12">
        <f t="shared" si="378"/>
        <v>3545.1871721449879</v>
      </c>
      <c r="AK178" s="12">
        <f t="shared" si="378"/>
        <v>3826.2253813739117</v>
      </c>
      <c r="AL178" s="12">
        <f t="shared" si="378"/>
        <v>4144.6722276833007</v>
      </c>
    </row>
    <row r="179" spans="2:40" x14ac:dyDescent="0.2">
      <c r="B179" s="52"/>
      <c r="C179" s="52"/>
      <c r="D179" s="52"/>
      <c r="E179" s="182"/>
      <c r="F179" s="182"/>
      <c r="G179" s="182"/>
      <c r="H179" s="132"/>
      <c r="I179" s="132"/>
      <c r="J179" s="132"/>
      <c r="K179" s="132"/>
      <c r="L179" s="132"/>
      <c r="P179" s="52"/>
      <c r="Q179" s="52"/>
      <c r="R179" s="15"/>
      <c r="S179" s="15"/>
      <c r="T179" s="15"/>
      <c r="AC179" s="52"/>
      <c r="AD179" s="52"/>
      <c r="AE179" s="15"/>
      <c r="AF179" s="15"/>
      <c r="AG179" s="15"/>
    </row>
    <row r="180" spans="2:40" x14ac:dyDescent="0.2">
      <c r="B180" s="50" t="s">
        <v>25</v>
      </c>
      <c r="C180" s="50"/>
      <c r="D180" s="50"/>
      <c r="E180" s="180" cm="1">
        <f t="array" ref="E180">_xlfn.SWITCH($C$11,1,R180,2,AE180)</f>
        <v>947.00900000000013</v>
      </c>
      <c r="F180" s="180" cm="1">
        <f t="array" ref="F180">_xlfn.SWITCH($C$11,1,S180,2,AF180)</f>
        <v>834.68410199999789</v>
      </c>
      <c r="G180" s="180" cm="1">
        <f t="array" ref="G180">_xlfn.SWITCH($C$11,1,T180,2,AG180)</f>
        <v>1320.9460973099958</v>
      </c>
      <c r="H180" s="180" cm="1">
        <f t="array" ref="H180">_xlfn.SWITCH($C$11,1,U180,2,AH180)</f>
        <v>1035.355840608599</v>
      </c>
      <c r="I180" s="180" cm="1">
        <f t="array" ref="I180">_xlfn.SWITCH($C$11,1,V180,2,AI180)</f>
        <v>1072.6216744288517</v>
      </c>
      <c r="J180" s="180" cm="1">
        <f t="array" ref="J180">_xlfn.SWITCH($C$11,1,W180,2,AJ180)</f>
        <v>1240.8155102507458</v>
      </c>
      <c r="K180" s="180" cm="1">
        <f t="array" ref="K180">_xlfn.SWITCH($C$11,1,X180,2,AK180)</f>
        <v>1339.178883480869</v>
      </c>
      <c r="L180" s="180" cm="1">
        <f t="array" ref="L180">_xlfn.SWITCH($C$11,1,Y180,2,AL180)</f>
        <v>1450.6352796891551</v>
      </c>
      <c r="P180" s="50"/>
      <c r="Q180" s="50"/>
      <c r="R180" s="17">
        <v>947.00900000000013</v>
      </c>
      <c r="S180" s="17">
        <v>834.68410199999789</v>
      </c>
      <c r="T180" s="17">
        <v>1320.9460973099958</v>
      </c>
      <c r="U180" s="84">
        <f>IF(U178&gt;0,U178*U40,0)</f>
        <v>1035.355840608599</v>
      </c>
      <c r="V180" s="84">
        <f>IF(V178&gt;0,V178*V40,0)</f>
        <v>1072.6216744288517</v>
      </c>
      <c r="W180" s="84">
        <f>IF(W178&gt;0,W178*W40,0)</f>
        <v>1240.8155102507458</v>
      </c>
      <c r="X180" s="84">
        <f>IF(X178&gt;0,X178*X40,0)</f>
        <v>1339.178883480869</v>
      </c>
      <c r="Y180" s="84">
        <f>IF(Y178&gt;0,Y178*Y40,0)</f>
        <v>1450.6352796891551</v>
      </c>
      <c r="AC180" s="50"/>
      <c r="AD180" s="50"/>
      <c r="AE180" s="17"/>
      <c r="AF180" s="17"/>
      <c r="AG180" s="17"/>
      <c r="AH180" s="84">
        <f>IF(AH178&gt;0,AH178*AH40,0)</f>
        <v>1035.355840608599</v>
      </c>
      <c r="AI180" s="84">
        <f>IF(AI178&gt;0,AI178*AI40,0)</f>
        <v>1072.6216744288517</v>
      </c>
      <c r="AJ180" s="84">
        <f>IF(AJ178&gt;0,AJ178*AJ40,0)</f>
        <v>1240.8155102507458</v>
      </c>
      <c r="AK180" s="84">
        <f>IF(AK178&gt;0,AK178*AK40,0)</f>
        <v>1339.178883480869</v>
      </c>
      <c r="AL180" s="84">
        <f>IF(AL178&gt;0,AL178*AL40,0)</f>
        <v>1450.6352796891551</v>
      </c>
    </row>
    <row r="181" spans="2:40" ht="10.8" thickBot="1" x14ac:dyDescent="0.25">
      <c r="B181" s="56" t="s">
        <v>26</v>
      </c>
      <c r="C181" s="56"/>
      <c r="D181" s="56"/>
      <c r="E181" s="185">
        <f>E178-E180</f>
        <v>1758.7310000000007</v>
      </c>
      <c r="F181" s="185">
        <f t="shared" ref="F181:L181" si="379">F178-F180</f>
        <v>1550.1276179999963</v>
      </c>
      <c r="G181" s="185">
        <f t="shared" si="379"/>
        <v>2453.1856092899925</v>
      </c>
      <c r="H181" s="185">
        <f t="shared" si="379"/>
        <v>1922.8037039873984</v>
      </c>
      <c r="I181" s="185">
        <f t="shared" si="379"/>
        <v>1992.0116810821532</v>
      </c>
      <c r="J181" s="185">
        <f t="shared" si="379"/>
        <v>2304.3716618942422</v>
      </c>
      <c r="K181" s="185">
        <f t="shared" si="379"/>
        <v>2487.0464978930427</v>
      </c>
      <c r="L181" s="185">
        <f t="shared" si="379"/>
        <v>2694.0369479941455</v>
      </c>
      <c r="P181" s="56"/>
      <c r="Q181" s="56"/>
      <c r="R181" s="24">
        <f>R178-R180</f>
        <v>1758.7310000000007</v>
      </c>
      <c r="S181" s="24">
        <f t="shared" ref="S181:Y181" si="380">S178-S180</f>
        <v>1550.1276179999963</v>
      </c>
      <c r="T181" s="24">
        <f t="shared" si="380"/>
        <v>2453.1856092899925</v>
      </c>
      <c r="U181" s="24">
        <f t="shared" si="380"/>
        <v>1922.8037039873984</v>
      </c>
      <c r="V181" s="24">
        <f t="shared" si="380"/>
        <v>1992.0116810821532</v>
      </c>
      <c r="W181" s="24">
        <f t="shared" si="380"/>
        <v>2304.3716618942422</v>
      </c>
      <c r="X181" s="24">
        <f t="shared" si="380"/>
        <v>2487.0464978930427</v>
      </c>
      <c r="Y181" s="24">
        <f t="shared" si="380"/>
        <v>2694.0369479941455</v>
      </c>
      <c r="AC181" s="56"/>
      <c r="AD181" s="56"/>
      <c r="AE181" s="24">
        <f>AE178-AE180</f>
        <v>0</v>
      </c>
      <c r="AF181" s="24">
        <f t="shared" ref="AF181:AL181" si="381">AF178-AF180</f>
        <v>0</v>
      </c>
      <c r="AG181" s="24">
        <f t="shared" si="381"/>
        <v>0</v>
      </c>
      <c r="AH181" s="24">
        <f t="shared" si="381"/>
        <v>1922.8037039873984</v>
      </c>
      <c r="AI181" s="24">
        <f t="shared" si="381"/>
        <v>1992.0116810821532</v>
      </c>
      <c r="AJ181" s="24">
        <f t="shared" si="381"/>
        <v>2304.3716618942422</v>
      </c>
      <c r="AK181" s="24">
        <f t="shared" si="381"/>
        <v>2487.0464978930427</v>
      </c>
      <c r="AL181" s="24">
        <f t="shared" si="381"/>
        <v>2694.0369479941455</v>
      </c>
    </row>
    <row r="182" spans="2:40" ht="10.8" thickTop="1" x14ac:dyDescent="0.2">
      <c r="B182" s="54" t="s">
        <v>86</v>
      </c>
      <c r="C182" s="54"/>
      <c r="D182" s="54"/>
      <c r="E182" s="134"/>
      <c r="F182" s="134"/>
      <c r="G182" s="134"/>
      <c r="H182" s="132"/>
      <c r="I182" s="132"/>
      <c r="J182" s="132"/>
      <c r="K182" s="132"/>
      <c r="L182" s="132"/>
      <c r="P182" s="54"/>
      <c r="Q182" s="54"/>
      <c r="R182" s="4"/>
      <c r="S182" s="4"/>
      <c r="T182" s="4"/>
      <c r="AC182" s="54"/>
      <c r="AD182" s="54"/>
      <c r="AE182" s="4"/>
      <c r="AF182" s="4"/>
      <c r="AG182" s="4"/>
    </row>
    <row r="183" spans="2:40" x14ac:dyDescent="0.2">
      <c r="B183" s="57"/>
      <c r="C183" s="57"/>
      <c r="D183" s="57"/>
      <c r="E183" s="134"/>
      <c r="F183" s="134"/>
      <c r="G183" s="134"/>
      <c r="H183" s="132"/>
      <c r="I183" s="132"/>
      <c r="J183" s="132"/>
      <c r="K183" s="132"/>
      <c r="L183" s="132"/>
      <c r="P183" s="57"/>
      <c r="Q183" s="57"/>
      <c r="R183" s="4"/>
      <c r="S183" s="4"/>
      <c r="T183" s="4"/>
      <c r="AC183" s="57"/>
      <c r="AD183" s="57"/>
      <c r="AE183" s="4"/>
      <c r="AF183" s="4"/>
      <c r="AG183" s="4"/>
    </row>
    <row r="184" spans="2:40" x14ac:dyDescent="0.2">
      <c r="B184" s="48" t="s">
        <v>27</v>
      </c>
      <c r="C184" s="48"/>
      <c r="D184" s="48"/>
      <c r="E184" s="36">
        <f>E$7</f>
        <v>2020</v>
      </c>
      <c r="F184" s="36">
        <f t="shared" ref="F184:L184" si="382">F$7</f>
        <v>2021</v>
      </c>
      <c r="G184" s="36">
        <f t="shared" si="382"/>
        <v>2022</v>
      </c>
      <c r="H184" s="36">
        <f t="shared" si="382"/>
        <v>2023</v>
      </c>
      <c r="I184" s="36">
        <f t="shared" si="382"/>
        <v>2024</v>
      </c>
      <c r="J184" s="36">
        <f t="shared" si="382"/>
        <v>2025</v>
      </c>
      <c r="K184" s="36">
        <f t="shared" si="382"/>
        <v>2026</v>
      </c>
      <c r="L184" s="36">
        <f t="shared" si="382"/>
        <v>2027</v>
      </c>
      <c r="P184" s="48"/>
      <c r="Q184" s="48"/>
      <c r="R184" s="36">
        <f>R$7</f>
        <v>2020</v>
      </c>
      <c r="S184" s="36">
        <f t="shared" ref="S184:Y184" si="383">S$7</f>
        <v>2021</v>
      </c>
      <c r="T184" s="36">
        <f t="shared" si="383"/>
        <v>2022</v>
      </c>
      <c r="U184" s="36">
        <f t="shared" si="383"/>
        <v>2023</v>
      </c>
      <c r="V184" s="36">
        <f t="shared" si="383"/>
        <v>2024</v>
      </c>
      <c r="W184" s="36">
        <f t="shared" si="383"/>
        <v>2025</v>
      </c>
      <c r="X184" s="36">
        <f t="shared" si="383"/>
        <v>2026</v>
      </c>
      <c r="Y184" s="36">
        <f t="shared" si="383"/>
        <v>2027</v>
      </c>
      <c r="AC184" s="48"/>
      <c r="AD184" s="48"/>
      <c r="AE184" s="36">
        <f>AE$7</f>
        <v>2020</v>
      </c>
      <c r="AF184" s="36">
        <f t="shared" ref="AF184:AL184" si="384">AF$7</f>
        <v>2021</v>
      </c>
      <c r="AG184" s="36">
        <f t="shared" si="384"/>
        <v>2022</v>
      </c>
      <c r="AH184" s="36">
        <f t="shared" si="384"/>
        <v>2023</v>
      </c>
      <c r="AI184" s="36">
        <f t="shared" si="384"/>
        <v>2024</v>
      </c>
      <c r="AJ184" s="36">
        <f t="shared" si="384"/>
        <v>2025</v>
      </c>
      <c r="AK184" s="36">
        <f t="shared" si="384"/>
        <v>2026</v>
      </c>
      <c r="AL184" s="36">
        <f t="shared" si="384"/>
        <v>2027</v>
      </c>
    </row>
    <row r="185" spans="2:40" x14ac:dyDescent="0.2">
      <c r="B185" s="58" t="s">
        <v>28</v>
      </c>
      <c r="C185" s="58"/>
      <c r="D185" s="58"/>
      <c r="E185" s="180"/>
      <c r="F185" s="180"/>
      <c r="G185" s="180"/>
      <c r="H185" s="132"/>
      <c r="I185" s="132"/>
      <c r="J185" s="132"/>
      <c r="K185" s="132"/>
      <c r="L185" s="132"/>
      <c r="P185" s="58"/>
      <c r="Q185" s="58"/>
      <c r="R185" s="26"/>
      <c r="S185" s="26"/>
      <c r="T185" s="26"/>
      <c r="AC185" s="58"/>
      <c r="AD185" s="58"/>
      <c r="AE185" s="26"/>
      <c r="AF185" s="26"/>
      <c r="AG185" s="26"/>
    </row>
    <row r="186" spans="2:40" x14ac:dyDescent="0.2">
      <c r="B186" s="49" t="s">
        <v>29</v>
      </c>
      <c r="C186" s="49"/>
      <c r="D186" s="49"/>
      <c r="E186" s="180" cm="1">
        <f t="array" ref="E186">_xlfn.SWITCH($C$11,1,R186,2,AE186)</f>
        <v>11303.331000000004</v>
      </c>
      <c r="F186" s="180" cm="1">
        <f t="array" ref="F186">_xlfn.SWITCH($C$11,1,S186,2,AF186)</f>
        <v>12362.585517999996</v>
      </c>
      <c r="G186" s="180" cm="1">
        <f t="array" ref="G186">_xlfn.SWITCH($C$11,1,T186,2,AG186)</f>
        <v>16955.641651289992</v>
      </c>
      <c r="H186" s="180" cm="1">
        <f t="array" ref="H186">_xlfn.SWITCH($C$11,1,U186,2,AH186)</f>
        <v>17741.012748139394</v>
      </c>
      <c r="I186" s="180" cm="1">
        <f t="array" ref="I186">_xlfn.SWITCH($C$11,1,V186,2,AI186)</f>
        <v>7129.7325934911023</v>
      </c>
      <c r="J186" s="180" cm="1">
        <f t="array" ref="J186">_xlfn.SWITCH($C$11,1,W186,2,AJ186)</f>
        <v>-2492.1564585663891</v>
      </c>
      <c r="K186" s="180" cm="1">
        <f t="array" ref="K186">_xlfn.SWITCH($C$11,1,X186,2,AK186)</f>
        <v>-12905.528487311838</v>
      </c>
      <c r="L186" s="180" cm="1">
        <f t="array" ref="L186">_xlfn.SWITCH($C$11,1,Y186,2,AL186)</f>
        <v>-12186.379026444461</v>
      </c>
      <c r="N186" s="39" t="s">
        <v>45</v>
      </c>
      <c r="P186" s="49"/>
      <c r="Q186" s="49"/>
      <c r="R186" s="17">
        <v>11303.331000000004</v>
      </c>
      <c r="S186" s="17">
        <v>12362.585517999996</v>
      </c>
      <c r="T186" s="17">
        <v>16955.641651289992</v>
      </c>
      <c r="U186" s="83">
        <f>U232</f>
        <v>17741.012748139394</v>
      </c>
      <c r="V186" s="83">
        <f t="shared" ref="V186:Y186" si="385">V232</f>
        <v>7129.7325934911023</v>
      </c>
      <c r="W186" s="83">
        <f t="shared" si="385"/>
        <v>-2492.1564585663891</v>
      </c>
      <c r="X186" s="83">
        <f t="shared" si="385"/>
        <v>-12905.528487311838</v>
      </c>
      <c r="Y186" s="83">
        <f t="shared" si="385"/>
        <v>-12186.379026444461</v>
      </c>
      <c r="AA186" s="39" t="s">
        <v>45</v>
      </c>
      <c r="AC186" s="49"/>
      <c r="AD186" s="49"/>
      <c r="AE186" s="17"/>
      <c r="AF186" s="17"/>
      <c r="AG186" s="17"/>
      <c r="AH186" s="83">
        <f>AH232</f>
        <v>-5236.2278110241805</v>
      </c>
      <c r="AI186" s="83">
        <f t="shared" ref="AI186:AL186" si="386">AI232</f>
        <v>-15197.915301925308</v>
      </c>
      <c r="AJ186" s="83">
        <f t="shared" si="386"/>
        <v>-25469.397017729963</v>
      </c>
      <c r="AK186" s="83">
        <f t="shared" si="386"/>
        <v>-35233.176382728248</v>
      </c>
      <c r="AL186" s="83">
        <f t="shared" si="386"/>
        <v>-35163.619585608038</v>
      </c>
      <c r="AN186" s="39" t="s">
        <v>45</v>
      </c>
    </row>
    <row r="187" spans="2:40" x14ac:dyDescent="0.2">
      <c r="B187" s="49" t="s">
        <v>30</v>
      </c>
      <c r="C187" s="49"/>
      <c r="D187" s="49"/>
      <c r="E187" s="180" cm="1">
        <f t="array" ref="E187">_xlfn.SWITCH($C$11,1,R187,2,AE187)</f>
        <v>8254.7999999999993</v>
      </c>
      <c r="F187" s="180" cm="1">
        <f t="array" ref="F187">_xlfn.SWITCH($C$11,1,S187,2,AF187)</f>
        <v>10029.582</v>
      </c>
      <c r="G187" s="180" cm="1">
        <f t="array" ref="G187">_xlfn.SWITCH($C$11,1,T187,2,AG187)</f>
        <v>12817.805796000001</v>
      </c>
      <c r="H187" s="180" cm="1">
        <f t="array" ref="H187">_xlfn.SWITCH($C$11,1,U187,2,AH187)</f>
        <v>12329.848058399999</v>
      </c>
      <c r="I187" s="180" cm="1">
        <f t="array" ref="I187">_xlfn.SWITCH($C$11,1,V187,2,AI187)</f>
        <v>13455.780077700001</v>
      </c>
      <c r="J187" s="180" cm="1">
        <f t="array" ref="J187">_xlfn.SWITCH($C$11,1,W187,2,AJ187)</f>
        <v>13627.188327208503</v>
      </c>
      <c r="K187" s="180" cm="1">
        <f t="array" ref="K187">_xlfn.SWITCH($C$11,1,X187,2,AK187)</f>
        <v>15031.91988559283</v>
      </c>
      <c r="L187" s="180" cm="1">
        <f t="array" ref="L187">_xlfn.SWITCH($C$11,1,Y187,2,AL187)</f>
        <v>14901.788134709102</v>
      </c>
      <c r="N187" s="39" t="s">
        <v>126</v>
      </c>
      <c r="P187" s="49"/>
      <c r="Q187" s="49"/>
      <c r="R187" s="17">
        <v>8254.7999999999993</v>
      </c>
      <c r="S187" s="17">
        <v>10029.582</v>
      </c>
      <c r="T187" s="17">
        <v>12817.805796000001</v>
      </c>
      <c r="U187" s="83">
        <f>U89</f>
        <v>12329.848058399999</v>
      </c>
      <c r="V187" s="83">
        <f t="shared" ref="V187:Y187" si="387">V89</f>
        <v>13455.780077700001</v>
      </c>
      <c r="W187" s="83">
        <f t="shared" si="387"/>
        <v>13627.188327208503</v>
      </c>
      <c r="X187" s="83">
        <f t="shared" si="387"/>
        <v>15031.91988559283</v>
      </c>
      <c r="Y187" s="83">
        <f t="shared" si="387"/>
        <v>14901.788134709102</v>
      </c>
      <c r="AA187" s="39" t="s">
        <v>126</v>
      </c>
      <c r="AC187" s="49"/>
      <c r="AD187" s="49"/>
      <c r="AE187" s="17"/>
      <c r="AF187" s="17"/>
      <c r="AG187" s="17"/>
      <c r="AH187" s="83">
        <f>AH89</f>
        <v>12573.8269272</v>
      </c>
      <c r="AI187" s="83">
        <f t="shared" ref="AI187:AL187" si="388">AI89</f>
        <v>13211.8012089</v>
      </c>
      <c r="AJ187" s="83">
        <f t="shared" si="388"/>
        <v>13871.167196008504</v>
      </c>
      <c r="AK187" s="83">
        <f t="shared" si="388"/>
        <v>14787.941016792829</v>
      </c>
      <c r="AL187" s="83">
        <f t="shared" si="388"/>
        <v>15145.767003509103</v>
      </c>
      <c r="AN187" s="39" t="s">
        <v>126</v>
      </c>
    </row>
    <row r="188" spans="2:40" x14ac:dyDescent="0.2">
      <c r="B188" s="49" t="s">
        <v>31</v>
      </c>
      <c r="C188" s="49"/>
      <c r="D188" s="49"/>
      <c r="E188" s="180" cm="1">
        <f t="array" ref="E188">_xlfn.SWITCH($C$11,1,R188,2,AE188)</f>
        <v>0</v>
      </c>
      <c r="F188" s="180" cm="1">
        <f t="array" ref="F188">_xlfn.SWITCH($C$11,1,S188,2,AF188)</f>
        <v>0</v>
      </c>
      <c r="G188" s="180" cm="1">
        <f t="array" ref="G188">_xlfn.SWITCH($C$11,1,T188,2,AG188)</f>
        <v>0</v>
      </c>
      <c r="H188" s="180" cm="1">
        <f t="array" ref="H188">_xlfn.SWITCH($C$11,1,U188,2,AH188)</f>
        <v>0</v>
      </c>
      <c r="I188" s="180" cm="1">
        <f t="array" ref="I188">_xlfn.SWITCH($C$11,1,V188,2,AI188)</f>
        <v>0</v>
      </c>
      <c r="J188" s="180" cm="1">
        <f t="array" ref="J188">_xlfn.SWITCH($C$11,1,W188,2,AJ188)</f>
        <v>0</v>
      </c>
      <c r="K188" s="180" cm="1">
        <f t="array" ref="K188">_xlfn.SWITCH($C$11,1,X188,2,AK188)</f>
        <v>0</v>
      </c>
      <c r="L188" s="180" cm="1">
        <f t="array" ref="L188">_xlfn.SWITCH($C$11,1,Y188,2,AL188)</f>
        <v>0</v>
      </c>
      <c r="N188" s="39" t="s">
        <v>152</v>
      </c>
      <c r="P188" s="49"/>
      <c r="Q188" s="49"/>
      <c r="R188" s="17">
        <v>0</v>
      </c>
      <c r="S188" s="17">
        <v>0</v>
      </c>
      <c r="T188" s="17">
        <v>0</v>
      </c>
      <c r="U188" s="83">
        <f>T188</f>
        <v>0</v>
      </c>
      <c r="V188" s="83">
        <f t="shared" ref="V188" si="389">U188</f>
        <v>0</v>
      </c>
      <c r="W188" s="83">
        <f t="shared" ref="W188" si="390">V188</f>
        <v>0</v>
      </c>
      <c r="X188" s="83">
        <f t="shared" ref="X188" si="391">W188</f>
        <v>0</v>
      </c>
      <c r="Y188" s="83">
        <f t="shared" ref="Y188" si="392">X188</f>
        <v>0</v>
      </c>
      <c r="AA188" s="39" t="s">
        <v>152</v>
      </c>
      <c r="AC188" s="49"/>
      <c r="AD188" s="49"/>
      <c r="AE188" s="17"/>
      <c r="AF188" s="17"/>
      <c r="AG188" s="17"/>
      <c r="AH188" s="83">
        <f>AG188</f>
        <v>0</v>
      </c>
      <c r="AI188" s="83">
        <f t="shared" ref="AI188" si="393">AH188</f>
        <v>0</v>
      </c>
      <c r="AJ188" s="83">
        <f t="shared" ref="AJ188" si="394">AI188</f>
        <v>0</v>
      </c>
      <c r="AK188" s="83">
        <f t="shared" ref="AK188" si="395">AJ188</f>
        <v>0</v>
      </c>
      <c r="AL188" s="83">
        <f t="shared" ref="AL188" si="396">AK188</f>
        <v>0</v>
      </c>
      <c r="AN188" s="39" t="s">
        <v>152</v>
      </c>
    </row>
    <row r="189" spans="2:40" x14ac:dyDescent="0.2">
      <c r="B189" s="49" t="s">
        <v>32</v>
      </c>
      <c r="C189" s="49"/>
      <c r="D189" s="49"/>
      <c r="E189" s="180" cm="1">
        <f t="array" ref="E189">_xlfn.SWITCH($C$11,1,R189,2,AE189)</f>
        <v>8025.4999999999991</v>
      </c>
      <c r="F189" s="180" cm="1">
        <f t="array" ref="F189">_xlfn.SWITCH($C$11,1,S189,2,AF189)</f>
        <v>9528.1029000000017</v>
      </c>
      <c r="G189" s="180" cm="1">
        <f t="array" ref="G189">_xlfn.SWITCH($C$11,1,T189,2,AG189)</f>
        <v>12746.5957638</v>
      </c>
      <c r="H189" s="180" cm="1">
        <f t="array" ref="H189">_xlfn.SWITCH($C$11,1,U189,2,AH189)</f>
        <v>11710.826420563248</v>
      </c>
      <c r="I189" s="180" cm="1">
        <f t="array" ref="I189">_xlfn.SWITCH($C$11,1,V189,2,AI189)</f>
        <v>13297.39389298543</v>
      </c>
      <c r="J189" s="180" cm="1">
        <f t="array" ref="J189">_xlfn.SWITCH($C$11,1,W189,2,AJ189)</f>
        <v>13057.224469500008</v>
      </c>
      <c r="K189" s="180" cm="1">
        <f t="array" ref="K189">_xlfn.SWITCH($C$11,1,X189,2,AK189)</f>
        <v>14800.037985258834</v>
      </c>
      <c r="L189" s="180" cm="1">
        <f t="array" ref="L189">_xlfn.SWITCH($C$11,1,Y189,2,AL189)</f>
        <v>14285.984913569169</v>
      </c>
      <c r="N189" s="39" t="s">
        <v>126</v>
      </c>
      <c r="P189" s="49"/>
      <c r="Q189" s="49"/>
      <c r="R189" s="17">
        <v>8025.4999999999991</v>
      </c>
      <c r="S189" s="17">
        <v>9528.1029000000017</v>
      </c>
      <c r="T189" s="17">
        <v>12746.5957638</v>
      </c>
      <c r="U189" s="83">
        <f>U97</f>
        <v>11710.826420563248</v>
      </c>
      <c r="V189" s="83">
        <f t="shared" ref="V189:Y189" si="397">V97</f>
        <v>13297.39389298543</v>
      </c>
      <c r="W189" s="83">
        <f t="shared" si="397"/>
        <v>13057.224469500008</v>
      </c>
      <c r="X189" s="83">
        <f t="shared" si="397"/>
        <v>14800.037985258834</v>
      </c>
      <c r="Y189" s="83">
        <f t="shared" si="397"/>
        <v>14285.984913569169</v>
      </c>
      <c r="AA189" s="39" t="s">
        <v>126</v>
      </c>
      <c r="AC189" s="49"/>
      <c r="AD189" s="49"/>
      <c r="AE189" s="17"/>
      <c r="AF189" s="17"/>
      <c r="AG189" s="17"/>
      <c r="AH189" s="83">
        <f>AH97</f>
        <v>12228.711092181624</v>
      </c>
      <c r="AI189" s="83">
        <f t="shared" ref="AI189:AL189" si="398">AI97</f>
        <v>12779.509221367054</v>
      </c>
      <c r="AJ189" s="83">
        <f t="shared" si="398"/>
        <v>13575.109141118384</v>
      </c>
      <c r="AK189" s="83">
        <f t="shared" si="398"/>
        <v>14282.153313640458</v>
      </c>
      <c r="AL189" s="83">
        <f t="shared" si="398"/>
        <v>14803.869585187545</v>
      </c>
      <c r="AN189" s="39" t="s">
        <v>126</v>
      </c>
    </row>
    <row r="190" spans="2:40" x14ac:dyDescent="0.2">
      <c r="B190" s="49" t="s">
        <v>33</v>
      </c>
      <c r="C190" s="49"/>
      <c r="D190" s="49"/>
      <c r="E190" s="180" cm="1">
        <f t="array" ref="E190">_xlfn.SWITCH($C$11,1,R190,2,AE190)</f>
        <v>62844</v>
      </c>
      <c r="F190" s="180" cm="1">
        <f t="array" ref="F190">_xlfn.SWITCH($C$11,1,S190,2,AF190)</f>
        <v>63159</v>
      </c>
      <c r="G190" s="180" cm="1">
        <f t="array" ref="G190">_xlfn.SWITCH($C$11,1,T190,2,AG190)</f>
        <v>59167</v>
      </c>
      <c r="H190" s="180" cm="1">
        <f t="array" ref="H190">_xlfn.SWITCH($C$11,1,U190,2,AH190)</f>
        <v>79167</v>
      </c>
      <c r="I190" s="180" cm="1">
        <f t="array" ref="I190">_xlfn.SWITCH($C$11,1,V190,2,AI190)</f>
        <v>79167</v>
      </c>
      <c r="J190" s="180" cm="1">
        <f t="array" ref="J190">_xlfn.SWITCH($C$11,1,W190,2,AJ190)</f>
        <v>79167</v>
      </c>
      <c r="K190" s="180" cm="1">
        <f t="array" ref="K190">_xlfn.SWITCH($C$11,1,X190,2,AK190)</f>
        <v>79167</v>
      </c>
      <c r="L190" s="180" cm="1">
        <f t="array" ref="L190">_xlfn.SWITCH($C$11,1,Y190,2,AL190)</f>
        <v>79167</v>
      </c>
      <c r="N190" s="39" t="s">
        <v>153</v>
      </c>
      <c r="P190" s="49"/>
      <c r="Q190" s="49"/>
      <c r="R190" s="17">
        <v>62844</v>
      </c>
      <c r="S190" s="17">
        <v>63159</v>
      </c>
      <c r="T190" s="17">
        <v>59167</v>
      </c>
      <c r="U190" s="83">
        <f>U116</f>
        <v>79167</v>
      </c>
      <c r="V190" s="83">
        <f t="shared" ref="V190:Y190" si="399">V116</f>
        <v>79167</v>
      </c>
      <c r="W190" s="83">
        <f t="shared" si="399"/>
        <v>79167</v>
      </c>
      <c r="X190" s="83">
        <f t="shared" si="399"/>
        <v>79167</v>
      </c>
      <c r="Y190" s="83">
        <f t="shared" si="399"/>
        <v>79167</v>
      </c>
      <c r="AA190" s="39" t="s">
        <v>153</v>
      </c>
      <c r="AC190" s="49"/>
      <c r="AD190" s="49"/>
      <c r="AE190" s="17"/>
      <c r="AF190" s="17"/>
      <c r="AG190" s="17"/>
      <c r="AH190" s="83">
        <f>AH116</f>
        <v>22500</v>
      </c>
      <c r="AI190" s="83">
        <f t="shared" ref="AI190:AL190" si="400">AI116</f>
        <v>22500</v>
      </c>
      <c r="AJ190" s="83">
        <f t="shared" si="400"/>
        <v>22500</v>
      </c>
      <c r="AK190" s="83">
        <f t="shared" si="400"/>
        <v>22500</v>
      </c>
      <c r="AL190" s="83">
        <f t="shared" si="400"/>
        <v>22500</v>
      </c>
      <c r="AN190" s="39" t="s">
        <v>153</v>
      </c>
    </row>
    <row r="191" spans="2:40" x14ac:dyDescent="0.2">
      <c r="B191" s="49" t="s">
        <v>76</v>
      </c>
      <c r="C191" s="49"/>
      <c r="D191" s="49"/>
      <c r="E191" s="180" cm="1">
        <f t="array" ref="E191">_xlfn.SWITCH($C$11,1,R191,2,AE191)</f>
        <v>0</v>
      </c>
      <c r="F191" s="180" cm="1">
        <f t="array" ref="F191">_xlfn.SWITCH($C$11,1,S191,2,AF191)</f>
        <v>0</v>
      </c>
      <c r="G191" s="180" cm="1">
        <f t="array" ref="G191">_xlfn.SWITCH($C$11,1,T191,2,AG191)</f>
        <v>0</v>
      </c>
      <c r="H191" s="180" cm="1">
        <f t="array" ref="H191">_xlfn.SWITCH($C$11,1,U191,2,AH191)</f>
        <v>20000</v>
      </c>
      <c r="I191" s="180" cm="1">
        <f t="array" ref="I191">_xlfn.SWITCH($C$11,1,V191,2,AI191)</f>
        <v>20000</v>
      </c>
      <c r="J191" s="180" cm="1">
        <f t="array" ref="J191">_xlfn.SWITCH($C$11,1,W191,2,AJ191)</f>
        <v>20000</v>
      </c>
      <c r="K191" s="180" cm="1">
        <f t="array" ref="K191">_xlfn.SWITCH($C$11,1,X191,2,AK191)</f>
        <v>20000</v>
      </c>
      <c r="L191" s="180" cm="1">
        <f t="array" ref="L191">_xlfn.SWITCH($C$11,1,Y191,2,AL191)</f>
        <v>20000</v>
      </c>
      <c r="N191" s="39" t="s">
        <v>154</v>
      </c>
      <c r="P191" s="49"/>
      <c r="Q191" s="49"/>
      <c r="R191" s="17">
        <v>0</v>
      </c>
      <c r="S191" s="17">
        <v>0</v>
      </c>
      <c r="T191" s="17">
        <v>0</v>
      </c>
      <c r="U191" s="83">
        <f>U126</f>
        <v>20000</v>
      </c>
      <c r="V191" s="83">
        <f t="shared" ref="V191:Y191" si="401">V126</f>
        <v>20000</v>
      </c>
      <c r="W191" s="83">
        <f t="shared" si="401"/>
        <v>20000</v>
      </c>
      <c r="X191" s="83">
        <f t="shared" si="401"/>
        <v>20000</v>
      </c>
      <c r="Y191" s="83">
        <f t="shared" si="401"/>
        <v>20000</v>
      </c>
      <c r="AA191" s="39" t="s">
        <v>154</v>
      </c>
      <c r="AC191" s="49"/>
      <c r="AD191" s="49"/>
      <c r="AE191" s="17"/>
      <c r="AF191" s="17"/>
      <c r="AG191" s="17"/>
      <c r="AH191" s="83">
        <f>AH126</f>
        <v>22500</v>
      </c>
      <c r="AI191" s="83">
        <f t="shared" ref="AI191:AL191" si="402">AI126</f>
        <v>22500</v>
      </c>
      <c r="AJ191" s="83">
        <f t="shared" si="402"/>
        <v>22500</v>
      </c>
      <c r="AK191" s="83">
        <f t="shared" si="402"/>
        <v>22500</v>
      </c>
      <c r="AL191" s="83">
        <f t="shared" si="402"/>
        <v>22500</v>
      </c>
      <c r="AN191" s="39" t="s">
        <v>154</v>
      </c>
    </row>
    <row r="192" spans="2:40" x14ac:dyDescent="0.2">
      <c r="B192" s="49" t="s">
        <v>77</v>
      </c>
      <c r="C192" s="49"/>
      <c r="D192" s="49"/>
      <c r="E192" s="180" cm="1">
        <f t="array" ref="E192">_xlfn.SWITCH($C$11,1,R192,2,AE192)</f>
        <v>0</v>
      </c>
      <c r="F192" s="180" cm="1">
        <f t="array" ref="F192">_xlfn.SWITCH($C$11,1,S192,2,AF192)</f>
        <v>0</v>
      </c>
      <c r="G192" s="180" cm="1">
        <f t="array" ref="G192">_xlfn.SWITCH($C$11,1,T192,2,AG192)</f>
        <v>0</v>
      </c>
      <c r="H192" s="180" cm="1">
        <f t="array" ref="H192">_xlfn.SWITCH($C$11,1,U192,2,AH192)</f>
        <v>5000</v>
      </c>
      <c r="I192" s="180" cm="1">
        <f t="array" ref="I192">_xlfn.SWITCH($C$11,1,V192,2,AI192)</f>
        <v>5000</v>
      </c>
      <c r="J192" s="180" cm="1">
        <f t="array" ref="J192">_xlfn.SWITCH($C$11,1,W192,2,AJ192)</f>
        <v>5000</v>
      </c>
      <c r="K192" s="180" cm="1">
        <f t="array" ref="K192">_xlfn.SWITCH($C$11,1,X192,2,AK192)</f>
        <v>5000</v>
      </c>
      <c r="L192" s="180" cm="1">
        <f t="array" ref="L192">_xlfn.SWITCH($C$11,1,Y192,2,AL192)</f>
        <v>5000</v>
      </c>
      <c r="N192" s="39" t="s">
        <v>171</v>
      </c>
      <c r="P192" s="49"/>
      <c r="Q192" s="49"/>
      <c r="R192" s="17">
        <v>0</v>
      </c>
      <c r="S192" s="17">
        <v>0</v>
      </c>
      <c r="T192" s="17">
        <v>0</v>
      </c>
      <c r="U192" s="83">
        <f>T192+U54</f>
        <v>5000</v>
      </c>
      <c r="V192" s="83">
        <f t="shared" ref="V192:Y192" si="403">U192+V54</f>
        <v>5000</v>
      </c>
      <c r="W192" s="83">
        <f t="shared" si="403"/>
        <v>5000</v>
      </c>
      <c r="X192" s="83">
        <f t="shared" si="403"/>
        <v>5000</v>
      </c>
      <c r="Y192" s="83">
        <f t="shared" si="403"/>
        <v>5000</v>
      </c>
      <c r="AA192" s="39" t="s">
        <v>171</v>
      </c>
      <c r="AC192" s="49"/>
      <c r="AD192" s="49"/>
      <c r="AE192" s="17"/>
      <c r="AF192" s="17"/>
      <c r="AG192" s="17"/>
      <c r="AH192" s="83">
        <f>AG192+AH54</f>
        <v>0</v>
      </c>
      <c r="AI192" s="83">
        <f t="shared" ref="AI192:AL192" si="404">AH192+AI54</f>
        <v>0</v>
      </c>
      <c r="AJ192" s="83">
        <f t="shared" si="404"/>
        <v>0</v>
      </c>
      <c r="AK192" s="83">
        <f t="shared" si="404"/>
        <v>0</v>
      </c>
      <c r="AL192" s="83">
        <f t="shared" si="404"/>
        <v>0</v>
      </c>
      <c r="AN192" s="39" t="s">
        <v>171</v>
      </c>
    </row>
    <row r="193" spans="2:40" ht="10.8" thickBot="1" x14ac:dyDescent="0.25">
      <c r="B193" s="56" t="s">
        <v>34</v>
      </c>
      <c r="C193" s="56"/>
      <c r="D193" s="56"/>
      <c r="E193" s="185">
        <f>SUM(E186:E192)</f>
        <v>90427.630999999994</v>
      </c>
      <c r="F193" s="185">
        <f t="shared" ref="F193:L193" si="405">SUM(F186:F192)</f>
        <v>95079.270418</v>
      </c>
      <c r="G193" s="185">
        <f t="shared" si="405"/>
        <v>101687.04321109</v>
      </c>
      <c r="H193" s="185">
        <f t="shared" si="405"/>
        <v>145948.68722710264</v>
      </c>
      <c r="I193" s="185">
        <f t="shared" si="405"/>
        <v>138049.90656417655</v>
      </c>
      <c r="J193" s="185">
        <f t="shared" si="405"/>
        <v>128359.25633814212</v>
      </c>
      <c r="K193" s="185">
        <f t="shared" si="405"/>
        <v>121093.42938353983</v>
      </c>
      <c r="L193" s="185">
        <f t="shared" si="405"/>
        <v>121168.39402183381</v>
      </c>
      <c r="P193" s="56"/>
      <c r="Q193" s="56"/>
      <c r="R193" s="24">
        <f>SUM(R186:R192)</f>
        <v>90427.630999999994</v>
      </c>
      <c r="S193" s="24">
        <f t="shared" ref="S193:Y193" si="406">SUM(S186:S192)</f>
        <v>95079.270418</v>
      </c>
      <c r="T193" s="24">
        <f t="shared" si="406"/>
        <v>101687.04321109</v>
      </c>
      <c r="U193" s="24">
        <f t="shared" si="406"/>
        <v>145948.68722710264</v>
      </c>
      <c r="V193" s="24">
        <f t="shared" si="406"/>
        <v>138049.90656417655</v>
      </c>
      <c r="W193" s="24">
        <f t="shared" si="406"/>
        <v>128359.25633814212</v>
      </c>
      <c r="X193" s="24">
        <f t="shared" si="406"/>
        <v>121093.42938353983</v>
      </c>
      <c r="Y193" s="24">
        <f t="shared" si="406"/>
        <v>121168.39402183381</v>
      </c>
      <c r="AC193" s="56"/>
      <c r="AD193" s="56"/>
      <c r="AE193" s="24">
        <f>SUM(AE186:AE192)</f>
        <v>0</v>
      </c>
      <c r="AF193" s="24">
        <f t="shared" ref="AF193:AL193" si="407">SUM(AF186:AF192)</f>
        <v>0</v>
      </c>
      <c r="AG193" s="24">
        <f t="shared" si="407"/>
        <v>0</v>
      </c>
      <c r="AH193" s="24">
        <f t="shared" si="407"/>
        <v>64566.310208357441</v>
      </c>
      <c r="AI193" s="24">
        <f t="shared" si="407"/>
        <v>55793.395128341748</v>
      </c>
      <c r="AJ193" s="24">
        <f t="shared" si="407"/>
        <v>46976.879319396925</v>
      </c>
      <c r="AK193" s="24">
        <f t="shared" si="407"/>
        <v>38836.917947705035</v>
      </c>
      <c r="AL193" s="24">
        <f t="shared" si="407"/>
        <v>39786.017003088607</v>
      </c>
    </row>
    <row r="194" spans="2:40" ht="10.8" thickTop="1" x14ac:dyDescent="0.2">
      <c r="B194" s="52"/>
      <c r="C194" s="52"/>
      <c r="D194" s="52"/>
      <c r="E194" s="182"/>
      <c r="F194" s="182"/>
      <c r="G194" s="182"/>
      <c r="H194" s="132"/>
      <c r="I194" s="132"/>
      <c r="J194" s="132"/>
      <c r="K194" s="132"/>
      <c r="L194" s="132"/>
      <c r="P194" s="52"/>
      <c r="Q194" s="52"/>
      <c r="R194" s="15"/>
      <c r="S194" s="15"/>
      <c r="T194" s="15"/>
      <c r="AC194" s="52"/>
      <c r="AD194" s="52"/>
      <c r="AE194" s="15"/>
      <c r="AF194" s="15"/>
      <c r="AG194" s="15"/>
    </row>
    <row r="195" spans="2:40" x14ac:dyDescent="0.2">
      <c r="B195" s="58" t="s">
        <v>35</v>
      </c>
      <c r="C195" s="58"/>
      <c r="D195" s="58"/>
      <c r="E195" s="180"/>
      <c r="F195" s="180"/>
      <c r="G195" s="180"/>
      <c r="H195" s="132"/>
      <c r="I195" s="132"/>
      <c r="J195" s="132"/>
      <c r="K195" s="132"/>
      <c r="L195" s="132"/>
      <c r="P195" s="58"/>
      <c r="Q195" s="58"/>
      <c r="R195" s="26"/>
      <c r="S195" s="26"/>
      <c r="T195" s="26"/>
      <c r="AC195" s="58"/>
      <c r="AD195" s="58"/>
      <c r="AE195" s="26"/>
      <c r="AF195" s="26"/>
      <c r="AG195" s="26"/>
    </row>
    <row r="196" spans="2:40" x14ac:dyDescent="0.2">
      <c r="B196" s="49" t="s">
        <v>36</v>
      </c>
      <c r="C196" s="49"/>
      <c r="D196" s="49"/>
      <c r="E196" s="180" cm="1">
        <f t="array" ref="E196">_xlfn.SWITCH($C$11,1,R196,2,AE196)</f>
        <v>12611.500000000002</v>
      </c>
      <c r="F196" s="180" cm="1">
        <f t="array" ref="F196">_xlfn.SWITCH($C$11,1,S196,2,AF196)</f>
        <v>15713.011799999998</v>
      </c>
      <c r="G196" s="180" cm="1">
        <f t="array" ref="G196">_xlfn.SWITCH($C$11,1,T196,2,AG196)</f>
        <v>19867.598983800002</v>
      </c>
      <c r="H196" s="180" cm="1">
        <f t="array" ref="H196">_xlfn.SWITCH($C$11,1,U196,2,AH196)</f>
        <v>18993.464566710412</v>
      </c>
      <c r="I196" s="180" cm="1">
        <f t="array" ref="I196">_xlfn.SWITCH($C$11,1,V196,2,AI196)</f>
        <v>20996.919009840429</v>
      </c>
      <c r="J196" s="180" cm="1">
        <f t="array" ref="J196">_xlfn.SWITCH($C$11,1,W196,2,AJ196)</f>
        <v>21009.798716278347</v>
      </c>
      <c r="K196" s="180" cm="1">
        <f t="array" ref="K196">_xlfn.SWITCH($C$11,1,X196,2,AK196)</f>
        <v>23385.300953811573</v>
      </c>
      <c r="L196" s="180" cm="1">
        <f t="array" ref="L196">_xlfn.SWITCH($C$11,1,Y196,2,AL196)</f>
        <v>23022.30687554169</v>
      </c>
      <c r="N196" s="39" t="s">
        <v>126</v>
      </c>
      <c r="P196" s="49"/>
      <c r="Q196" s="49"/>
      <c r="R196" s="17">
        <v>12611.500000000002</v>
      </c>
      <c r="S196" s="17">
        <v>15713.011799999998</v>
      </c>
      <c r="T196" s="17">
        <v>19867.598983800002</v>
      </c>
      <c r="U196" s="83">
        <f>U105</f>
        <v>18993.464566710412</v>
      </c>
      <c r="V196" s="83">
        <f t="shared" ref="V196:Y196" si="408">V105</f>
        <v>20996.919009840429</v>
      </c>
      <c r="W196" s="83">
        <f t="shared" si="408"/>
        <v>21009.798716278347</v>
      </c>
      <c r="X196" s="83">
        <f t="shared" si="408"/>
        <v>23385.300953811573</v>
      </c>
      <c r="Y196" s="83">
        <f t="shared" si="408"/>
        <v>23022.30687554169</v>
      </c>
      <c r="AA196" s="39" t="s">
        <v>126</v>
      </c>
      <c r="AC196" s="49"/>
      <c r="AD196" s="49"/>
      <c r="AE196" s="17"/>
      <c r="AF196" s="17"/>
      <c r="AG196" s="17"/>
      <c r="AH196" s="83">
        <f>AH105</f>
        <v>19430.531775255207</v>
      </c>
      <c r="AI196" s="83">
        <f t="shared" ref="AI196:AL196" si="409">AI105</f>
        <v>20559.851801295634</v>
      </c>
      <c r="AJ196" s="83">
        <f t="shared" si="409"/>
        <v>21446.865924823142</v>
      </c>
      <c r="AK196" s="83">
        <f t="shared" si="409"/>
        <v>22948.233745266778</v>
      </c>
      <c r="AL196" s="83">
        <f t="shared" si="409"/>
        <v>23459.374084086485</v>
      </c>
      <c r="AN196" s="39" t="s">
        <v>126</v>
      </c>
    </row>
    <row r="197" spans="2:40" x14ac:dyDescent="0.2">
      <c r="B197" s="49" t="s">
        <v>37</v>
      </c>
      <c r="C197" s="49"/>
      <c r="D197" s="49"/>
      <c r="E197" s="180" cm="1">
        <f t="array" ref="E197">_xlfn.SWITCH($C$11,1,R197,2,AE197)</f>
        <v>0</v>
      </c>
      <c r="F197" s="180" cm="1">
        <f t="array" ref="F197">_xlfn.SWITCH($C$11,1,S197,2,AF197)</f>
        <v>0</v>
      </c>
      <c r="G197" s="180" cm="1">
        <f t="array" ref="G197">_xlfn.SWITCH($C$11,1,T197,2,AG197)</f>
        <v>0</v>
      </c>
      <c r="H197" s="180" cm="1">
        <f t="array" ref="H197">_xlfn.SWITCH($C$11,1,U197,2,AH197)</f>
        <v>0</v>
      </c>
      <c r="I197" s="180" cm="1">
        <f t="array" ref="I197">_xlfn.SWITCH($C$11,1,V197,2,AI197)</f>
        <v>0</v>
      </c>
      <c r="J197" s="180" cm="1">
        <f t="array" ref="J197">_xlfn.SWITCH($C$11,1,W197,2,AJ197)</f>
        <v>0</v>
      </c>
      <c r="K197" s="180" cm="1">
        <f t="array" ref="K197">_xlfn.SWITCH($C$11,1,X197,2,AK197)</f>
        <v>0</v>
      </c>
      <c r="L197" s="180" cm="1">
        <f t="array" ref="L197">_xlfn.SWITCH($C$11,1,Y197,2,AL197)</f>
        <v>0</v>
      </c>
      <c r="N197" s="39" t="s">
        <v>152</v>
      </c>
      <c r="P197" s="49"/>
      <c r="Q197" s="49"/>
      <c r="R197" s="17">
        <v>0</v>
      </c>
      <c r="S197" s="17">
        <v>0</v>
      </c>
      <c r="T197" s="17">
        <v>0</v>
      </c>
      <c r="U197" s="83">
        <f>T197</f>
        <v>0</v>
      </c>
      <c r="V197" s="83">
        <f t="shared" ref="V197" si="410">U197</f>
        <v>0</v>
      </c>
      <c r="W197" s="83">
        <f t="shared" ref="W197" si="411">V197</f>
        <v>0</v>
      </c>
      <c r="X197" s="83">
        <f t="shared" ref="X197" si="412">W197</f>
        <v>0</v>
      </c>
      <c r="Y197" s="83">
        <f t="shared" ref="Y197" si="413">X197</f>
        <v>0</v>
      </c>
      <c r="AA197" s="39" t="s">
        <v>152</v>
      </c>
      <c r="AC197" s="49"/>
      <c r="AD197" s="49"/>
      <c r="AE197" s="17"/>
      <c r="AF197" s="17"/>
      <c r="AG197" s="17"/>
      <c r="AH197" s="83">
        <f>AG197</f>
        <v>0</v>
      </c>
      <c r="AI197" s="83">
        <f t="shared" ref="AI197" si="414">AH197</f>
        <v>0</v>
      </c>
      <c r="AJ197" s="83">
        <f t="shared" ref="AJ197" si="415">AI197</f>
        <v>0</v>
      </c>
      <c r="AK197" s="83">
        <f t="shared" ref="AK197" si="416">AJ197</f>
        <v>0</v>
      </c>
      <c r="AL197" s="83">
        <f t="shared" ref="AL197" si="417">AK197</f>
        <v>0</v>
      </c>
      <c r="AN197" s="39" t="s">
        <v>152</v>
      </c>
    </row>
    <row r="198" spans="2:40" x14ac:dyDescent="0.2">
      <c r="B198" s="49" t="s">
        <v>38</v>
      </c>
      <c r="C198" s="49"/>
      <c r="D198" s="49"/>
      <c r="E198" s="180" cm="1">
        <f t="array" ref="E198">_xlfn.SWITCH($C$11,1,R198,2,AE198)</f>
        <v>0</v>
      </c>
      <c r="F198" s="180" cm="1">
        <f t="array" ref="F198">_xlfn.SWITCH($C$11,1,S198,2,AF198)</f>
        <v>0</v>
      </c>
      <c r="G198" s="180" cm="1">
        <f t="array" ref="G198">_xlfn.SWITCH($C$11,1,T198,2,AG198)</f>
        <v>0</v>
      </c>
      <c r="H198" s="180" cm="1">
        <f t="array" ref="H198">_xlfn.SWITCH($C$11,1,U198,2,AH198)</f>
        <v>13212.974729114836</v>
      </c>
      <c r="I198" s="180" cm="1">
        <f t="array" ref="I198">_xlfn.SWITCH($C$11,1,V198,2,AI198)</f>
        <v>11318.727941976562</v>
      </c>
      <c r="J198" s="180" cm="1">
        <f t="array" ref="J198">_xlfn.SWITCH($C$11,1,W198,2,AJ198)</f>
        <v>9310.8263476099928</v>
      </c>
      <c r="K198" s="180" cm="1">
        <f t="array" ref="K198">_xlfn.SWITCH($C$11,1,X198,2,AK198)</f>
        <v>7182.4506575814285</v>
      </c>
      <c r="L198" s="180" cm="1">
        <f t="array" ref="L198">_xlfn.SWITCH($C$11,1,Y198,2,AL198)</f>
        <v>4926.3724261511506</v>
      </c>
      <c r="N198" s="39" t="s">
        <v>106</v>
      </c>
      <c r="P198" s="49"/>
      <c r="Q198" s="49"/>
      <c r="R198" s="17">
        <v>0</v>
      </c>
      <c r="S198" s="17">
        <v>0</v>
      </c>
      <c r="T198" s="17">
        <v>0</v>
      </c>
      <c r="U198" s="83">
        <f>U65</f>
        <v>13212.974729114836</v>
      </c>
      <c r="V198" s="83">
        <f t="shared" ref="V198:Y198" si="418">V65</f>
        <v>11318.727941976562</v>
      </c>
      <c r="W198" s="83">
        <f t="shared" si="418"/>
        <v>9310.8263476099928</v>
      </c>
      <c r="X198" s="83">
        <f t="shared" si="418"/>
        <v>7182.4506575814285</v>
      </c>
      <c r="Y198" s="83">
        <f t="shared" si="418"/>
        <v>4926.3724261511506</v>
      </c>
      <c r="AA198" s="39" t="s">
        <v>106</v>
      </c>
      <c r="AC198" s="49"/>
      <c r="AD198" s="49"/>
      <c r="AE198" s="17"/>
      <c r="AF198" s="17"/>
      <c r="AG198" s="17"/>
      <c r="AH198" s="83">
        <f>AH65</f>
        <v>13212.974729114836</v>
      </c>
      <c r="AI198" s="83">
        <f t="shared" ref="AI198:AL198" si="419">AI65</f>
        <v>11318.727941976562</v>
      </c>
      <c r="AJ198" s="83">
        <f t="shared" si="419"/>
        <v>9310.8263476099928</v>
      </c>
      <c r="AK198" s="83">
        <f t="shared" si="419"/>
        <v>7182.4506575814285</v>
      </c>
      <c r="AL198" s="83">
        <f t="shared" si="419"/>
        <v>4926.3724261511506</v>
      </c>
      <c r="AN198" s="39" t="s">
        <v>106</v>
      </c>
    </row>
    <row r="199" spans="2:40" x14ac:dyDescent="0.2">
      <c r="B199" s="44" t="s">
        <v>87</v>
      </c>
      <c r="C199" s="44"/>
      <c r="D199" s="44"/>
      <c r="E199" s="180" cm="1">
        <f t="array" ref="E199">_xlfn.SWITCH($C$11,1,R199,2,AE199)</f>
        <v>0</v>
      </c>
      <c r="F199" s="180" cm="1">
        <f t="array" ref="F199">_xlfn.SWITCH($C$11,1,S199,2,AF199)</f>
        <v>0</v>
      </c>
      <c r="G199" s="180" cm="1">
        <f t="array" ref="G199">_xlfn.SWITCH($C$11,1,T199,2,AG199)</f>
        <v>0</v>
      </c>
      <c r="H199" s="180" cm="1">
        <f t="array" ref="H199">_xlfn.SWITCH($C$11,1,U199,2,AH199)</f>
        <v>30000</v>
      </c>
      <c r="I199" s="180" cm="1">
        <f t="array" ref="I199">_xlfn.SWITCH($C$11,1,V199,2,AI199)</f>
        <v>20000</v>
      </c>
      <c r="J199" s="180" cm="1">
        <f t="array" ref="J199">_xlfn.SWITCH($C$11,1,W199,2,AJ199)</f>
        <v>10000</v>
      </c>
      <c r="K199" s="180" cm="1">
        <f t="array" ref="K199">_xlfn.SWITCH($C$11,1,X199,2,AK199)</f>
        <v>0</v>
      </c>
      <c r="L199" s="180" cm="1">
        <f t="array" ref="L199">_xlfn.SWITCH($C$11,1,Y199,2,AL199)</f>
        <v>0</v>
      </c>
      <c r="N199" s="39" t="s">
        <v>87</v>
      </c>
      <c r="P199" s="44"/>
      <c r="Q199" s="44"/>
      <c r="R199" s="17">
        <v>0</v>
      </c>
      <c r="S199" s="17">
        <v>0</v>
      </c>
      <c r="T199" s="17">
        <v>0</v>
      </c>
      <c r="U199" s="83">
        <f>U137</f>
        <v>30000</v>
      </c>
      <c r="V199" s="83">
        <f t="shared" ref="V199:Y199" si="420">V137</f>
        <v>20000</v>
      </c>
      <c r="W199" s="83">
        <f t="shared" si="420"/>
        <v>10000</v>
      </c>
      <c r="X199" s="83">
        <f t="shared" si="420"/>
        <v>0</v>
      </c>
      <c r="Y199" s="83">
        <f t="shared" si="420"/>
        <v>0</v>
      </c>
      <c r="AA199" s="39" t="s">
        <v>87</v>
      </c>
      <c r="AC199" s="44"/>
      <c r="AD199" s="44"/>
      <c r="AE199" s="17"/>
      <c r="AF199" s="17"/>
      <c r="AG199" s="17"/>
      <c r="AH199" s="83">
        <f>AH137</f>
        <v>30000</v>
      </c>
      <c r="AI199" s="83">
        <f t="shared" ref="AI199:AL199" si="421">AI137</f>
        <v>20000</v>
      </c>
      <c r="AJ199" s="83">
        <f t="shared" si="421"/>
        <v>10000</v>
      </c>
      <c r="AK199" s="83">
        <f t="shared" si="421"/>
        <v>0</v>
      </c>
      <c r="AL199" s="83">
        <f t="shared" si="421"/>
        <v>0</v>
      </c>
      <c r="AN199" s="39" t="s">
        <v>87</v>
      </c>
    </row>
    <row r="200" spans="2:40" x14ac:dyDescent="0.2">
      <c r="B200" s="55" t="s">
        <v>39</v>
      </c>
      <c r="C200" s="55"/>
      <c r="D200" s="55"/>
      <c r="E200" s="184">
        <f>SUM(E196:E199)</f>
        <v>12611.500000000002</v>
      </c>
      <c r="F200" s="184">
        <f t="shared" ref="F200:L200" si="422">SUM(F196:F199)</f>
        <v>15713.011799999998</v>
      </c>
      <c r="G200" s="184">
        <f t="shared" si="422"/>
        <v>19867.598983800002</v>
      </c>
      <c r="H200" s="184">
        <f t="shared" si="422"/>
        <v>62206.43929582525</v>
      </c>
      <c r="I200" s="184">
        <f t="shared" si="422"/>
        <v>52315.646951816991</v>
      </c>
      <c r="J200" s="184">
        <f t="shared" si="422"/>
        <v>40320.625063888336</v>
      </c>
      <c r="K200" s="184">
        <f t="shared" si="422"/>
        <v>30567.751611393003</v>
      </c>
      <c r="L200" s="184">
        <f t="shared" si="422"/>
        <v>27948.679301692842</v>
      </c>
      <c r="P200" s="55"/>
      <c r="Q200" s="55"/>
      <c r="R200" s="12">
        <f>SUM(R196:R199)</f>
        <v>12611.500000000002</v>
      </c>
      <c r="S200" s="12">
        <f t="shared" ref="S200:Y200" si="423">SUM(S196:S199)</f>
        <v>15713.011799999998</v>
      </c>
      <c r="T200" s="12">
        <f t="shared" si="423"/>
        <v>19867.598983800002</v>
      </c>
      <c r="U200" s="12">
        <f t="shared" si="423"/>
        <v>62206.43929582525</v>
      </c>
      <c r="V200" s="12">
        <f t="shared" si="423"/>
        <v>52315.646951816991</v>
      </c>
      <c r="W200" s="12">
        <f t="shared" si="423"/>
        <v>40320.625063888336</v>
      </c>
      <c r="X200" s="12">
        <f t="shared" si="423"/>
        <v>30567.751611393003</v>
      </c>
      <c r="Y200" s="12">
        <f t="shared" si="423"/>
        <v>27948.679301692842</v>
      </c>
      <c r="AC200" s="55"/>
      <c r="AD200" s="55"/>
      <c r="AE200" s="12">
        <f>SUM(AE196:AE199)</f>
        <v>0</v>
      </c>
      <c r="AF200" s="12">
        <f t="shared" ref="AF200:AL200" si="424">SUM(AF196:AF199)</f>
        <v>0</v>
      </c>
      <c r="AG200" s="12">
        <f t="shared" si="424"/>
        <v>0</v>
      </c>
      <c r="AH200" s="12">
        <f t="shared" si="424"/>
        <v>62643.506504370045</v>
      </c>
      <c r="AI200" s="12">
        <f t="shared" si="424"/>
        <v>51878.579743272196</v>
      </c>
      <c r="AJ200" s="12">
        <f t="shared" si="424"/>
        <v>40757.692272433138</v>
      </c>
      <c r="AK200" s="12">
        <f t="shared" si="424"/>
        <v>30130.684402848208</v>
      </c>
      <c r="AL200" s="12">
        <f t="shared" si="424"/>
        <v>28385.746510237637</v>
      </c>
    </row>
    <row r="201" spans="2:40" x14ac:dyDescent="0.2">
      <c r="B201" s="58" t="s">
        <v>40</v>
      </c>
      <c r="C201" s="58"/>
      <c r="D201" s="58"/>
      <c r="E201" s="180"/>
      <c r="F201" s="180"/>
      <c r="G201" s="180"/>
      <c r="H201" s="132"/>
      <c r="I201" s="132"/>
      <c r="J201" s="132"/>
      <c r="K201" s="132"/>
      <c r="L201" s="132"/>
      <c r="P201" s="58"/>
      <c r="Q201" s="58"/>
      <c r="R201" s="26"/>
      <c r="S201" s="26"/>
      <c r="T201" s="26"/>
      <c r="AC201" s="58"/>
      <c r="AD201" s="58"/>
      <c r="AE201" s="26"/>
      <c r="AF201" s="26"/>
      <c r="AG201" s="26"/>
    </row>
    <row r="202" spans="2:40" x14ac:dyDescent="0.2">
      <c r="B202" s="49" t="s">
        <v>41</v>
      </c>
      <c r="C202" s="49"/>
      <c r="D202" s="49"/>
      <c r="E202" s="180" cm="1">
        <f t="array" ref="E202">_xlfn.SWITCH($C$11,1,R202,2,AE202)</f>
        <v>5000</v>
      </c>
      <c r="F202" s="180" cm="1">
        <f t="array" ref="F202">_xlfn.SWITCH($C$11,1,S202,2,AF202)</f>
        <v>5000</v>
      </c>
      <c r="G202" s="180" cm="1">
        <f t="array" ref="G202">_xlfn.SWITCH($C$11,1,T202,2,AG202)</f>
        <v>5000</v>
      </c>
      <c r="H202" s="180" cm="1">
        <f t="array" ref="H202">_xlfn.SWITCH($C$11,1,U202,2,AH202)</f>
        <v>5000</v>
      </c>
      <c r="I202" s="180" cm="1">
        <f t="array" ref="I202">_xlfn.SWITCH($C$11,1,V202,2,AI202)</f>
        <v>5000</v>
      </c>
      <c r="J202" s="180" cm="1">
        <f t="array" ref="J202">_xlfn.SWITCH($C$11,1,W202,2,AJ202)</f>
        <v>5000</v>
      </c>
      <c r="K202" s="180" cm="1">
        <f t="array" ref="K202">_xlfn.SWITCH($C$11,1,X202,2,AK202)</f>
        <v>5000</v>
      </c>
      <c r="L202" s="180" cm="1">
        <f t="array" ref="L202">_xlfn.SWITCH($C$11,1,Y202,2,AL202)</f>
        <v>5000</v>
      </c>
      <c r="N202" s="39" t="s">
        <v>144</v>
      </c>
      <c r="P202" s="49"/>
      <c r="Q202" s="49"/>
      <c r="R202" s="17">
        <v>5000</v>
      </c>
      <c r="S202" s="17">
        <v>5000</v>
      </c>
      <c r="T202" s="17">
        <v>5000</v>
      </c>
      <c r="U202" s="83">
        <f>U143</f>
        <v>5000</v>
      </c>
      <c r="V202" s="83">
        <f t="shared" ref="V202:Y202" si="425">V143</f>
        <v>5000</v>
      </c>
      <c r="W202" s="83">
        <f t="shared" si="425"/>
        <v>5000</v>
      </c>
      <c r="X202" s="83">
        <f t="shared" si="425"/>
        <v>5000</v>
      </c>
      <c r="Y202" s="83">
        <f t="shared" si="425"/>
        <v>5000</v>
      </c>
      <c r="AA202" s="39" t="s">
        <v>144</v>
      </c>
      <c r="AC202" s="49"/>
      <c r="AD202" s="49"/>
      <c r="AE202" s="17"/>
      <c r="AF202" s="17"/>
      <c r="AG202" s="17"/>
      <c r="AH202" s="83">
        <f>AH143</f>
        <v>0</v>
      </c>
      <c r="AI202" s="83">
        <f t="shared" ref="AI202:AL202" si="426">AI143</f>
        <v>0</v>
      </c>
      <c r="AJ202" s="83">
        <f t="shared" si="426"/>
        <v>0</v>
      </c>
      <c r="AK202" s="83">
        <f t="shared" si="426"/>
        <v>0</v>
      </c>
      <c r="AL202" s="83">
        <f t="shared" si="426"/>
        <v>0</v>
      </c>
      <c r="AN202" s="39" t="s">
        <v>144</v>
      </c>
    </row>
    <row r="203" spans="2:40" x14ac:dyDescent="0.2">
      <c r="B203" s="49" t="s">
        <v>42</v>
      </c>
      <c r="C203" s="49"/>
      <c r="D203" s="49"/>
      <c r="E203" s="180" cm="1">
        <f t="array" ref="E203">_xlfn.SWITCH($C$11,1,R203,2,AE203)</f>
        <v>72816</v>
      </c>
      <c r="F203" s="180" cm="1">
        <f t="array" ref="F203">_xlfn.SWITCH($C$11,1,S203,2,AF203)</f>
        <v>74366.127617999999</v>
      </c>
      <c r="G203" s="180" cm="1">
        <f t="array" ref="G203">_xlfn.SWITCH($C$11,1,T203,2,AG203)</f>
        <v>76819.313227289997</v>
      </c>
      <c r="H203" s="180" cm="1">
        <f t="array" ref="H203">_xlfn.SWITCH($C$11,1,U203,2,AH203)</f>
        <v>78742.1169312774</v>
      </c>
      <c r="I203" s="180" cm="1">
        <f t="array" ref="I203">_xlfn.SWITCH($C$11,1,V203,2,AI203)</f>
        <v>80734.128612359549</v>
      </c>
      <c r="J203" s="180" cm="1">
        <f t="array" ref="J203">_xlfn.SWITCH($C$11,1,W203,2,AJ203)</f>
        <v>83038.500274253791</v>
      </c>
      <c r="K203" s="180" cm="1">
        <f t="array" ref="K203">_xlfn.SWITCH($C$11,1,X203,2,AK203)</f>
        <v>85525.54677214683</v>
      </c>
      <c r="L203" s="180" cm="1">
        <f t="array" ref="L203">_xlfn.SWITCH($C$11,1,Y203,2,AL203)</f>
        <v>88219.583720140974</v>
      </c>
      <c r="N203" s="39" t="s">
        <v>144</v>
      </c>
      <c r="P203" s="49"/>
      <c r="Q203" s="49"/>
      <c r="R203" s="17">
        <v>72816</v>
      </c>
      <c r="S203" s="17">
        <v>74366.127617999999</v>
      </c>
      <c r="T203" s="17">
        <v>76819.313227289997</v>
      </c>
      <c r="U203" s="83">
        <f>U148</f>
        <v>78742.1169312774</v>
      </c>
      <c r="V203" s="83">
        <f t="shared" ref="V203:Y203" si="427">V148</f>
        <v>80734.128612359549</v>
      </c>
      <c r="W203" s="83">
        <f t="shared" si="427"/>
        <v>83038.500274253791</v>
      </c>
      <c r="X203" s="83">
        <f t="shared" si="427"/>
        <v>85525.54677214683</v>
      </c>
      <c r="Y203" s="83">
        <f t="shared" si="427"/>
        <v>88219.583720140974</v>
      </c>
      <c r="AA203" s="39" t="s">
        <v>144</v>
      </c>
      <c r="AC203" s="49"/>
      <c r="AD203" s="49"/>
      <c r="AE203" s="17"/>
      <c r="AF203" s="17"/>
      <c r="AG203" s="17"/>
      <c r="AH203" s="83">
        <f>AH148</f>
        <v>1922.8037039873984</v>
      </c>
      <c r="AI203" s="83">
        <f t="shared" ref="AI203:AL203" si="428">AI148</f>
        <v>3914.8153850695517</v>
      </c>
      <c r="AJ203" s="83">
        <f t="shared" si="428"/>
        <v>6219.1870469637943</v>
      </c>
      <c r="AK203" s="83">
        <f t="shared" si="428"/>
        <v>8706.2335448568374</v>
      </c>
      <c r="AL203" s="83">
        <f t="shared" si="428"/>
        <v>11400.270492850983</v>
      </c>
      <c r="AN203" s="39" t="s">
        <v>144</v>
      </c>
    </row>
    <row r="204" spans="2:40" x14ac:dyDescent="0.2">
      <c r="B204" s="51" t="s">
        <v>40</v>
      </c>
      <c r="C204" s="51"/>
      <c r="D204" s="51"/>
      <c r="E204" s="25">
        <f>SUM(E202:E203)</f>
        <v>77816</v>
      </c>
      <c r="F204" s="25">
        <f t="shared" ref="F204:L204" si="429">SUM(F202:F203)</f>
        <v>79366.127617999999</v>
      </c>
      <c r="G204" s="25">
        <f t="shared" si="429"/>
        <v>81819.313227289997</v>
      </c>
      <c r="H204" s="25">
        <f t="shared" si="429"/>
        <v>83742.1169312774</v>
      </c>
      <c r="I204" s="25">
        <f t="shared" si="429"/>
        <v>85734.128612359549</v>
      </c>
      <c r="J204" s="25">
        <f t="shared" si="429"/>
        <v>88038.500274253791</v>
      </c>
      <c r="K204" s="25">
        <f t="shared" si="429"/>
        <v>90525.54677214683</v>
      </c>
      <c r="L204" s="25">
        <f t="shared" si="429"/>
        <v>93219.583720140974</v>
      </c>
      <c r="P204" s="51"/>
      <c r="Q204" s="51"/>
      <c r="R204" s="22">
        <f>SUM(R202:R203)</f>
        <v>77816</v>
      </c>
      <c r="S204" s="22">
        <f t="shared" ref="S204:Y204" si="430">SUM(S202:S203)</f>
        <v>79366.127617999999</v>
      </c>
      <c r="T204" s="22">
        <f t="shared" si="430"/>
        <v>81819.313227289997</v>
      </c>
      <c r="U204" s="22">
        <f t="shared" si="430"/>
        <v>83742.1169312774</v>
      </c>
      <c r="V204" s="22">
        <f t="shared" si="430"/>
        <v>85734.128612359549</v>
      </c>
      <c r="W204" s="22">
        <f t="shared" si="430"/>
        <v>88038.500274253791</v>
      </c>
      <c r="X204" s="22">
        <f t="shared" si="430"/>
        <v>90525.54677214683</v>
      </c>
      <c r="Y204" s="22">
        <f t="shared" si="430"/>
        <v>93219.583720140974</v>
      </c>
      <c r="AC204" s="51"/>
      <c r="AD204" s="51"/>
      <c r="AE204" s="22">
        <f>SUM(AE202:AE203)</f>
        <v>0</v>
      </c>
      <c r="AF204" s="22">
        <f t="shared" ref="AF204:AL204" si="431">SUM(AF202:AF203)</f>
        <v>0</v>
      </c>
      <c r="AG204" s="22">
        <f t="shared" si="431"/>
        <v>0</v>
      </c>
      <c r="AH204" s="22">
        <f t="shared" si="431"/>
        <v>1922.8037039873984</v>
      </c>
      <c r="AI204" s="22">
        <f t="shared" si="431"/>
        <v>3914.8153850695517</v>
      </c>
      <c r="AJ204" s="22">
        <f t="shared" si="431"/>
        <v>6219.1870469637943</v>
      </c>
      <c r="AK204" s="22">
        <f t="shared" si="431"/>
        <v>8706.2335448568374</v>
      </c>
      <c r="AL204" s="22">
        <f t="shared" si="431"/>
        <v>11400.270492850983</v>
      </c>
    </row>
    <row r="205" spans="2:40" ht="10.8" thickBot="1" x14ac:dyDescent="0.25">
      <c r="B205" s="56" t="s">
        <v>43</v>
      </c>
      <c r="C205" s="56"/>
      <c r="D205" s="56"/>
      <c r="E205" s="185">
        <f>E200+E204</f>
        <v>90427.5</v>
      </c>
      <c r="F205" s="185">
        <f t="shared" ref="F205:L205" si="432">F200+F204</f>
        <v>95079.139417999992</v>
      </c>
      <c r="G205" s="185">
        <f t="shared" si="432"/>
        <v>101686.91221109001</v>
      </c>
      <c r="H205" s="185">
        <f t="shared" si="432"/>
        <v>145948.55622710264</v>
      </c>
      <c r="I205" s="185">
        <f t="shared" si="432"/>
        <v>138049.77556417655</v>
      </c>
      <c r="J205" s="185">
        <f t="shared" si="432"/>
        <v>128359.12533814213</v>
      </c>
      <c r="K205" s="185">
        <f t="shared" si="432"/>
        <v>121093.29838353983</v>
      </c>
      <c r="L205" s="185">
        <f t="shared" si="432"/>
        <v>121168.26302183382</v>
      </c>
      <c r="P205" s="56"/>
      <c r="Q205" s="56"/>
      <c r="R205" s="24">
        <f>R200+R204</f>
        <v>90427.5</v>
      </c>
      <c r="S205" s="24">
        <f t="shared" ref="S205:Y205" si="433">S200+S204</f>
        <v>95079.139417999992</v>
      </c>
      <c r="T205" s="24">
        <f t="shared" si="433"/>
        <v>101686.91221109001</v>
      </c>
      <c r="U205" s="24">
        <f t="shared" si="433"/>
        <v>145948.55622710264</v>
      </c>
      <c r="V205" s="24">
        <f t="shared" si="433"/>
        <v>138049.77556417655</v>
      </c>
      <c r="W205" s="24">
        <f t="shared" si="433"/>
        <v>128359.12533814213</v>
      </c>
      <c r="X205" s="24">
        <f t="shared" si="433"/>
        <v>121093.29838353983</v>
      </c>
      <c r="Y205" s="24">
        <f t="shared" si="433"/>
        <v>121168.26302183382</v>
      </c>
      <c r="AC205" s="56"/>
      <c r="AD205" s="56"/>
      <c r="AE205" s="24">
        <f>AE200+AE204</f>
        <v>0</v>
      </c>
      <c r="AF205" s="24">
        <f t="shared" ref="AF205:AL205" si="434">AF200+AF204</f>
        <v>0</v>
      </c>
      <c r="AG205" s="24">
        <f t="shared" si="434"/>
        <v>0</v>
      </c>
      <c r="AH205" s="24">
        <f t="shared" si="434"/>
        <v>64566.310208357441</v>
      </c>
      <c r="AI205" s="24">
        <f t="shared" si="434"/>
        <v>55793.395128341748</v>
      </c>
      <c r="AJ205" s="24">
        <f t="shared" si="434"/>
        <v>46976.879319396932</v>
      </c>
      <c r="AK205" s="24">
        <f t="shared" si="434"/>
        <v>38836.917947705049</v>
      </c>
      <c r="AL205" s="24">
        <f t="shared" si="434"/>
        <v>39786.017003088622</v>
      </c>
    </row>
    <row r="206" spans="2:40" ht="10.8" thickTop="1" x14ac:dyDescent="0.2">
      <c r="B206" s="49"/>
      <c r="C206" s="49"/>
      <c r="D206" s="49"/>
      <c r="E206" s="26"/>
      <c r="F206" s="26"/>
      <c r="G206" s="26"/>
      <c r="H206" s="26"/>
      <c r="I206" s="26"/>
      <c r="J206" s="26"/>
      <c r="K206" s="26"/>
      <c r="L206" s="26"/>
      <c r="P206" s="49"/>
      <c r="Q206" s="49"/>
      <c r="R206" s="26"/>
      <c r="S206" s="26"/>
      <c r="T206" s="26"/>
      <c r="U206" s="26"/>
      <c r="V206" s="26"/>
      <c r="W206" s="26"/>
      <c r="X206" s="26"/>
      <c r="Y206" s="26"/>
      <c r="AC206" s="49"/>
      <c r="AD206" s="49"/>
      <c r="AE206" s="26"/>
      <c r="AF206" s="26"/>
      <c r="AG206" s="26"/>
      <c r="AH206" s="26"/>
      <c r="AI206" s="26"/>
      <c r="AJ206" s="26"/>
      <c r="AK206" s="26"/>
      <c r="AL206" s="26"/>
    </row>
    <row r="207" spans="2:40" x14ac:dyDescent="0.2">
      <c r="B207" s="59" t="s">
        <v>44</v>
      </c>
      <c r="C207" s="59"/>
      <c r="D207" s="59"/>
      <c r="E207" s="5">
        <f>E205-E193</f>
        <v>-0.1309999999939464</v>
      </c>
      <c r="F207" s="5">
        <f>F205-F193</f>
        <v>-0.13100000000849832</v>
      </c>
      <c r="G207" s="5">
        <f>G205-G193</f>
        <v>-0.1309999999939464</v>
      </c>
      <c r="H207" s="5">
        <f t="shared" ref="H207:L207" si="435">H205-H193</f>
        <v>-0.1309999999939464</v>
      </c>
      <c r="I207" s="5">
        <f t="shared" si="435"/>
        <v>-0.1309999999939464</v>
      </c>
      <c r="J207" s="5">
        <f t="shared" si="435"/>
        <v>-0.1309999999939464</v>
      </c>
      <c r="K207" s="5">
        <f t="shared" si="435"/>
        <v>-0.1309999999939464</v>
      </c>
      <c r="L207" s="5">
        <f t="shared" si="435"/>
        <v>-0.1309999999939464</v>
      </c>
      <c r="P207" s="59"/>
      <c r="Q207" s="59"/>
      <c r="R207" s="5">
        <f>R205-R193</f>
        <v>-0.1309999999939464</v>
      </c>
      <c r="S207" s="5">
        <f>S205-S193</f>
        <v>-0.13100000000849832</v>
      </c>
      <c r="T207" s="5">
        <f>T205-T193</f>
        <v>-0.1309999999939464</v>
      </c>
      <c r="U207" s="5">
        <f t="shared" ref="U207:Y207" si="436">U205-U193</f>
        <v>-0.1309999999939464</v>
      </c>
      <c r="V207" s="5">
        <f t="shared" si="436"/>
        <v>-0.1309999999939464</v>
      </c>
      <c r="W207" s="5">
        <f t="shared" si="436"/>
        <v>-0.1309999999939464</v>
      </c>
      <c r="X207" s="5">
        <f t="shared" si="436"/>
        <v>-0.1309999999939464</v>
      </c>
      <c r="Y207" s="5">
        <f t="shared" si="436"/>
        <v>-0.1309999999939464</v>
      </c>
      <c r="AC207" s="59"/>
      <c r="AD207" s="59"/>
      <c r="AE207" s="5">
        <f>AE205-AE193</f>
        <v>0</v>
      </c>
      <c r="AF207" s="5">
        <f>AF205-AF193</f>
        <v>0</v>
      </c>
      <c r="AG207" s="5">
        <f>AG205-AG193</f>
        <v>0</v>
      </c>
      <c r="AH207" s="5">
        <f t="shared" ref="AH207:AL207" si="437">AH205-AH193</f>
        <v>0</v>
      </c>
      <c r="AI207" s="5">
        <f t="shared" si="437"/>
        <v>0</v>
      </c>
      <c r="AJ207" s="5">
        <f t="shared" si="437"/>
        <v>0</v>
      </c>
      <c r="AK207" s="5">
        <f t="shared" si="437"/>
        <v>0</v>
      </c>
      <c r="AL207" s="5">
        <f t="shared" si="437"/>
        <v>0</v>
      </c>
    </row>
    <row r="208" spans="2:40" x14ac:dyDescent="0.2">
      <c r="B208" s="59"/>
      <c r="C208" s="59"/>
      <c r="D208" s="59"/>
      <c r="E208" s="5"/>
      <c r="F208" s="5"/>
      <c r="G208" s="5"/>
      <c r="P208" s="59"/>
      <c r="Q208" s="59"/>
      <c r="R208" s="5"/>
      <c r="S208" s="5"/>
      <c r="T208" s="5"/>
      <c r="AC208" s="59"/>
      <c r="AD208" s="59"/>
      <c r="AE208" s="5"/>
      <c r="AF208" s="5"/>
      <c r="AG208" s="5"/>
    </row>
    <row r="209" spans="2:40" x14ac:dyDescent="0.2">
      <c r="B209" s="59"/>
      <c r="C209" s="59"/>
      <c r="D209" s="59"/>
      <c r="E209" s="5"/>
      <c r="F209" s="5"/>
      <c r="G209" s="5"/>
      <c r="P209" s="59"/>
      <c r="Q209" s="59"/>
      <c r="R209" s="5"/>
      <c r="S209" s="5"/>
      <c r="T209" s="5"/>
      <c r="AC209" s="59"/>
      <c r="AD209" s="59"/>
      <c r="AE209" s="5"/>
      <c r="AF209" s="5"/>
      <c r="AG209" s="5"/>
    </row>
    <row r="210" spans="2:40" x14ac:dyDescent="0.2">
      <c r="B210" s="60" t="s">
        <v>45</v>
      </c>
      <c r="C210" s="60"/>
      <c r="D210" s="60"/>
      <c r="E210" s="36">
        <f>E$7</f>
        <v>2020</v>
      </c>
      <c r="F210" s="36">
        <f t="shared" ref="F210:L210" si="438">F$7</f>
        <v>2021</v>
      </c>
      <c r="G210" s="36">
        <f t="shared" si="438"/>
        <v>2022</v>
      </c>
      <c r="H210" s="36">
        <f t="shared" si="438"/>
        <v>2023</v>
      </c>
      <c r="I210" s="36">
        <f t="shared" si="438"/>
        <v>2024</v>
      </c>
      <c r="J210" s="36">
        <f t="shared" si="438"/>
        <v>2025</v>
      </c>
      <c r="K210" s="36">
        <f t="shared" si="438"/>
        <v>2026</v>
      </c>
      <c r="L210" s="36">
        <f t="shared" si="438"/>
        <v>2027</v>
      </c>
      <c r="P210" s="60"/>
      <c r="Q210" s="60"/>
      <c r="R210" s="36">
        <f>R$7</f>
        <v>2020</v>
      </c>
      <c r="S210" s="36">
        <f t="shared" ref="S210:Y210" si="439">S$7</f>
        <v>2021</v>
      </c>
      <c r="T210" s="36">
        <f t="shared" si="439"/>
        <v>2022</v>
      </c>
      <c r="U210" s="36">
        <f t="shared" si="439"/>
        <v>2023</v>
      </c>
      <c r="V210" s="36">
        <f t="shared" si="439"/>
        <v>2024</v>
      </c>
      <c r="W210" s="36">
        <f t="shared" si="439"/>
        <v>2025</v>
      </c>
      <c r="X210" s="36">
        <f t="shared" si="439"/>
        <v>2026</v>
      </c>
      <c r="Y210" s="36">
        <f t="shared" si="439"/>
        <v>2027</v>
      </c>
      <c r="AC210" s="60"/>
      <c r="AD210" s="60"/>
      <c r="AE210" s="36">
        <f>AE$7</f>
        <v>2020</v>
      </c>
      <c r="AF210" s="36">
        <f t="shared" ref="AF210:AL210" si="440">AF$7</f>
        <v>2021</v>
      </c>
      <c r="AG210" s="36">
        <f t="shared" si="440"/>
        <v>2022</v>
      </c>
      <c r="AH210" s="36">
        <f t="shared" si="440"/>
        <v>2023</v>
      </c>
      <c r="AI210" s="36">
        <f t="shared" si="440"/>
        <v>2024</v>
      </c>
      <c r="AJ210" s="36">
        <f t="shared" si="440"/>
        <v>2025</v>
      </c>
      <c r="AK210" s="36">
        <f t="shared" si="440"/>
        <v>2026</v>
      </c>
      <c r="AL210" s="36">
        <f t="shared" si="440"/>
        <v>2027</v>
      </c>
    </row>
    <row r="211" spans="2:40" x14ac:dyDescent="0.2">
      <c r="B211" s="58" t="s">
        <v>46</v>
      </c>
      <c r="C211" s="58"/>
      <c r="D211" s="58"/>
      <c r="E211" s="26"/>
      <c r="F211" s="26"/>
      <c r="G211" s="26"/>
      <c r="P211" s="58"/>
      <c r="Q211" s="58"/>
      <c r="R211" s="26"/>
      <c r="S211" s="26"/>
      <c r="T211" s="26"/>
      <c r="AC211" s="58"/>
      <c r="AD211" s="58"/>
      <c r="AE211" s="26"/>
      <c r="AF211" s="26"/>
      <c r="AG211" s="26"/>
    </row>
    <row r="212" spans="2:40" x14ac:dyDescent="0.2">
      <c r="B212" s="49" t="s">
        <v>26</v>
      </c>
      <c r="C212" s="49"/>
      <c r="D212" s="49"/>
      <c r="E212" s="180" cm="1">
        <f t="array" ref="E212">_xlfn.SWITCH($C$11,1,R212,2,AE212)</f>
        <v>1758.7310000000007</v>
      </c>
      <c r="F212" s="180" cm="1">
        <f t="array" ref="F212">_xlfn.SWITCH($C$11,1,S212,2,AF212)</f>
        <v>1550.1276179999963</v>
      </c>
      <c r="G212" s="180" cm="1">
        <f t="array" ref="G212">_xlfn.SWITCH($C$11,1,T212,2,AG212)</f>
        <v>2453.1856092899925</v>
      </c>
      <c r="H212" s="180" cm="1">
        <f t="array" ref="H212">_xlfn.SWITCH($C$11,1,U212,2,AH212)</f>
        <v>1922.8037039873984</v>
      </c>
      <c r="I212" s="180" cm="1">
        <f t="array" ref="I212">_xlfn.SWITCH($C$11,1,V212,2,AI212)</f>
        <v>1992.0116810821532</v>
      </c>
      <c r="J212" s="180" cm="1">
        <f t="array" ref="J212">_xlfn.SWITCH($C$11,1,W212,2,AJ212)</f>
        <v>2304.3716618942422</v>
      </c>
      <c r="K212" s="180" cm="1">
        <f t="array" ref="K212">_xlfn.SWITCH($C$11,1,X212,2,AK212)</f>
        <v>2487.0464978930427</v>
      </c>
      <c r="L212" s="180" cm="1">
        <f t="array" ref="L212">_xlfn.SWITCH($C$11,1,Y212,2,AL212)</f>
        <v>2694.0369479941455</v>
      </c>
      <c r="P212" s="49"/>
      <c r="Q212" s="49"/>
      <c r="R212" s="17">
        <v>1758.7310000000007</v>
      </c>
      <c r="S212" s="17">
        <v>1550.1276179999963</v>
      </c>
      <c r="T212" s="17">
        <v>2453.1856092899925</v>
      </c>
      <c r="U212" s="83">
        <f>U181</f>
        <v>1922.8037039873984</v>
      </c>
      <c r="V212" s="83">
        <f t="shared" ref="V212:Y212" si="441">V181</f>
        <v>1992.0116810821532</v>
      </c>
      <c r="W212" s="83">
        <f t="shared" si="441"/>
        <v>2304.3716618942422</v>
      </c>
      <c r="X212" s="83">
        <f t="shared" si="441"/>
        <v>2487.0464978930427</v>
      </c>
      <c r="Y212" s="83">
        <f t="shared" si="441"/>
        <v>2694.0369479941455</v>
      </c>
      <c r="AC212" s="49"/>
      <c r="AD212" s="49"/>
      <c r="AE212" s="17"/>
      <c r="AF212" s="17"/>
      <c r="AG212" s="17"/>
      <c r="AH212" s="83">
        <f>AH181</f>
        <v>1922.8037039873984</v>
      </c>
      <c r="AI212" s="83">
        <f t="shared" ref="AI212:AL212" si="442">AI181</f>
        <v>1992.0116810821532</v>
      </c>
      <c r="AJ212" s="83">
        <f t="shared" si="442"/>
        <v>2304.3716618942422</v>
      </c>
      <c r="AK212" s="83">
        <f t="shared" si="442"/>
        <v>2487.0464978930427</v>
      </c>
      <c r="AL212" s="83">
        <f t="shared" si="442"/>
        <v>2694.0369479941455</v>
      </c>
    </row>
    <row r="213" spans="2:40" x14ac:dyDescent="0.2">
      <c r="B213" s="49" t="s">
        <v>47</v>
      </c>
      <c r="C213" s="49"/>
      <c r="D213" s="49"/>
      <c r="E213" s="180" cm="1">
        <f t="array" ref="E213">_xlfn.SWITCH($C$11,1,R213,2,AE213)</f>
        <v>6420.4000000000005</v>
      </c>
      <c r="F213" s="180" cm="1">
        <f t="array" ref="F213">_xlfn.SWITCH($C$11,1,S213,2,AF213)</f>
        <v>7800.786000000001</v>
      </c>
      <c r="G213" s="180" cm="1">
        <f t="array" ref="G213">_xlfn.SWITCH($C$11,1,T213,2,AG213)</f>
        <v>9969.4045080000014</v>
      </c>
      <c r="H213" s="180" cm="1">
        <f t="array" ref="H213">_xlfn.SWITCH($C$11,1,U213,2,AH213)</f>
        <v>10467.874733400002</v>
      </c>
      <c r="I213" s="180" cm="1">
        <f t="array" ref="I213">_xlfn.SWITCH($C$11,1,V213,2,AI213)</f>
        <v>10991.268470070003</v>
      </c>
      <c r="J213" s="180" cm="1">
        <f t="array" ref="J213">_xlfn.SWITCH($C$11,1,W213,2,AJ213)</f>
        <v>11540.831893573504</v>
      </c>
      <c r="K213" s="180" cm="1">
        <f t="array" ref="K213">_xlfn.SWITCH($C$11,1,X213,2,AK213)</f>
        <v>12117.87348825218</v>
      </c>
      <c r="L213" s="180" cm="1">
        <f t="array" ref="L213">_xlfn.SWITCH($C$11,1,Y213,2,AL213)</f>
        <v>12723.76716266479</v>
      </c>
      <c r="P213" s="49"/>
      <c r="Q213" s="49"/>
      <c r="R213" s="17">
        <v>6420.4000000000005</v>
      </c>
      <c r="S213" s="17">
        <v>7800.786000000001</v>
      </c>
      <c r="T213" s="17">
        <v>9969.4045080000014</v>
      </c>
      <c r="U213" s="83">
        <f>U174</f>
        <v>10467.874733400002</v>
      </c>
      <c r="V213" s="83">
        <f t="shared" ref="V213:Y213" si="443">V174</f>
        <v>10991.268470070003</v>
      </c>
      <c r="W213" s="83">
        <f t="shared" si="443"/>
        <v>11540.831893573504</v>
      </c>
      <c r="X213" s="83">
        <f t="shared" si="443"/>
        <v>12117.87348825218</v>
      </c>
      <c r="Y213" s="83">
        <f t="shared" si="443"/>
        <v>12723.76716266479</v>
      </c>
      <c r="AC213" s="49"/>
      <c r="AD213" s="49"/>
      <c r="AE213" s="17"/>
      <c r="AF213" s="17"/>
      <c r="AG213" s="17"/>
      <c r="AH213" s="83">
        <f>AH174</f>
        <v>10467.874733400002</v>
      </c>
      <c r="AI213" s="83">
        <f t="shared" ref="AI213:AL213" si="444">AI174</f>
        <v>10991.268470070003</v>
      </c>
      <c r="AJ213" s="83">
        <f t="shared" si="444"/>
        <v>11540.831893573504</v>
      </c>
      <c r="AK213" s="83">
        <f t="shared" si="444"/>
        <v>12117.87348825218</v>
      </c>
      <c r="AL213" s="83">
        <f t="shared" si="444"/>
        <v>12723.76716266479</v>
      </c>
    </row>
    <row r="214" spans="2:40" x14ac:dyDescent="0.2">
      <c r="B214" s="49" t="s">
        <v>48</v>
      </c>
      <c r="C214" s="49"/>
      <c r="D214" s="49"/>
      <c r="E214" s="180" cm="1">
        <f t="array" ref="E214">_xlfn.SWITCH($C$11,1,R214,2,AE214)</f>
        <v>0</v>
      </c>
      <c r="F214" s="180" cm="1">
        <f t="array" ref="F214">_xlfn.SWITCH($C$11,1,S214,2,AF214)</f>
        <v>0</v>
      </c>
      <c r="G214" s="180" cm="1">
        <f t="array" ref="G214">_xlfn.SWITCH($C$11,1,T214,2,AG214)</f>
        <v>0</v>
      </c>
      <c r="H214" s="180" cm="1">
        <f t="array" ref="H214">_xlfn.SWITCH($C$11,1,U214,2,AH214)</f>
        <v>900</v>
      </c>
      <c r="I214" s="180" cm="1">
        <f t="array" ref="I214">_xlfn.SWITCH($C$11,1,V214,2,AI214)</f>
        <v>792.77848374689017</v>
      </c>
      <c r="J214" s="180" cm="1">
        <f t="array" ref="J214">_xlfn.SWITCH($C$11,1,W214,2,AJ214)</f>
        <v>679.12367651859392</v>
      </c>
      <c r="K214" s="180" cm="1">
        <f t="array" ref="K214">_xlfn.SWITCH($C$11,1,X214,2,AK214)</f>
        <v>558.64958085659975</v>
      </c>
      <c r="L214" s="180" cm="1">
        <f t="array" ref="L214">_xlfn.SWITCH($C$11,1,Y214,2,AL214)</f>
        <v>430.94703945488578</v>
      </c>
      <c r="P214" s="49"/>
      <c r="Q214" s="49"/>
      <c r="R214" s="17">
        <v>0</v>
      </c>
      <c r="S214" s="17">
        <v>0</v>
      </c>
      <c r="T214" s="17">
        <v>0</v>
      </c>
      <c r="U214" s="83">
        <f>U175</f>
        <v>900</v>
      </c>
      <c r="V214" s="83">
        <f t="shared" ref="V214:Y214" si="445">V175</f>
        <v>792.77848374689017</v>
      </c>
      <c r="W214" s="83">
        <f t="shared" si="445"/>
        <v>679.12367651859392</v>
      </c>
      <c r="X214" s="83">
        <f t="shared" si="445"/>
        <v>558.64958085659975</v>
      </c>
      <c r="Y214" s="83">
        <f t="shared" si="445"/>
        <v>430.94703945488578</v>
      </c>
      <c r="AC214" s="49"/>
      <c r="AD214" s="49"/>
      <c r="AE214" s="17"/>
      <c r="AF214" s="17"/>
      <c r="AG214" s="17"/>
      <c r="AH214" s="83">
        <f>AH175</f>
        <v>900</v>
      </c>
      <c r="AI214" s="83">
        <f t="shared" ref="AI214:AL214" si="446">AI175</f>
        <v>792.77848374689017</v>
      </c>
      <c r="AJ214" s="83">
        <f t="shared" si="446"/>
        <v>679.12367651859392</v>
      </c>
      <c r="AK214" s="83">
        <f t="shared" si="446"/>
        <v>558.64958085659975</v>
      </c>
      <c r="AL214" s="83">
        <f t="shared" si="446"/>
        <v>430.94703945488578</v>
      </c>
    </row>
    <row r="215" spans="2:40" x14ac:dyDescent="0.2">
      <c r="B215" s="49" t="s">
        <v>49</v>
      </c>
      <c r="C215" s="49"/>
      <c r="D215" s="49"/>
      <c r="E215" s="180" cm="1">
        <f t="array" ref="E215">_xlfn.SWITCH($C$11,1,R215,2,AE215)</f>
        <v>3668.7999999999975</v>
      </c>
      <c r="F215" s="180" cm="1">
        <f t="array" ref="F215">_xlfn.SWITCH($C$11,1,S215,2,AF215)</f>
        <v>175.87310000000434</v>
      </c>
      <c r="G215" s="180" cm="1">
        <f t="array" ref="G215">_xlfn.SWITCH($C$11,1,T215,2,AG215)</f>
        <v>1852.1294759999964</v>
      </c>
      <c r="H215" s="180" cm="1">
        <f t="array" ref="H215">_xlfn.SWITCH($C$11,1,U215,2,AH215)</f>
        <v>-649.5926637471639</v>
      </c>
      <c r="I215" s="180" cm="1">
        <f t="array" ref="I215">_xlfn.SWITCH($C$11,1,V215,2,AI215)</f>
        <v>709.04504859216831</v>
      </c>
      <c r="J215" s="180" cm="1">
        <f t="array" ref="J215">_xlfn.SWITCH($C$11,1,W215,2,AJ215)</f>
        <v>-81.640880414837738</v>
      </c>
      <c r="K215" s="180" cm="1">
        <f t="array" ref="K215">_xlfn.SWITCH($C$11,1,X215,2,AK215)</f>
        <v>772.04283660992587</v>
      </c>
      <c r="L215" s="180" cm="1">
        <f t="array" ref="L215">_xlfn.SWITCH($C$11,1,Y215,2,AL215)</f>
        <v>-281.19074430350884</v>
      </c>
      <c r="P215" s="49"/>
      <c r="Q215" s="49"/>
      <c r="R215" s="17">
        <v>3668.7999999999975</v>
      </c>
      <c r="S215" s="17">
        <v>175.87310000000434</v>
      </c>
      <c r="T215" s="17">
        <v>1852.1294759999964</v>
      </c>
      <c r="U215" s="83">
        <f>U108</f>
        <v>-649.5926637471639</v>
      </c>
      <c r="V215" s="83">
        <f t="shared" ref="V215:Y215" si="447">V108</f>
        <v>709.04504859216831</v>
      </c>
      <c r="W215" s="83">
        <f t="shared" si="447"/>
        <v>-81.640880414837738</v>
      </c>
      <c r="X215" s="83">
        <f t="shared" si="447"/>
        <v>772.04283660992587</v>
      </c>
      <c r="Y215" s="83">
        <f t="shared" si="447"/>
        <v>-281.19074430350884</v>
      </c>
      <c r="AC215" s="49"/>
      <c r="AD215" s="49"/>
      <c r="AE215" s="17"/>
      <c r="AF215" s="17"/>
      <c r="AG215" s="17"/>
      <c r="AH215" s="83">
        <f>AH108</f>
        <v>5372.0062441264163</v>
      </c>
      <c r="AI215" s="83">
        <f t="shared" ref="AI215:AL215" si="448">AI108</f>
        <v>59.452384845004417</v>
      </c>
      <c r="AJ215" s="83">
        <f t="shared" si="448"/>
        <v>567.95178333232616</v>
      </c>
      <c r="AK215" s="83">
        <f t="shared" si="448"/>
        <v>122.45017286276197</v>
      </c>
      <c r="AL215" s="83">
        <f t="shared" si="448"/>
        <v>368.40191944365506</v>
      </c>
    </row>
    <row r="216" spans="2:40" x14ac:dyDescent="0.2">
      <c r="B216" s="51" t="s">
        <v>50</v>
      </c>
      <c r="C216" s="51"/>
      <c r="D216" s="51"/>
      <c r="E216" s="25">
        <f>E212+E213+E214-E215</f>
        <v>4510.3310000000038</v>
      </c>
      <c r="F216" s="25">
        <f t="shared" ref="F216:L216" si="449">F212+F213+F214-F215</f>
        <v>9175.0405179999925</v>
      </c>
      <c r="G216" s="25">
        <f t="shared" si="449"/>
        <v>10570.460641289998</v>
      </c>
      <c r="H216" s="25">
        <f t="shared" si="449"/>
        <v>13940.271101134564</v>
      </c>
      <c r="I216" s="25">
        <f t="shared" si="449"/>
        <v>13067.013586306877</v>
      </c>
      <c r="J216" s="25">
        <f t="shared" si="449"/>
        <v>14605.968112401177</v>
      </c>
      <c r="K216" s="25">
        <f t="shared" si="449"/>
        <v>14391.526730391897</v>
      </c>
      <c r="L216" s="25">
        <f t="shared" si="449"/>
        <v>16129.94189441733</v>
      </c>
      <c r="P216" s="51"/>
      <c r="Q216" s="51"/>
      <c r="R216" s="22">
        <f>R212+R213+R214-R215</f>
        <v>4510.3310000000038</v>
      </c>
      <c r="S216" s="22">
        <f t="shared" ref="S216:Y216" si="450">S212+S213+S214-S215</f>
        <v>9175.0405179999925</v>
      </c>
      <c r="T216" s="22">
        <f t="shared" si="450"/>
        <v>10570.460641289998</v>
      </c>
      <c r="U216" s="22">
        <f t="shared" si="450"/>
        <v>13940.271101134564</v>
      </c>
      <c r="V216" s="22">
        <f t="shared" si="450"/>
        <v>13067.013586306877</v>
      </c>
      <c r="W216" s="22">
        <f t="shared" si="450"/>
        <v>14605.968112401177</v>
      </c>
      <c r="X216" s="22">
        <f t="shared" si="450"/>
        <v>14391.526730391897</v>
      </c>
      <c r="Y216" s="22">
        <f t="shared" si="450"/>
        <v>16129.94189441733</v>
      </c>
      <c r="AC216" s="51"/>
      <c r="AD216" s="51"/>
      <c r="AE216" s="22">
        <f>AE212+AE213+AE214-AE215</f>
        <v>0</v>
      </c>
      <c r="AF216" s="22">
        <f t="shared" ref="AF216:AL216" si="451">AF212+AF213+AF214-AF215</f>
        <v>0</v>
      </c>
      <c r="AG216" s="22">
        <f t="shared" si="451"/>
        <v>0</v>
      </c>
      <c r="AH216" s="22">
        <f t="shared" si="451"/>
        <v>7918.6721932609835</v>
      </c>
      <c r="AI216" s="22">
        <f t="shared" si="451"/>
        <v>13716.606250054041</v>
      </c>
      <c r="AJ216" s="22">
        <f t="shared" si="451"/>
        <v>13956.375448654013</v>
      </c>
      <c r="AK216" s="22">
        <f t="shared" si="451"/>
        <v>15041.119394139061</v>
      </c>
      <c r="AL216" s="22">
        <f t="shared" si="451"/>
        <v>15480.349230670166</v>
      </c>
    </row>
    <row r="217" spans="2:40" x14ac:dyDescent="0.2">
      <c r="B217" s="52"/>
      <c r="C217" s="52"/>
      <c r="D217" s="52"/>
      <c r="E217" s="182"/>
      <c r="F217" s="182"/>
      <c r="G217" s="182"/>
      <c r="H217" s="132"/>
      <c r="I217" s="132"/>
      <c r="J217" s="132"/>
      <c r="K217" s="132"/>
      <c r="L217" s="132"/>
      <c r="P217" s="52"/>
      <c r="Q217" s="52"/>
      <c r="R217" s="15"/>
      <c r="S217" s="15"/>
      <c r="T217" s="15"/>
      <c r="AC217" s="52"/>
      <c r="AD217" s="52"/>
      <c r="AE217" s="15"/>
      <c r="AF217" s="15"/>
      <c r="AG217" s="15"/>
    </row>
    <row r="218" spans="2:40" x14ac:dyDescent="0.2">
      <c r="B218" s="58" t="s">
        <v>51</v>
      </c>
      <c r="C218" s="58"/>
      <c r="D218" s="58"/>
      <c r="E218" s="181"/>
      <c r="F218" s="181"/>
      <c r="G218" s="181"/>
      <c r="H218" s="132"/>
      <c r="I218" s="132"/>
      <c r="J218" s="132"/>
      <c r="K218" s="132"/>
      <c r="L218" s="132"/>
      <c r="P218" s="58"/>
      <c r="Q218" s="58"/>
      <c r="R218" s="31"/>
      <c r="S218" s="31"/>
      <c r="T218" s="31"/>
      <c r="AC218" s="58"/>
      <c r="AD218" s="58"/>
      <c r="AE218" s="31"/>
      <c r="AF218" s="31"/>
      <c r="AG218" s="31"/>
    </row>
    <row r="219" spans="2:40" x14ac:dyDescent="0.2">
      <c r="B219" s="49" t="s">
        <v>52</v>
      </c>
      <c r="C219" s="49"/>
      <c r="D219" s="49"/>
      <c r="E219" s="180" cm="1">
        <f t="array" ref="E219">_xlfn.SWITCH($C$11,1,R219,2,AE219)</f>
        <v>-17894</v>
      </c>
      <c r="F219" s="180" cm="1">
        <f t="array" ref="F219">_xlfn.SWITCH($C$11,1,S219,2,AF219)</f>
        <v>-8115.786000000001</v>
      </c>
      <c r="G219" s="180" cm="1">
        <f t="array" ref="G219">_xlfn.SWITCH($C$11,1,T219,2,AG219)</f>
        <v>-5977.4045080000014</v>
      </c>
      <c r="H219" s="180" cm="1">
        <f t="array" ref="H219">_xlfn.SWITCH($C$11,1,U219,2,AH219)</f>
        <v>-17967.8747334</v>
      </c>
      <c r="I219" s="180" cm="1">
        <f t="array" ref="I219">_xlfn.SWITCH($C$11,1,V219,2,AI219)</f>
        <v>-15991.268470070003</v>
      </c>
      <c r="J219" s="180" cm="1">
        <f t="array" ref="J219">_xlfn.SWITCH($C$11,1,W219,2,AJ219)</f>
        <v>-16540.831893573504</v>
      </c>
      <c r="K219" s="180" cm="1">
        <f t="array" ref="K219">_xlfn.SWITCH($C$11,1,X219,2,AK219)</f>
        <v>-17117.873488252182</v>
      </c>
      <c r="L219" s="180" cm="1">
        <f t="array" ref="L219">_xlfn.SWITCH($C$11,1,Y219,2,AL219)</f>
        <v>-12723.76716266479</v>
      </c>
      <c r="N219" s="39" t="s">
        <v>174</v>
      </c>
      <c r="P219" s="49"/>
      <c r="Q219" s="49"/>
      <c r="R219" s="10">
        <v>-17894</v>
      </c>
      <c r="S219" s="10">
        <v>-8115.786000000001</v>
      </c>
      <c r="T219" s="10">
        <v>-5977.4045080000014</v>
      </c>
      <c r="U219" s="83">
        <f>-U114-U120</f>
        <v>-17967.8747334</v>
      </c>
      <c r="V219" s="83">
        <f t="shared" ref="V219:Y219" si="452">-V114-V120</f>
        <v>-15991.268470070003</v>
      </c>
      <c r="W219" s="83">
        <f t="shared" si="452"/>
        <v>-16540.831893573504</v>
      </c>
      <c r="X219" s="83">
        <f t="shared" si="452"/>
        <v>-17117.873488252182</v>
      </c>
      <c r="Y219" s="83">
        <f t="shared" si="452"/>
        <v>-12723.76716266479</v>
      </c>
      <c r="AA219" s="39" t="s">
        <v>174</v>
      </c>
      <c r="AC219" s="49"/>
      <c r="AD219" s="49"/>
      <c r="AE219" s="10"/>
      <c r="AF219" s="10"/>
      <c r="AG219" s="10"/>
      <c r="AH219" s="83">
        <f>-AH114-AH120</f>
        <v>-17967.8747334</v>
      </c>
      <c r="AI219" s="83">
        <f t="shared" ref="AI219:AL219" si="453">-AI114-AI120</f>
        <v>-15991.268470070003</v>
      </c>
      <c r="AJ219" s="83">
        <f t="shared" si="453"/>
        <v>-16540.831893573504</v>
      </c>
      <c r="AK219" s="83">
        <f t="shared" si="453"/>
        <v>-17117.873488252182</v>
      </c>
      <c r="AL219" s="83">
        <f t="shared" si="453"/>
        <v>-12723.76716266479</v>
      </c>
      <c r="AN219" s="39" t="s">
        <v>174</v>
      </c>
    </row>
    <row r="220" spans="2:40" x14ac:dyDescent="0.2">
      <c r="B220" s="49" t="s">
        <v>78</v>
      </c>
      <c r="C220" s="49"/>
      <c r="D220" s="49"/>
      <c r="E220" s="180" cm="1">
        <f t="array" ref="E220">_xlfn.SWITCH($C$11,1,R220,2,AE220)</f>
        <v>0</v>
      </c>
      <c r="F220" s="180" cm="1">
        <f t="array" ref="F220">_xlfn.SWITCH($C$11,1,S220,2,AF220)</f>
        <v>0</v>
      </c>
      <c r="G220" s="180" cm="1">
        <f t="array" ref="G220">_xlfn.SWITCH($C$11,1,T220,2,AG220)</f>
        <v>0</v>
      </c>
      <c r="H220" s="180" cm="1">
        <f t="array" ref="H220">_xlfn.SWITCH($C$11,1,U220,2,AH220)</f>
        <v>-7500</v>
      </c>
      <c r="I220" s="180" cm="1">
        <f t="array" ref="I220">_xlfn.SWITCH($C$11,1,V220,2,AI220)</f>
        <v>-5000</v>
      </c>
      <c r="J220" s="180" cm="1">
        <f t="array" ref="J220">_xlfn.SWITCH($C$11,1,W220,2,AJ220)</f>
        <v>-5000</v>
      </c>
      <c r="K220" s="180" cm="1">
        <f t="array" ref="K220">_xlfn.SWITCH($C$11,1,X220,2,AK220)</f>
        <v>-5000</v>
      </c>
      <c r="L220" s="180" cm="1">
        <f t="array" ref="L220">_xlfn.SWITCH($C$11,1,Y220,2,AL220)</f>
        <v>0</v>
      </c>
      <c r="N220" s="39" t="s">
        <v>162</v>
      </c>
      <c r="P220" s="49"/>
      <c r="Q220" s="49"/>
      <c r="R220" s="17">
        <v>0</v>
      </c>
      <c r="S220" s="17">
        <v>0</v>
      </c>
      <c r="T220" s="17">
        <v>0</v>
      </c>
      <c r="U220" s="84">
        <f>-U130</f>
        <v>-7500</v>
      </c>
      <c r="V220" s="84">
        <f t="shared" ref="V220:Y220" si="454">-V130</f>
        <v>-5000</v>
      </c>
      <c r="W220" s="84">
        <f t="shared" si="454"/>
        <v>-5000</v>
      </c>
      <c r="X220" s="84">
        <f t="shared" si="454"/>
        <v>-5000</v>
      </c>
      <c r="Y220" s="84">
        <f t="shared" si="454"/>
        <v>0</v>
      </c>
      <c r="AA220" s="39" t="s">
        <v>162</v>
      </c>
      <c r="AC220" s="49"/>
      <c r="AD220" s="49"/>
      <c r="AE220" s="17"/>
      <c r="AF220" s="17"/>
      <c r="AG220" s="17"/>
      <c r="AH220" s="84">
        <f>-AH130</f>
        <v>-7500</v>
      </c>
      <c r="AI220" s="84">
        <f t="shared" ref="AI220:AL220" si="455">-AI130</f>
        <v>-5000</v>
      </c>
      <c r="AJ220" s="84">
        <f t="shared" si="455"/>
        <v>-5000</v>
      </c>
      <c r="AK220" s="84">
        <f t="shared" si="455"/>
        <v>-5000</v>
      </c>
      <c r="AL220" s="84">
        <f t="shared" si="455"/>
        <v>0</v>
      </c>
      <c r="AN220" s="39" t="s">
        <v>162</v>
      </c>
    </row>
    <row r="221" spans="2:40" x14ac:dyDescent="0.2">
      <c r="B221" s="49" t="s">
        <v>79</v>
      </c>
      <c r="C221" s="49"/>
      <c r="D221" s="49"/>
      <c r="E221" s="180" cm="1">
        <f t="array" ref="E221">_xlfn.SWITCH($C$11,1,R221,2,AE221)</f>
        <v>0</v>
      </c>
      <c r="F221" s="180" cm="1">
        <f t="array" ref="F221">_xlfn.SWITCH($C$11,1,S221,2,AF221)</f>
        <v>0</v>
      </c>
      <c r="G221" s="180" cm="1">
        <f t="array" ref="G221">_xlfn.SWITCH($C$11,1,T221,2,AG221)</f>
        <v>0</v>
      </c>
      <c r="H221" s="180" cm="1">
        <f t="array" ref="H221">_xlfn.SWITCH($C$11,1,U221,2,AH221)</f>
        <v>0</v>
      </c>
      <c r="I221" s="180" cm="1">
        <f t="array" ref="I221">_xlfn.SWITCH($C$11,1,V221,2,AI221)</f>
        <v>0</v>
      </c>
      <c r="J221" s="180" cm="1">
        <f t="array" ref="J221">_xlfn.SWITCH($C$11,1,W221,2,AJ221)</f>
        <v>0</v>
      </c>
      <c r="K221" s="180" cm="1">
        <f t="array" ref="K221">_xlfn.SWITCH($C$11,1,X221,2,AK221)</f>
        <v>0</v>
      </c>
      <c r="L221" s="180" cm="1">
        <f t="array" ref="L221">_xlfn.SWITCH($C$11,1,Y221,2,AL221)</f>
        <v>0</v>
      </c>
      <c r="P221" s="49"/>
      <c r="Q221" s="49"/>
      <c r="R221" s="17">
        <v>0</v>
      </c>
      <c r="S221" s="17">
        <v>0</v>
      </c>
      <c r="T221" s="17">
        <v>0</v>
      </c>
      <c r="U221" s="129"/>
      <c r="V221" s="129"/>
      <c r="W221" s="129"/>
      <c r="X221" s="129"/>
      <c r="Y221" s="129"/>
      <c r="AC221" s="49"/>
      <c r="AD221" s="49"/>
      <c r="AE221" s="17"/>
      <c r="AF221" s="17"/>
      <c r="AG221" s="17"/>
      <c r="AH221" s="129"/>
      <c r="AI221" s="129"/>
      <c r="AJ221" s="129"/>
      <c r="AK221" s="129"/>
      <c r="AL221" s="129"/>
    </row>
    <row r="222" spans="2:40" x14ac:dyDescent="0.2">
      <c r="B222" s="49" t="s">
        <v>88</v>
      </c>
      <c r="C222" s="49"/>
      <c r="D222" s="49"/>
      <c r="E222" s="180" cm="1">
        <f t="array" ref="E222">_xlfn.SWITCH($C$11,1,R222,2,AE222)</f>
        <v>0</v>
      </c>
      <c r="F222" s="180" cm="1">
        <f t="array" ref="F222">_xlfn.SWITCH($C$11,1,S222,2,AF222)</f>
        <v>0</v>
      </c>
      <c r="G222" s="180" cm="1">
        <f t="array" ref="G222">_xlfn.SWITCH($C$11,1,T222,2,AG222)</f>
        <v>0</v>
      </c>
      <c r="H222" s="180" cm="1">
        <f t="array" ref="H222">_xlfn.SWITCH($C$11,1,U222,2,AH222)</f>
        <v>0</v>
      </c>
      <c r="I222" s="180" cm="1">
        <f t="array" ref="I222">_xlfn.SWITCH($C$11,1,V222,2,AI222)</f>
        <v>0</v>
      </c>
      <c r="J222" s="180" cm="1">
        <f t="array" ref="J222">_xlfn.SWITCH($C$11,1,W222,2,AJ222)</f>
        <v>0</v>
      </c>
      <c r="K222" s="180" cm="1">
        <f t="array" ref="K222">_xlfn.SWITCH($C$11,1,X222,2,AK222)</f>
        <v>0</v>
      </c>
      <c r="L222" s="180" cm="1">
        <f t="array" ref="L222">_xlfn.SWITCH($C$11,1,Y222,2,AL222)</f>
        <v>0</v>
      </c>
      <c r="P222" s="49"/>
      <c r="Q222" s="49"/>
      <c r="R222" s="10">
        <v>0</v>
      </c>
      <c r="S222" s="10">
        <v>0</v>
      </c>
      <c r="T222" s="10">
        <v>0</v>
      </c>
      <c r="U222" s="83">
        <f>-U147</f>
        <v>0</v>
      </c>
      <c r="V222" s="83">
        <f t="shared" ref="V222:Y222" si="456">-V147</f>
        <v>0</v>
      </c>
      <c r="W222" s="83">
        <f t="shared" si="456"/>
        <v>0</v>
      </c>
      <c r="X222" s="83">
        <f t="shared" si="456"/>
        <v>0</v>
      </c>
      <c r="Y222" s="83">
        <f t="shared" si="456"/>
        <v>0</v>
      </c>
      <c r="AC222" s="49"/>
      <c r="AD222" s="49"/>
      <c r="AE222" s="10"/>
      <c r="AF222" s="10"/>
      <c r="AG222" s="10"/>
      <c r="AH222" s="83">
        <f>-AH147</f>
        <v>0</v>
      </c>
      <c r="AI222" s="83">
        <f t="shared" ref="AI222:AL222" si="457">-AI147</f>
        <v>0</v>
      </c>
      <c r="AJ222" s="83">
        <f t="shared" si="457"/>
        <v>0</v>
      </c>
      <c r="AK222" s="83">
        <f t="shared" si="457"/>
        <v>0</v>
      </c>
      <c r="AL222" s="83">
        <f t="shared" si="457"/>
        <v>0</v>
      </c>
    </row>
    <row r="223" spans="2:40" x14ac:dyDescent="0.2">
      <c r="B223" s="61" t="s">
        <v>54</v>
      </c>
      <c r="C223" s="61"/>
      <c r="D223" s="61"/>
      <c r="E223" s="25">
        <f>SUM(E219:E222)</f>
        <v>-17894</v>
      </c>
      <c r="F223" s="25">
        <f t="shared" ref="F223:L223" si="458">SUM(F219:F222)</f>
        <v>-8115.786000000001</v>
      </c>
      <c r="G223" s="25">
        <f t="shared" si="458"/>
        <v>-5977.4045080000014</v>
      </c>
      <c r="H223" s="25">
        <f t="shared" si="458"/>
        <v>-25467.8747334</v>
      </c>
      <c r="I223" s="25">
        <f t="shared" si="458"/>
        <v>-20991.268470070005</v>
      </c>
      <c r="J223" s="25">
        <f t="shared" si="458"/>
        <v>-21540.831893573504</v>
      </c>
      <c r="K223" s="25">
        <f t="shared" si="458"/>
        <v>-22117.873488252182</v>
      </c>
      <c r="L223" s="25">
        <f t="shared" si="458"/>
        <v>-12723.76716266479</v>
      </c>
      <c r="P223" s="61"/>
      <c r="Q223" s="61"/>
      <c r="R223" s="22">
        <f>SUM(R219:R222)</f>
        <v>-17894</v>
      </c>
      <c r="S223" s="22">
        <f t="shared" ref="S223:Y223" si="459">SUM(S219:S222)</f>
        <v>-8115.786000000001</v>
      </c>
      <c r="T223" s="22">
        <f t="shared" si="459"/>
        <v>-5977.4045080000014</v>
      </c>
      <c r="U223" s="22">
        <f t="shared" si="459"/>
        <v>-25467.8747334</v>
      </c>
      <c r="V223" s="22">
        <f t="shared" si="459"/>
        <v>-20991.268470070005</v>
      </c>
      <c r="W223" s="22">
        <f t="shared" si="459"/>
        <v>-21540.831893573504</v>
      </c>
      <c r="X223" s="22">
        <f t="shared" si="459"/>
        <v>-22117.873488252182</v>
      </c>
      <c r="Y223" s="22">
        <f t="shared" si="459"/>
        <v>-12723.76716266479</v>
      </c>
      <c r="AC223" s="61"/>
      <c r="AD223" s="61"/>
      <c r="AE223" s="22">
        <f>SUM(AE219:AE222)</f>
        <v>0</v>
      </c>
      <c r="AF223" s="22">
        <f t="shared" ref="AF223:AL223" si="460">SUM(AF219:AF222)</f>
        <v>0</v>
      </c>
      <c r="AG223" s="22">
        <f t="shared" si="460"/>
        <v>0</v>
      </c>
      <c r="AH223" s="22">
        <f t="shared" si="460"/>
        <v>-25467.8747334</v>
      </c>
      <c r="AI223" s="22">
        <f t="shared" si="460"/>
        <v>-20991.268470070005</v>
      </c>
      <c r="AJ223" s="22">
        <f t="shared" si="460"/>
        <v>-21540.831893573504</v>
      </c>
      <c r="AK223" s="22">
        <f t="shared" si="460"/>
        <v>-22117.873488252182</v>
      </c>
      <c r="AL223" s="22">
        <f t="shared" si="460"/>
        <v>-12723.76716266479</v>
      </c>
    </row>
    <row r="224" spans="2:40" x14ac:dyDescent="0.2">
      <c r="B224" s="52"/>
      <c r="C224" s="52"/>
      <c r="D224" s="52"/>
      <c r="E224" s="182"/>
      <c r="F224" s="182"/>
      <c r="G224" s="182"/>
      <c r="H224" s="132"/>
      <c r="I224" s="132"/>
      <c r="J224" s="132"/>
      <c r="K224" s="132"/>
      <c r="L224" s="132"/>
      <c r="P224" s="52"/>
      <c r="Q224" s="52"/>
      <c r="R224" s="15"/>
      <c r="S224" s="15"/>
      <c r="T224" s="15"/>
      <c r="AC224" s="52"/>
      <c r="AD224" s="52"/>
      <c r="AE224" s="15"/>
      <c r="AF224" s="15"/>
      <c r="AG224" s="15"/>
    </row>
    <row r="225" spans="2:40" x14ac:dyDescent="0.2">
      <c r="B225" s="58" t="s">
        <v>55</v>
      </c>
      <c r="C225" s="58"/>
      <c r="D225" s="58"/>
      <c r="E225" s="181"/>
      <c r="F225" s="181"/>
      <c r="G225" s="181"/>
      <c r="H225" s="132"/>
      <c r="I225" s="132"/>
      <c r="J225" s="132"/>
      <c r="K225" s="132"/>
      <c r="L225" s="132"/>
      <c r="P225" s="58"/>
      <c r="Q225" s="58"/>
      <c r="R225" s="31"/>
      <c r="S225" s="31"/>
      <c r="T225" s="31"/>
      <c r="AC225" s="58"/>
      <c r="AD225" s="58"/>
      <c r="AE225" s="31"/>
      <c r="AF225" s="31"/>
      <c r="AG225" s="31"/>
    </row>
    <row r="226" spans="2:40" x14ac:dyDescent="0.2">
      <c r="B226" s="49" t="s">
        <v>56</v>
      </c>
      <c r="C226" s="49"/>
      <c r="D226" s="49"/>
      <c r="E226" s="180" cm="1">
        <f t="array" ref="E226">_xlfn.SWITCH($C$11,1,R226,2,AE226)</f>
        <v>0</v>
      </c>
      <c r="F226" s="180" cm="1">
        <f t="array" ref="F226">_xlfn.SWITCH($C$11,1,S226,2,AF226)</f>
        <v>0</v>
      </c>
      <c r="G226" s="180" cm="1">
        <f t="array" ref="G226">_xlfn.SWITCH($C$11,1,T226,2,AG226)</f>
        <v>0</v>
      </c>
      <c r="H226" s="180" cm="1">
        <f t="array" ref="H226">_xlfn.SWITCH($C$11,1,U226,2,AH226)</f>
        <v>12312.974729114836</v>
      </c>
      <c r="I226" s="180" cm="1">
        <f t="array" ref="I226">_xlfn.SWITCH($C$11,1,V226,2,AI226)</f>
        <v>-2687.0252708851635</v>
      </c>
      <c r="J226" s="180" cm="1">
        <f t="array" ref="J226">_xlfn.SWITCH($C$11,1,W226,2,AJ226)</f>
        <v>-2687.025270885164</v>
      </c>
      <c r="K226" s="180" cm="1">
        <f t="array" ref="K226">_xlfn.SWITCH($C$11,1,X226,2,AK226)</f>
        <v>-2687.0252708851635</v>
      </c>
      <c r="L226" s="180" cm="1">
        <f t="array" ref="L226">_xlfn.SWITCH($C$11,1,Y226,2,AL226)</f>
        <v>-2687.0252708851635</v>
      </c>
      <c r="N226" s="39" t="s">
        <v>106</v>
      </c>
      <c r="P226" s="49"/>
      <c r="Q226" s="49"/>
      <c r="R226" s="10">
        <v>0</v>
      </c>
      <c r="S226" s="10">
        <v>0</v>
      </c>
      <c r="T226" s="10">
        <v>0</v>
      </c>
      <c r="U226" s="83">
        <f>U64+U67+U63</f>
        <v>12312.974729114836</v>
      </c>
      <c r="V226" s="83">
        <f t="shared" ref="V226:Y226" si="461">V64+V67+V63</f>
        <v>-2687.0252708851635</v>
      </c>
      <c r="W226" s="83">
        <f t="shared" si="461"/>
        <v>-2687.025270885164</v>
      </c>
      <c r="X226" s="83">
        <f t="shared" si="461"/>
        <v>-2687.0252708851635</v>
      </c>
      <c r="Y226" s="83">
        <f t="shared" si="461"/>
        <v>-2687.0252708851635</v>
      </c>
      <c r="AA226" s="39" t="s">
        <v>106</v>
      </c>
      <c r="AC226" s="49"/>
      <c r="AD226" s="49"/>
      <c r="AE226" s="10"/>
      <c r="AF226" s="10"/>
      <c r="AG226" s="10"/>
      <c r="AH226" s="83">
        <f>AH64+AH67+AH63</f>
        <v>12312.974729114836</v>
      </c>
      <c r="AI226" s="83">
        <f t="shared" ref="AI226:AL226" si="462">AI64+AI67+AI63</f>
        <v>-2687.0252708851635</v>
      </c>
      <c r="AJ226" s="83">
        <f t="shared" si="462"/>
        <v>-2687.025270885164</v>
      </c>
      <c r="AK226" s="83">
        <f t="shared" si="462"/>
        <v>-2687.0252708851635</v>
      </c>
      <c r="AL226" s="83">
        <f t="shared" si="462"/>
        <v>-2687.0252708851635</v>
      </c>
      <c r="AN226" s="39" t="s">
        <v>106</v>
      </c>
    </row>
    <row r="227" spans="2:40" x14ac:dyDescent="0.2">
      <c r="B227" s="49" t="s">
        <v>57</v>
      </c>
      <c r="C227" s="49"/>
      <c r="D227" s="49"/>
      <c r="E227" s="180" cm="1">
        <f t="array" ref="E227">_xlfn.SWITCH($C$11,1,R227,2,AE227)</f>
        <v>0</v>
      </c>
      <c r="F227" s="180" cm="1">
        <f t="array" ref="F227">_xlfn.SWITCH($C$11,1,S227,2,AF227)</f>
        <v>0</v>
      </c>
      <c r="G227" s="180" cm="1">
        <f t="array" ref="G227">_xlfn.SWITCH($C$11,1,T227,2,AG227)</f>
        <v>0</v>
      </c>
      <c r="H227" s="180" cm="1">
        <f t="array" ref="H227">_xlfn.SWITCH($C$11,1,U227,2,AH227)</f>
        <v>0</v>
      </c>
      <c r="I227" s="180" cm="1">
        <f t="array" ref="I227">_xlfn.SWITCH($C$11,1,V227,2,AI227)</f>
        <v>0</v>
      </c>
      <c r="J227" s="180" cm="1">
        <f t="array" ref="J227">_xlfn.SWITCH($C$11,1,W227,2,AJ227)</f>
        <v>0</v>
      </c>
      <c r="K227" s="180" cm="1">
        <f t="array" ref="K227">_xlfn.SWITCH($C$11,1,X227,2,AK227)</f>
        <v>0</v>
      </c>
      <c r="L227" s="180" cm="1">
        <f t="array" ref="L227">_xlfn.SWITCH($C$11,1,Y227,2,AL227)</f>
        <v>0</v>
      </c>
      <c r="P227" s="49"/>
      <c r="Q227" s="49"/>
      <c r="R227" s="10">
        <v>0</v>
      </c>
      <c r="S227" s="10">
        <v>0</v>
      </c>
      <c r="T227" s="10">
        <v>0</v>
      </c>
      <c r="U227" s="83">
        <f>U142</f>
        <v>0</v>
      </c>
      <c r="V227" s="83">
        <f t="shared" ref="V227:Y227" si="463">V142</f>
        <v>0</v>
      </c>
      <c r="W227" s="83">
        <f t="shared" si="463"/>
        <v>0</v>
      </c>
      <c r="X227" s="83">
        <f t="shared" si="463"/>
        <v>0</v>
      </c>
      <c r="Y227" s="83">
        <f t="shared" si="463"/>
        <v>0</v>
      </c>
      <c r="AC227" s="49"/>
      <c r="AD227" s="49"/>
      <c r="AE227" s="10"/>
      <c r="AF227" s="10"/>
      <c r="AG227" s="10"/>
      <c r="AH227" s="83">
        <f>AH142</f>
        <v>0</v>
      </c>
      <c r="AI227" s="83">
        <f t="shared" ref="AI227:AL227" si="464">AI142</f>
        <v>0</v>
      </c>
      <c r="AJ227" s="83">
        <f t="shared" si="464"/>
        <v>0</v>
      </c>
      <c r="AK227" s="83">
        <f t="shared" si="464"/>
        <v>0</v>
      </c>
      <c r="AL227" s="83">
        <f t="shared" si="464"/>
        <v>0</v>
      </c>
    </row>
    <row r="228" spans="2:40" x14ac:dyDescent="0.2">
      <c r="B228" s="61" t="s">
        <v>58</v>
      </c>
      <c r="C228" s="61"/>
      <c r="D228" s="61"/>
      <c r="E228" s="25">
        <f>SUM(E226:E227)</f>
        <v>0</v>
      </c>
      <c r="F228" s="25">
        <f t="shared" ref="F228:L228" si="465">SUM(F226:F227)</f>
        <v>0</v>
      </c>
      <c r="G228" s="25">
        <f t="shared" si="465"/>
        <v>0</v>
      </c>
      <c r="H228" s="25">
        <f t="shared" si="465"/>
        <v>12312.974729114836</v>
      </c>
      <c r="I228" s="25">
        <f t="shared" si="465"/>
        <v>-2687.0252708851635</v>
      </c>
      <c r="J228" s="25">
        <f t="shared" si="465"/>
        <v>-2687.025270885164</v>
      </c>
      <c r="K228" s="25">
        <f t="shared" si="465"/>
        <v>-2687.0252708851635</v>
      </c>
      <c r="L228" s="25">
        <f t="shared" si="465"/>
        <v>-2687.0252708851635</v>
      </c>
      <c r="P228" s="61"/>
      <c r="Q228" s="61"/>
      <c r="R228" s="22">
        <f>SUM(R226:R227)</f>
        <v>0</v>
      </c>
      <c r="S228" s="22">
        <f t="shared" ref="S228:Y228" si="466">SUM(S226:S227)</f>
        <v>0</v>
      </c>
      <c r="T228" s="22">
        <f t="shared" si="466"/>
        <v>0</v>
      </c>
      <c r="U228" s="22">
        <f t="shared" si="466"/>
        <v>12312.974729114836</v>
      </c>
      <c r="V228" s="22">
        <f t="shared" si="466"/>
        <v>-2687.0252708851635</v>
      </c>
      <c r="W228" s="22">
        <f t="shared" si="466"/>
        <v>-2687.025270885164</v>
      </c>
      <c r="X228" s="22">
        <f t="shared" si="466"/>
        <v>-2687.0252708851635</v>
      </c>
      <c r="Y228" s="22">
        <f t="shared" si="466"/>
        <v>-2687.0252708851635</v>
      </c>
      <c r="AC228" s="61"/>
      <c r="AD228" s="61"/>
      <c r="AE228" s="22">
        <f>SUM(AE226:AE227)</f>
        <v>0</v>
      </c>
      <c r="AF228" s="22">
        <f t="shared" ref="AF228:AL228" si="467">SUM(AF226:AF227)</f>
        <v>0</v>
      </c>
      <c r="AG228" s="22">
        <f t="shared" si="467"/>
        <v>0</v>
      </c>
      <c r="AH228" s="22">
        <f t="shared" si="467"/>
        <v>12312.974729114836</v>
      </c>
      <c r="AI228" s="22">
        <f t="shared" si="467"/>
        <v>-2687.0252708851635</v>
      </c>
      <c r="AJ228" s="22">
        <f t="shared" si="467"/>
        <v>-2687.025270885164</v>
      </c>
      <c r="AK228" s="22">
        <f t="shared" si="467"/>
        <v>-2687.0252708851635</v>
      </c>
      <c r="AL228" s="22">
        <f t="shared" si="467"/>
        <v>-2687.0252708851635</v>
      </c>
    </row>
    <row r="229" spans="2:40" x14ac:dyDescent="0.2">
      <c r="B229" s="52"/>
      <c r="C229" s="52"/>
      <c r="D229" s="52"/>
      <c r="E229" s="182"/>
      <c r="F229" s="182"/>
      <c r="G229" s="182"/>
      <c r="H229" s="182"/>
      <c r="I229" s="182"/>
      <c r="J229" s="182"/>
      <c r="K229" s="182"/>
      <c r="L229" s="182"/>
      <c r="P229" s="52"/>
      <c r="Q229" s="52"/>
      <c r="R229" s="15"/>
      <c r="S229" s="15"/>
      <c r="T229" s="15"/>
      <c r="U229" s="15"/>
      <c r="V229" s="15"/>
      <c r="W229" s="15"/>
      <c r="X229" s="15"/>
      <c r="Y229" s="15"/>
      <c r="AC229" s="52"/>
      <c r="AD229" s="52"/>
      <c r="AE229" s="15"/>
      <c r="AF229" s="15"/>
      <c r="AG229" s="15"/>
      <c r="AH229" s="15"/>
      <c r="AI229" s="15"/>
      <c r="AJ229" s="15"/>
      <c r="AK229" s="15"/>
      <c r="AL229" s="15"/>
    </row>
    <row r="230" spans="2:40" x14ac:dyDescent="0.2">
      <c r="B230" s="51" t="s">
        <v>59</v>
      </c>
      <c r="C230" s="51"/>
      <c r="D230" s="51"/>
      <c r="E230" s="25">
        <f>E216+E223+E228</f>
        <v>-13383.668999999996</v>
      </c>
      <c r="F230" s="25">
        <f t="shared" ref="F230:L230" si="468">F216+F223+F228</f>
        <v>1059.2545179999915</v>
      </c>
      <c r="G230" s="25">
        <f t="shared" si="468"/>
        <v>4593.0561332899961</v>
      </c>
      <c r="H230" s="25">
        <f t="shared" si="468"/>
        <v>785.37109684939969</v>
      </c>
      <c r="I230" s="25">
        <f t="shared" si="468"/>
        <v>-10611.280154648292</v>
      </c>
      <c r="J230" s="25">
        <f t="shared" si="468"/>
        <v>-9621.8890520574914</v>
      </c>
      <c r="K230" s="25">
        <f t="shared" si="468"/>
        <v>-10413.372028745449</v>
      </c>
      <c r="L230" s="25">
        <f t="shared" si="468"/>
        <v>719.149460867377</v>
      </c>
      <c r="P230" s="51"/>
      <c r="Q230" s="51"/>
      <c r="R230" s="22">
        <f>R216+R223+R228</f>
        <v>-13383.668999999996</v>
      </c>
      <c r="S230" s="22">
        <f t="shared" ref="S230:Y230" si="469">S216+S223+S228</f>
        <v>1059.2545179999915</v>
      </c>
      <c r="T230" s="22">
        <f t="shared" si="469"/>
        <v>4593.0561332899961</v>
      </c>
      <c r="U230" s="22">
        <f t="shared" si="469"/>
        <v>785.37109684939969</v>
      </c>
      <c r="V230" s="22">
        <f t="shared" si="469"/>
        <v>-10611.280154648292</v>
      </c>
      <c r="W230" s="22">
        <f t="shared" si="469"/>
        <v>-9621.8890520574914</v>
      </c>
      <c r="X230" s="22">
        <f t="shared" si="469"/>
        <v>-10413.372028745449</v>
      </c>
      <c r="Y230" s="22">
        <f t="shared" si="469"/>
        <v>719.149460867377</v>
      </c>
      <c r="AC230" s="51"/>
      <c r="AD230" s="51"/>
      <c r="AE230" s="22">
        <f>AE216+AE223+AE228</f>
        <v>0</v>
      </c>
      <c r="AF230" s="22">
        <f t="shared" ref="AF230:AL230" si="470">AF216+AF223+AF228</f>
        <v>0</v>
      </c>
      <c r="AG230" s="22">
        <f t="shared" si="470"/>
        <v>0</v>
      </c>
      <c r="AH230" s="22">
        <f t="shared" si="470"/>
        <v>-5236.2278110241805</v>
      </c>
      <c r="AI230" s="22">
        <f t="shared" si="470"/>
        <v>-9961.6874909011276</v>
      </c>
      <c r="AJ230" s="22">
        <f t="shared" si="470"/>
        <v>-10271.481715804655</v>
      </c>
      <c r="AK230" s="22">
        <f t="shared" si="470"/>
        <v>-9763.779364998285</v>
      </c>
      <c r="AL230" s="22">
        <f t="shared" si="470"/>
        <v>69.556797120213105</v>
      </c>
    </row>
    <row r="231" spans="2:40" x14ac:dyDescent="0.2">
      <c r="B231" s="49" t="s">
        <v>60</v>
      </c>
      <c r="C231" s="49"/>
      <c r="D231" s="49"/>
      <c r="E231" s="180" cm="1">
        <f t="array" ref="E231">_xlfn.SWITCH($C$11,1,R231,2,AE231)</f>
        <v>24687</v>
      </c>
      <c r="F231" s="180" cm="1">
        <f t="array" ref="F231">_xlfn.SWITCH($C$11,1,S231,2,AF231)</f>
        <v>11303.331000000004</v>
      </c>
      <c r="G231" s="180" cm="1">
        <f t="array" ref="G231">_xlfn.SWITCH($C$11,1,T231,2,AG231)</f>
        <v>12362.585517999996</v>
      </c>
      <c r="H231" s="180" cm="1">
        <f t="array" ref="H231">_xlfn.SWITCH($C$11,1,U231,2,AH231)</f>
        <v>16955.641651289992</v>
      </c>
      <c r="I231" s="180" cm="1">
        <f t="array" ref="I231">_xlfn.SWITCH($C$11,1,V231,2,AI231)</f>
        <v>17741.012748139394</v>
      </c>
      <c r="J231" s="180" cm="1">
        <f t="array" ref="J231">_xlfn.SWITCH($C$11,1,W231,2,AJ231)</f>
        <v>7129.7325934911023</v>
      </c>
      <c r="K231" s="180" cm="1">
        <f t="array" ref="K231">_xlfn.SWITCH($C$11,1,X231,2,AK231)</f>
        <v>-2492.1564585663891</v>
      </c>
      <c r="L231" s="180" cm="1">
        <f t="array" ref="L231">_xlfn.SWITCH($C$11,1,Y231,2,AL231)</f>
        <v>-12905.528487311838</v>
      </c>
      <c r="P231" s="49"/>
      <c r="Q231" s="49"/>
      <c r="R231" s="10">
        <v>24687</v>
      </c>
      <c r="S231" s="32">
        <f>R232</f>
        <v>11303.331000000004</v>
      </c>
      <c r="T231" s="32">
        <f>S232</f>
        <v>12362.585517999996</v>
      </c>
      <c r="U231" s="32">
        <f t="shared" ref="U231" si="471">T232</f>
        <v>16955.641651289992</v>
      </c>
      <c r="V231" s="32">
        <f t="shared" ref="V231" si="472">U232</f>
        <v>17741.012748139394</v>
      </c>
      <c r="W231" s="32">
        <f t="shared" ref="W231" si="473">V232</f>
        <v>7129.7325934911023</v>
      </c>
      <c r="X231" s="32">
        <f t="shared" ref="X231" si="474">W232</f>
        <v>-2492.1564585663891</v>
      </c>
      <c r="Y231" s="32">
        <f t="shared" ref="Y231" si="475">X232</f>
        <v>-12905.528487311838</v>
      </c>
      <c r="AC231" s="49"/>
      <c r="AD231" s="49"/>
      <c r="AE231" s="10"/>
      <c r="AF231" s="32">
        <f>AE232</f>
        <v>0</v>
      </c>
      <c r="AG231" s="32">
        <f>AF232</f>
        <v>0</v>
      </c>
      <c r="AH231" s="32">
        <f t="shared" ref="AH231" si="476">AG232</f>
        <v>0</v>
      </c>
      <c r="AI231" s="32">
        <f t="shared" ref="AI231" si="477">AH232</f>
        <v>-5236.2278110241805</v>
      </c>
      <c r="AJ231" s="32">
        <f t="shared" ref="AJ231" si="478">AI232</f>
        <v>-15197.915301925308</v>
      </c>
      <c r="AK231" s="32">
        <f t="shared" ref="AK231" si="479">AJ232</f>
        <v>-25469.397017729963</v>
      </c>
      <c r="AL231" s="32">
        <f t="shared" ref="AL231" si="480">AK232</f>
        <v>-35233.176382728248</v>
      </c>
    </row>
    <row r="232" spans="2:40" ht="10.8" thickBot="1" x14ac:dyDescent="0.25">
      <c r="B232" s="53" t="s">
        <v>61</v>
      </c>
      <c r="C232" s="53"/>
      <c r="D232" s="53"/>
      <c r="E232" s="183">
        <f>SUM(E230:E231)</f>
        <v>11303.331000000004</v>
      </c>
      <c r="F232" s="183">
        <f t="shared" ref="F232:L232" si="481">SUM(F230:F231)</f>
        <v>12362.585517999996</v>
      </c>
      <c r="G232" s="183">
        <f t="shared" si="481"/>
        <v>16955.641651289992</v>
      </c>
      <c r="H232" s="183">
        <f t="shared" si="481"/>
        <v>17741.012748139394</v>
      </c>
      <c r="I232" s="183">
        <f t="shared" si="481"/>
        <v>7129.7325934911023</v>
      </c>
      <c r="J232" s="183">
        <f t="shared" si="481"/>
        <v>-2492.1564585663891</v>
      </c>
      <c r="K232" s="183">
        <f t="shared" si="481"/>
        <v>-12905.528487311838</v>
      </c>
      <c r="L232" s="183">
        <f t="shared" si="481"/>
        <v>-12186.379026444461</v>
      </c>
      <c r="P232" s="53"/>
      <c r="Q232" s="53"/>
      <c r="R232" s="41">
        <f>SUM(R230:R231)</f>
        <v>11303.331000000004</v>
      </c>
      <c r="S232" s="41">
        <f t="shared" ref="S232:Y232" si="482">SUM(S230:S231)</f>
        <v>12362.585517999996</v>
      </c>
      <c r="T232" s="41">
        <f t="shared" si="482"/>
        <v>16955.641651289992</v>
      </c>
      <c r="U232" s="41">
        <f t="shared" si="482"/>
        <v>17741.012748139394</v>
      </c>
      <c r="V232" s="41">
        <f t="shared" si="482"/>
        <v>7129.7325934911023</v>
      </c>
      <c r="W232" s="41">
        <f t="shared" si="482"/>
        <v>-2492.1564585663891</v>
      </c>
      <c r="X232" s="41">
        <f t="shared" si="482"/>
        <v>-12905.528487311838</v>
      </c>
      <c r="Y232" s="41">
        <f t="shared" si="482"/>
        <v>-12186.379026444461</v>
      </c>
      <c r="AC232" s="53"/>
      <c r="AD232" s="53"/>
      <c r="AE232" s="41">
        <f>SUM(AE230:AE231)</f>
        <v>0</v>
      </c>
      <c r="AF232" s="41">
        <f t="shared" ref="AF232:AL232" si="483">SUM(AF230:AF231)</f>
        <v>0</v>
      </c>
      <c r="AG232" s="41">
        <f t="shared" si="483"/>
        <v>0</v>
      </c>
      <c r="AH232" s="41">
        <f t="shared" si="483"/>
        <v>-5236.2278110241805</v>
      </c>
      <c r="AI232" s="41">
        <f t="shared" si="483"/>
        <v>-15197.915301925308</v>
      </c>
      <c r="AJ232" s="41">
        <f t="shared" si="483"/>
        <v>-25469.397017729963</v>
      </c>
      <c r="AK232" s="41">
        <f t="shared" si="483"/>
        <v>-35233.176382728248</v>
      </c>
      <c r="AL232" s="41">
        <f t="shared" si="483"/>
        <v>-35163.619585608038</v>
      </c>
    </row>
    <row r="233" spans="2:40" x14ac:dyDescent="0.2">
      <c r="B233" s="58"/>
      <c r="C233" s="58"/>
      <c r="D233" s="58"/>
      <c r="E233" s="15"/>
      <c r="F233" s="26"/>
      <c r="G233" s="26"/>
      <c r="H233" s="26"/>
      <c r="I233" s="26"/>
      <c r="J233" s="26"/>
      <c r="K233" s="26"/>
      <c r="L233" s="26"/>
      <c r="P233" s="58"/>
      <c r="Q233" s="58"/>
      <c r="R233" s="15"/>
      <c r="S233" s="26"/>
      <c r="T233" s="26"/>
      <c r="U233" s="26"/>
      <c r="V233" s="26"/>
      <c r="W233" s="26"/>
      <c r="X233" s="26"/>
      <c r="Y233" s="26"/>
      <c r="AC233" s="58"/>
      <c r="AD233" s="58"/>
      <c r="AE233" s="15"/>
      <c r="AF233" s="26"/>
      <c r="AG233" s="26"/>
      <c r="AH233" s="26"/>
      <c r="AI233" s="26"/>
      <c r="AJ233" s="26"/>
      <c r="AK233" s="26"/>
      <c r="AL233" s="26"/>
    </row>
    <row r="234" spans="2:40" x14ac:dyDescent="0.2">
      <c r="B234" s="131" t="s">
        <v>62</v>
      </c>
      <c r="C234" s="131"/>
      <c r="D234" s="131"/>
      <c r="E234" s="28">
        <f>E232-E186</f>
        <v>0</v>
      </c>
      <c r="F234" s="28">
        <f>F232-F186</f>
        <v>0</v>
      </c>
      <c r="G234" s="28">
        <f>G232-G186</f>
        <v>0</v>
      </c>
      <c r="H234" s="28">
        <f t="shared" ref="H234:L234" si="484">H232-H186</f>
        <v>0</v>
      </c>
      <c r="I234" s="28">
        <f t="shared" si="484"/>
        <v>0</v>
      </c>
      <c r="J234" s="28">
        <f t="shared" si="484"/>
        <v>0</v>
      </c>
      <c r="K234" s="28">
        <f t="shared" si="484"/>
        <v>0</v>
      </c>
      <c r="L234" s="28">
        <f t="shared" si="484"/>
        <v>0</v>
      </c>
      <c r="P234" s="131"/>
      <c r="Q234" s="131"/>
      <c r="R234" s="28">
        <f>R232-R186</f>
        <v>0</v>
      </c>
      <c r="S234" s="28">
        <f>S232-S186</f>
        <v>0</v>
      </c>
      <c r="T234" s="28">
        <f>T232-T186</f>
        <v>0</v>
      </c>
      <c r="U234" s="28">
        <f t="shared" ref="U234:Y234" si="485">U232-U186</f>
        <v>0</v>
      </c>
      <c r="V234" s="28">
        <f t="shared" si="485"/>
        <v>0</v>
      </c>
      <c r="W234" s="28">
        <f t="shared" si="485"/>
        <v>0</v>
      </c>
      <c r="X234" s="28">
        <f t="shared" si="485"/>
        <v>0</v>
      </c>
      <c r="Y234" s="28">
        <f t="shared" si="485"/>
        <v>0</v>
      </c>
      <c r="AC234" s="131"/>
      <c r="AD234" s="131"/>
      <c r="AE234" s="28">
        <f>AE232-AE186</f>
        <v>0</v>
      </c>
      <c r="AF234" s="28">
        <f>AF232-AF186</f>
        <v>0</v>
      </c>
      <c r="AG234" s="28">
        <f>AG232-AG186</f>
        <v>0</v>
      </c>
      <c r="AH234" s="28">
        <f t="shared" ref="AH234:AL234" si="486">AH232-AH186</f>
        <v>0</v>
      </c>
      <c r="AI234" s="28">
        <f t="shared" si="486"/>
        <v>0</v>
      </c>
      <c r="AJ234" s="28">
        <f t="shared" si="486"/>
        <v>0</v>
      </c>
      <c r="AK234" s="28">
        <f t="shared" si="486"/>
        <v>0</v>
      </c>
      <c r="AL234" s="28">
        <f t="shared" si="486"/>
        <v>0</v>
      </c>
    </row>
    <row r="235" spans="2:40" x14ac:dyDescent="0.2">
      <c r="B235" s="131" t="s">
        <v>63</v>
      </c>
      <c r="C235" s="131"/>
      <c r="D235" s="131"/>
      <c r="E235" s="28">
        <f>E212-E181</f>
        <v>0</v>
      </c>
      <c r="F235" s="28">
        <f>F212-F181</f>
        <v>0</v>
      </c>
      <c r="G235" s="28">
        <f>G212-G181</f>
        <v>0</v>
      </c>
      <c r="H235" s="28">
        <f t="shared" ref="H235:L235" si="487">H212-H181</f>
        <v>0</v>
      </c>
      <c r="I235" s="28">
        <f t="shared" si="487"/>
        <v>0</v>
      </c>
      <c r="J235" s="28">
        <f t="shared" si="487"/>
        <v>0</v>
      </c>
      <c r="K235" s="28">
        <f t="shared" si="487"/>
        <v>0</v>
      </c>
      <c r="L235" s="28">
        <f t="shared" si="487"/>
        <v>0</v>
      </c>
      <c r="P235" s="131"/>
      <c r="Q235" s="131"/>
      <c r="R235" s="28">
        <f>R212-R181</f>
        <v>0</v>
      </c>
      <c r="S235" s="28">
        <f>S212-S181</f>
        <v>0</v>
      </c>
      <c r="T235" s="28">
        <f>T212-T181</f>
        <v>0</v>
      </c>
      <c r="U235" s="28">
        <f t="shared" ref="U235:Y235" si="488">U212-U181</f>
        <v>0</v>
      </c>
      <c r="V235" s="28">
        <f t="shared" si="488"/>
        <v>0</v>
      </c>
      <c r="W235" s="28">
        <f t="shared" si="488"/>
        <v>0</v>
      </c>
      <c r="X235" s="28">
        <f t="shared" si="488"/>
        <v>0</v>
      </c>
      <c r="Y235" s="28">
        <f t="shared" si="488"/>
        <v>0</v>
      </c>
      <c r="AC235" s="131"/>
      <c r="AD235" s="131"/>
      <c r="AE235" s="28">
        <f>AE212-AE181</f>
        <v>0</v>
      </c>
      <c r="AF235" s="28">
        <f>AF212-AF181</f>
        <v>0</v>
      </c>
      <c r="AG235" s="28">
        <f>AG212-AG181</f>
        <v>0</v>
      </c>
      <c r="AH235" s="28">
        <f t="shared" ref="AH235:AL235" si="489">AH212-AH181</f>
        <v>0</v>
      </c>
      <c r="AI235" s="28">
        <f t="shared" si="489"/>
        <v>0</v>
      </c>
      <c r="AJ235" s="28">
        <f t="shared" si="489"/>
        <v>0</v>
      </c>
      <c r="AK235" s="28">
        <f t="shared" si="489"/>
        <v>0</v>
      </c>
      <c r="AL235" s="28">
        <f t="shared" si="489"/>
        <v>0</v>
      </c>
    </row>
    <row r="236" spans="2:40" x14ac:dyDescent="0.2">
      <c r="B236" s="131" t="s">
        <v>64</v>
      </c>
      <c r="C236" s="131"/>
      <c r="D236" s="131"/>
      <c r="E236" s="28">
        <f t="shared" ref="E236:L237" si="490">E213-E174</f>
        <v>0</v>
      </c>
      <c r="F236" s="28">
        <f t="shared" si="490"/>
        <v>0</v>
      </c>
      <c r="G236" s="28">
        <f t="shared" si="490"/>
        <v>0</v>
      </c>
      <c r="H236" s="28">
        <f t="shared" si="490"/>
        <v>0</v>
      </c>
      <c r="I236" s="28">
        <f t="shared" si="490"/>
        <v>0</v>
      </c>
      <c r="J236" s="28">
        <f t="shared" si="490"/>
        <v>0</v>
      </c>
      <c r="K236" s="28">
        <f t="shared" si="490"/>
        <v>0</v>
      </c>
      <c r="L236" s="28">
        <f t="shared" si="490"/>
        <v>0</v>
      </c>
      <c r="P236" s="131"/>
      <c r="Q236" s="131"/>
      <c r="R236" s="28">
        <f t="shared" ref="R236:Y236" si="491">R213-R174</f>
        <v>0</v>
      </c>
      <c r="S236" s="28">
        <f t="shared" si="491"/>
        <v>0</v>
      </c>
      <c r="T236" s="28">
        <f t="shared" si="491"/>
        <v>0</v>
      </c>
      <c r="U236" s="28">
        <f t="shared" si="491"/>
        <v>0</v>
      </c>
      <c r="V236" s="28">
        <f t="shared" si="491"/>
        <v>0</v>
      </c>
      <c r="W236" s="28">
        <f t="shared" si="491"/>
        <v>0</v>
      </c>
      <c r="X236" s="28">
        <f t="shared" si="491"/>
        <v>0</v>
      </c>
      <c r="Y236" s="28">
        <f t="shared" si="491"/>
        <v>0</v>
      </c>
      <c r="AC236" s="131"/>
      <c r="AD236" s="131"/>
      <c r="AE236" s="28">
        <f t="shared" ref="AE236:AL236" si="492">AE213-AE174</f>
        <v>0</v>
      </c>
      <c r="AF236" s="28">
        <f t="shared" si="492"/>
        <v>0</v>
      </c>
      <c r="AG236" s="28">
        <f t="shared" si="492"/>
        <v>0</v>
      </c>
      <c r="AH236" s="28">
        <f t="shared" si="492"/>
        <v>0</v>
      </c>
      <c r="AI236" s="28">
        <f t="shared" si="492"/>
        <v>0</v>
      </c>
      <c r="AJ236" s="28">
        <f t="shared" si="492"/>
        <v>0</v>
      </c>
      <c r="AK236" s="28">
        <f t="shared" si="492"/>
        <v>0</v>
      </c>
      <c r="AL236" s="28">
        <f t="shared" si="492"/>
        <v>0</v>
      </c>
    </row>
    <row r="237" spans="2:40" x14ac:dyDescent="0.2">
      <c r="B237" s="131" t="s">
        <v>65</v>
      </c>
      <c r="C237" s="131"/>
      <c r="D237" s="131"/>
      <c r="E237" s="28">
        <f t="shared" si="490"/>
        <v>0</v>
      </c>
      <c r="F237" s="28">
        <f t="shared" si="490"/>
        <v>0</v>
      </c>
      <c r="G237" s="28">
        <f t="shared" si="490"/>
        <v>0</v>
      </c>
      <c r="H237" s="28">
        <f t="shared" si="490"/>
        <v>0</v>
      </c>
      <c r="I237" s="28">
        <f t="shared" si="490"/>
        <v>0</v>
      </c>
      <c r="J237" s="28">
        <f t="shared" si="490"/>
        <v>0</v>
      </c>
      <c r="K237" s="28">
        <f t="shared" si="490"/>
        <v>0</v>
      </c>
      <c r="L237" s="28">
        <f t="shared" si="490"/>
        <v>0</v>
      </c>
      <c r="P237" s="131"/>
      <c r="Q237" s="131"/>
      <c r="R237" s="28">
        <f t="shared" ref="R237:Y237" si="493">R214-R175</f>
        <v>0</v>
      </c>
      <c r="S237" s="28">
        <f t="shared" si="493"/>
        <v>0</v>
      </c>
      <c r="T237" s="28">
        <f t="shared" si="493"/>
        <v>0</v>
      </c>
      <c r="U237" s="28">
        <f t="shared" si="493"/>
        <v>0</v>
      </c>
      <c r="V237" s="28">
        <f t="shared" si="493"/>
        <v>0</v>
      </c>
      <c r="W237" s="28">
        <f t="shared" si="493"/>
        <v>0</v>
      </c>
      <c r="X237" s="28">
        <f t="shared" si="493"/>
        <v>0</v>
      </c>
      <c r="Y237" s="28">
        <f t="shared" si="493"/>
        <v>0</v>
      </c>
      <c r="AC237" s="131"/>
      <c r="AD237" s="131"/>
      <c r="AE237" s="28">
        <f t="shared" ref="AE237:AL237" si="494">AE214-AE175</f>
        <v>0</v>
      </c>
      <c r="AF237" s="28">
        <f t="shared" si="494"/>
        <v>0</v>
      </c>
      <c r="AG237" s="28">
        <f t="shared" si="494"/>
        <v>0</v>
      </c>
      <c r="AH237" s="28">
        <f t="shared" si="494"/>
        <v>0</v>
      </c>
      <c r="AI237" s="28">
        <f t="shared" si="494"/>
        <v>0</v>
      </c>
      <c r="AJ237" s="28">
        <f t="shared" si="494"/>
        <v>0</v>
      </c>
      <c r="AK237" s="28">
        <f t="shared" si="494"/>
        <v>0</v>
      </c>
      <c r="AL237" s="28">
        <f t="shared" si="494"/>
        <v>0</v>
      </c>
    </row>
  </sheetData>
  <hyperlinks>
    <hyperlink ref="B1" location="'TOC'!A1" display="Table of Contents" xr:uid="{D8D82B81-D2DF-4E0F-9865-6873EFC149F4}"/>
  </hyperlink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10</xdr:col>
                    <xdr:colOff>83820</xdr:colOff>
                    <xdr:row>1</xdr:row>
                    <xdr:rowOff>0</xdr:rowOff>
                  </from>
                  <to>
                    <xdr:col>11</xdr:col>
                    <xdr:colOff>708660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9F-4DAF-4BB4-B6D5-23F6F0021834}">
  <sheetPr>
    <tabColor theme="1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FFD3-039B-4A76-8F5F-69F5F8AFA19B}">
  <dimension ref="B2:E93"/>
  <sheetViews>
    <sheetView showGridLines="0" zoomScaleNormal="100" workbookViewId="0"/>
  </sheetViews>
  <sheetFormatPr defaultColWidth="9.109375" defaultRowHeight="10.199999999999999" x14ac:dyDescent="0.2"/>
  <cols>
    <col min="1" max="1" width="9.109375" style="1"/>
    <col min="2" max="2" width="33" style="47" bestFit="1" customWidth="1"/>
    <col min="3" max="5" width="11.5546875" style="1" customWidth="1"/>
    <col min="6" max="16384" width="9.109375" style="1"/>
  </cols>
  <sheetData>
    <row r="2" spans="2:5" ht="15.6" x14ac:dyDescent="0.3">
      <c r="B2" s="42" t="s">
        <v>74</v>
      </c>
    </row>
    <row r="3" spans="2:5" x14ac:dyDescent="0.2">
      <c r="B3" s="43" t="s">
        <v>82</v>
      </c>
    </row>
    <row r="4" spans="2:5" x14ac:dyDescent="0.2">
      <c r="B4" s="44"/>
    </row>
    <row r="5" spans="2:5" x14ac:dyDescent="0.2">
      <c r="B5" s="45" t="s">
        <v>80</v>
      </c>
    </row>
    <row r="7" spans="2:5" x14ac:dyDescent="0.2">
      <c r="B7" s="46"/>
      <c r="C7" s="34" t="s">
        <v>0</v>
      </c>
      <c r="D7" s="34" t="s">
        <v>1</v>
      </c>
      <c r="E7" s="34" t="s">
        <v>2</v>
      </c>
    </row>
    <row r="8" spans="2:5" x14ac:dyDescent="0.2">
      <c r="C8" s="2"/>
      <c r="D8" s="2"/>
      <c r="E8" s="2"/>
    </row>
    <row r="9" spans="2:5" x14ac:dyDescent="0.2">
      <c r="B9" s="48" t="s">
        <v>3</v>
      </c>
      <c r="C9" s="36" t="s">
        <v>0</v>
      </c>
      <c r="D9" s="36" t="s">
        <v>1</v>
      </c>
      <c r="E9" s="36" t="s">
        <v>2</v>
      </c>
    </row>
    <row r="11" spans="2:5" x14ac:dyDescent="0.2">
      <c r="B11" s="49" t="s">
        <v>4</v>
      </c>
      <c r="C11" s="8">
        <v>0</v>
      </c>
      <c r="D11" s="8">
        <v>0</v>
      </c>
      <c r="E11" s="8">
        <v>0</v>
      </c>
    </row>
    <row r="12" spans="2:5" x14ac:dyDescent="0.2">
      <c r="B12" s="50" t="s">
        <v>5</v>
      </c>
      <c r="C12" s="10">
        <v>0</v>
      </c>
      <c r="D12" s="10">
        <v>0</v>
      </c>
      <c r="E12" s="10">
        <v>0</v>
      </c>
    </row>
    <row r="13" spans="2:5" x14ac:dyDescent="0.2">
      <c r="B13" s="51" t="s">
        <v>6</v>
      </c>
      <c r="C13" s="22">
        <f>C11-C12</f>
        <v>0</v>
      </c>
      <c r="D13" s="22">
        <f t="shared" ref="D13:E13" si="0">D11-D12</f>
        <v>0</v>
      </c>
      <c r="E13" s="22">
        <f t="shared" si="0"/>
        <v>0</v>
      </c>
    </row>
    <row r="14" spans="2:5" x14ac:dyDescent="0.2">
      <c r="B14" s="52"/>
      <c r="C14" s="14"/>
      <c r="D14" s="14"/>
      <c r="E14" s="14"/>
    </row>
    <row r="15" spans="2:5" x14ac:dyDescent="0.2">
      <c r="B15" s="52" t="s">
        <v>7</v>
      </c>
      <c r="C15" s="15"/>
      <c r="D15" s="15"/>
      <c r="E15" s="15"/>
    </row>
    <row r="16" spans="2:5" x14ac:dyDescent="0.2">
      <c r="B16" s="49" t="s">
        <v>8</v>
      </c>
      <c r="C16" s="17">
        <v>13474.56</v>
      </c>
      <c r="D16" s="17">
        <v>14098.175999999999</v>
      </c>
      <c r="E16" s="17">
        <v>15422.738796799998</v>
      </c>
    </row>
    <row r="17" spans="2:5" x14ac:dyDescent="0.2">
      <c r="B17" s="49" t="s">
        <v>9</v>
      </c>
      <c r="C17" s="17">
        <v>723.84</v>
      </c>
      <c r="D17" s="17">
        <v>806.72896000000003</v>
      </c>
      <c r="E17" s="17">
        <v>923.6459167999999</v>
      </c>
    </row>
    <row r="18" spans="2:5" x14ac:dyDescent="0.2">
      <c r="B18" s="49" t="s">
        <v>10</v>
      </c>
      <c r="C18" s="17">
        <v>2895.36</v>
      </c>
      <c r="D18" s="17">
        <v>3172.0895999999998</v>
      </c>
      <c r="E18" s="17">
        <v>3415.3418783999996</v>
      </c>
    </row>
    <row r="19" spans="2:5" x14ac:dyDescent="0.2">
      <c r="B19" s="49" t="s">
        <v>11</v>
      </c>
      <c r="C19" s="17">
        <v>241.28</v>
      </c>
      <c r="D19" s="17">
        <v>293.71199999999999</v>
      </c>
      <c r="E19" s="17">
        <v>236.28151359999995</v>
      </c>
    </row>
    <row r="20" spans="2:5" x14ac:dyDescent="0.2">
      <c r="B20" s="49" t="s">
        <v>12</v>
      </c>
      <c r="C20" s="17">
        <v>501.12</v>
      </c>
      <c r="D20" s="17">
        <v>567.84320000000002</v>
      </c>
      <c r="E20" s="17">
        <v>515.52330239999992</v>
      </c>
    </row>
    <row r="21" spans="2:5" x14ac:dyDescent="0.2">
      <c r="B21" s="49" t="s">
        <v>13</v>
      </c>
      <c r="C21" s="17">
        <v>92.8</v>
      </c>
      <c r="D21" s="17">
        <v>117.48479999999999</v>
      </c>
      <c r="E21" s="17">
        <v>85.920550399999996</v>
      </c>
    </row>
    <row r="22" spans="2:5" x14ac:dyDescent="0.2">
      <c r="B22" s="49" t="s">
        <v>14</v>
      </c>
      <c r="C22" s="17">
        <v>129.92000000000002</v>
      </c>
      <c r="D22" s="17">
        <v>117.48479999999999</v>
      </c>
      <c r="E22" s="17">
        <v>171.84110079999999</v>
      </c>
    </row>
    <row r="23" spans="2:5" x14ac:dyDescent="0.2">
      <c r="B23" s="49" t="s">
        <v>15</v>
      </c>
      <c r="C23" s="17">
        <v>222.72</v>
      </c>
      <c r="D23" s="17">
        <v>215.38879999999997</v>
      </c>
      <c r="E23" s="17">
        <v>300.72192639999997</v>
      </c>
    </row>
    <row r="24" spans="2:5" x14ac:dyDescent="0.2">
      <c r="B24" s="49" t="s">
        <v>16</v>
      </c>
      <c r="C24" s="17">
        <v>74.239999999999995</v>
      </c>
      <c r="D24" s="17">
        <v>97.903999999999996</v>
      </c>
      <c r="E24" s="17">
        <v>64.44041279999999</v>
      </c>
    </row>
    <row r="25" spans="2:5" x14ac:dyDescent="0.2">
      <c r="B25" s="49" t="s">
        <v>17</v>
      </c>
      <c r="C25" s="17">
        <v>204.15999999999812</v>
      </c>
      <c r="D25" s="17">
        <v>93.987839999998343</v>
      </c>
      <c r="E25" s="17">
        <v>343.68220159999788</v>
      </c>
    </row>
    <row r="26" spans="2:5" x14ac:dyDescent="0.2">
      <c r="B26" s="51" t="s">
        <v>18</v>
      </c>
      <c r="C26" s="25">
        <f>SUM(C16:C25)</f>
        <v>18559.999999999996</v>
      </c>
      <c r="D26" s="25">
        <f t="shared" ref="D26:E26" si="1">SUM(D16:D25)</f>
        <v>19580.799999999992</v>
      </c>
      <c r="E26" s="25">
        <f t="shared" si="1"/>
        <v>21480.137599999995</v>
      </c>
    </row>
    <row r="27" spans="2:5" ht="10.8" thickBot="1" x14ac:dyDescent="0.25">
      <c r="B27" s="53" t="s">
        <v>20</v>
      </c>
      <c r="C27" s="41">
        <f>C13-C26</f>
        <v>-18559.999999999996</v>
      </c>
      <c r="D27" s="41">
        <f t="shared" ref="D27:E27" si="2">D13-D26</f>
        <v>-19580.799999999992</v>
      </c>
      <c r="E27" s="41">
        <f t="shared" si="2"/>
        <v>-21480.137599999995</v>
      </c>
    </row>
    <row r="28" spans="2:5" x14ac:dyDescent="0.2">
      <c r="B28" s="54" t="s">
        <v>85</v>
      </c>
      <c r="C28" s="17"/>
      <c r="D28" s="17"/>
      <c r="E28" s="17"/>
    </row>
    <row r="29" spans="2:5" x14ac:dyDescent="0.2">
      <c r="B29" s="49"/>
      <c r="C29" s="17"/>
      <c r="D29" s="17"/>
      <c r="E29" s="17"/>
    </row>
    <row r="30" spans="2:5" x14ac:dyDescent="0.2">
      <c r="B30" s="49" t="s">
        <v>21</v>
      </c>
      <c r="C30" s="17">
        <v>226</v>
      </c>
      <c r="D30" s="17">
        <v>258</v>
      </c>
      <c r="E30" s="17">
        <v>271</v>
      </c>
    </row>
    <row r="31" spans="2:5" x14ac:dyDescent="0.2">
      <c r="B31" s="50" t="s">
        <v>22</v>
      </c>
      <c r="C31" s="17">
        <v>9000</v>
      </c>
      <c r="D31" s="17">
        <v>8317.1883760165456</v>
      </c>
      <c r="E31" s="17">
        <v>7593.4080545940842</v>
      </c>
    </row>
    <row r="32" spans="2:5" x14ac:dyDescent="0.2">
      <c r="B32" s="50" t="s">
        <v>75</v>
      </c>
      <c r="C32" s="17">
        <v>-50000</v>
      </c>
      <c r="D32" s="17">
        <v>0</v>
      </c>
      <c r="E32" s="17">
        <v>0</v>
      </c>
    </row>
    <row r="33" spans="2:5" x14ac:dyDescent="0.2">
      <c r="B33" s="51" t="s">
        <v>23</v>
      </c>
      <c r="C33" s="22">
        <f>SUM(C30:C32)</f>
        <v>-40774</v>
      </c>
      <c r="D33" s="22">
        <f t="shared" ref="D33:E33" si="3">SUM(D30:D32)</f>
        <v>8575.1883760165456</v>
      </c>
      <c r="E33" s="22">
        <f t="shared" si="3"/>
        <v>7864.4080545940842</v>
      </c>
    </row>
    <row r="34" spans="2:5" x14ac:dyDescent="0.2">
      <c r="B34" s="55" t="s">
        <v>24</v>
      </c>
      <c r="C34" s="12">
        <f>C27-C33</f>
        <v>22214.000000000004</v>
      </c>
      <c r="D34" s="12">
        <f t="shared" ref="D34:E34" si="4">D27-D33</f>
        <v>-28155.988376016539</v>
      </c>
      <c r="E34" s="12">
        <f t="shared" si="4"/>
        <v>-29344.54565459408</v>
      </c>
    </row>
    <row r="35" spans="2:5" x14ac:dyDescent="0.2">
      <c r="B35" s="52"/>
      <c r="C35" s="15"/>
      <c r="D35" s="15"/>
      <c r="E35" s="15"/>
    </row>
    <row r="36" spans="2:5" x14ac:dyDescent="0.2">
      <c r="B36" s="50" t="s">
        <v>25</v>
      </c>
      <c r="C36" s="17">
        <v>7774.9</v>
      </c>
      <c r="D36" s="17">
        <v>0</v>
      </c>
      <c r="E36" s="17">
        <v>0</v>
      </c>
    </row>
    <row r="37" spans="2:5" ht="10.8" thickBot="1" x14ac:dyDescent="0.25">
      <c r="B37" s="56" t="s">
        <v>26</v>
      </c>
      <c r="C37" s="24">
        <f>C34-C36</f>
        <v>14439.100000000004</v>
      </c>
      <c r="D37" s="24">
        <f t="shared" ref="D37:E37" si="5">D34-D36</f>
        <v>-28155.988376016539</v>
      </c>
      <c r="E37" s="24">
        <f t="shared" si="5"/>
        <v>-29344.54565459408</v>
      </c>
    </row>
    <row r="38" spans="2:5" ht="10.8" thickTop="1" x14ac:dyDescent="0.2">
      <c r="B38" s="54" t="s">
        <v>86</v>
      </c>
      <c r="C38" s="4"/>
      <c r="D38" s="4"/>
      <c r="E38" s="4"/>
    </row>
    <row r="39" spans="2:5" x14ac:dyDescent="0.2">
      <c r="B39" s="57"/>
      <c r="C39" s="4"/>
      <c r="D39" s="4"/>
      <c r="E39" s="4"/>
    </row>
    <row r="40" spans="2:5" x14ac:dyDescent="0.2">
      <c r="B40" s="48" t="s">
        <v>27</v>
      </c>
      <c r="C40" s="36" t="s">
        <v>0</v>
      </c>
      <c r="D40" s="36" t="s">
        <v>1</v>
      </c>
      <c r="E40" s="36" t="s">
        <v>2</v>
      </c>
    </row>
    <row r="41" spans="2:5" x14ac:dyDescent="0.2">
      <c r="B41" s="58" t="s">
        <v>28</v>
      </c>
      <c r="C41" s="26"/>
      <c r="D41" s="26"/>
      <c r="E41" s="26"/>
    </row>
    <row r="42" spans="2:5" x14ac:dyDescent="0.2">
      <c r="B42" s="49" t="s">
        <v>29</v>
      </c>
      <c r="C42" s="17">
        <v>17790.906266942431</v>
      </c>
      <c r="D42" s="17">
        <v>-22246.727466115146</v>
      </c>
      <c r="E42" s="17">
        <v>-63545.356879172716</v>
      </c>
    </row>
    <row r="43" spans="2:5" x14ac:dyDescent="0.2">
      <c r="B43" s="49" t="s">
        <v>30</v>
      </c>
      <c r="C43" s="17">
        <v>0</v>
      </c>
      <c r="D43" s="17">
        <v>0</v>
      </c>
      <c r="E43" s="17">
        <v>0</v>
      </c>
    </row>
    <row r="44" spans="2:5" x14ac:dyDescent="0.2">
      <c r="B44" s="49" t="s">
        <v>31</v>
      </c>
      <c r="C44" s="17">
        <v>51400</v>
      </c>
      <c r="D44" s="17">
        <v>51400</v>
      </c>
      <c r="E44" s="17">
        <v>51400</v>
      </c>
    </row>
    <row r="45" spans="2:5" x14ac:dyDescent="0.2">
      <c r="B45" s="49" t="s">
        <v>32</v>
      </c>
      <c r="C45" s="17">
        <v>0</v>
      </c>
      <c r="D45" s="17">
        <v>0</v>
      </c>
      <c r="E45" s="17">
        <v>0</v>
      </c>
    </row>
    <row r="46" spans="2:5" x14ac:dyDescent="0.2">
      <c r="B46" s="49" t="s">
        <v>33</v>
      </c>
      <c r="C46" s="17">
        <v>1520</v>
      </c>
      <c r="D46" s="17">
        <v>1798</v>
      </c>
      <c r="E46" s="17">
        <v>1820</v>
      </c>
    </row>
    <row r="47" spans="2:5" x14ac:dyDescent="0.2">
      <c r="B47" s="49" t="s">
        <v>76</v>
      </c>
      <c r="C47" s="17">
        <v>125700</v>
      </c>
      <c r="D47" s="17">
        <v>125700</v>
      </c>
      <c r="E47" s="17">
        <v>125700</v>
      </c>
    </row>
    <row r="48" spans="2:5" x14ac:dyDescent="0.2">
      <c r="B48" s="49" t="s">
        <v>77</v>
      </c>
      <c r="C48" s="17">
        <v>15000</v>
      </c>
      <c r="D48" s="17">
        <v>15000</v>
      </c>
      <c r="E48" s="17">
        <v>15000</v>
      </c>
    </row>
    <row r="49" spans="2:5" ht="10.8" thickBot="1" x14ac:dyDescent="0.25">
      <c r="B49" s="56" t="s">
        <v>34</v>
      </c>
      <c r="C49" s="24">
        <f>SUM(C42:C48)</f>
        <v>211410.90626694245</v>
      </c>
      <c r="D49" s="24">
        <f t="shared" ref="D49:E49" si="6">SUM(D42:D48)</f>
        <v>171651.27253388485</v>
      </c>
      <c r="E49" s="24">
        <f t="shared" si="6"/>
        <v>130374.64312082728</v>
      </c>
    </row>
    <row r="50" spans="2:5" ht="10.8" thickTop="1" x14ac:dyDescent="0.2">
      <c r="B50" s="52"/>
      <c r="C50" s="15"/>
      <c r="D50" s="15"/>
      <c r="E50" s="15"/>
    </row>
    <row r="51" spans="2:5" x14ac:dyDescent="0.2">
      <c r="B51" s="58" t="s">
        <v>35</v>
      </c>
      <c r="C51" s="26"/>
      <c r="D51" s="26"/>
      <c r="E51" s="26"/>
    </row>
    <row r="52" spans="2:5" x14ac:dyDescent="0.2">
      <c r="B52" s="49" t="s">
        <v>36</v>
      </c>
      <c r="C52" s="17">
        <v>8352</v>
      </c>
      <c r="D52" s="17">
        <v>8811.36</v>
      </c>
      <c r="E52" s="17">
        <v>9666.0619200000001</v>
      </c>
    </row>
    <row r="53" spans="2:5" x14ac:dyDescent="0.2">
      <c r="B53" s="49" t="s">
        <v>37</v>
      </c>
      <c r="C53" s="17">
        <v>0</v>
      </c>
      <c r="D53" s="17">
        <v>0</v>
      </c>
      <c r="E53" s="17">
        <v>0</v>
      </c>
    </row>
    <row r="54" spans="2:5" x14ac:dyDescent="0.2">
      <c r="B54" s="49" t="s">
        <v>38</v>
      </c>
      <c r="C54" s="17">
        <v>138619.80626694241</v>
      </c>
      <c r="D54" s="17">
        <v>126556.80090990139</v>
      </c>
      <c r="E54" s="17">
        <v>113770.01523143789</v>
      </c>
    </row>
    <row r="55" spans="2:5" x14ac:dyDescent="0.2">
      <c r="B55" s="44" t="s">
        <v>87</v>
      </c>
      <c r="C55" s="17">
        <v>0</v>
      </c>
      <c r="D55" s="17">
        <v>0</v>
      </c>
      <c r="E55" s="17">
        <v>0</v>
      </c>
    </row>
    <row r="56" spans="2:5" x14ac:dyDescent="0.2">
      <c r="B56" s="55" t="s">
        <v>39</v>
      </c>
      <c r="C56" s="12">
        <f>SUM(C52:C55)</f>
        <v>146971.80626694241</v>
      </c>
      <c r="D56" s="12">
        <f t="shared" ref="D56:E56" si="7">SUM(D52:D55)</f>
        <v>135368.16090990137</v>
      </c>
      <c r="E56" s="12">
        <f t="shared" si="7"/>
        <v>123436.0771514379</v>
      </c>
    </row>
    <row r="57" spans="2:5" x14ac:dyDescent="0.2">
      <c r="B57" s="58" t="s">
        <v>40</v>
      </c>
      <c r="C57" s="26"/>
      <c r="D57" s="26"/>
      <c r="E57" s="26"/>
    </row>
    <row r="58" spans="2:5" x14ac:dyDescent="0.2">
      <c r="B58" s="49" t="s">
        <v>41</v>
      </c>
      <c r="C58" s="17">
        <v>50000</v>
      </c>
      <c r="D58" s="17">
        <v>50000</v>
      </c>
      <c r="E58" s="17">
        <v>50000</v>
      </c>
    </row>
    <row r="59" spans="2:5" x14ac:dyDescent="0.2">
      <c r="B59" s="49" t="s">
        <v>42</v>
      </c>
      <c r="C59" s="17">
        <v>14439.1</v>
      </c>
      <c r="D59" s="17">
        <v>-13716.888376016546</v>
      </c>
      <c r="E59" s="17">
        <v>-43061.434030610631</v>
      </c>
    </row>
    <row r="60" spans="2:5" x14ac:dyDescent="0.2">
      <c r="B60" s="51" t="s">
        <v>40</v>
      </c>
      <c r="C60" s="22">
        <f>SUM(C58:C59)</f>
        <v>64439.1</v>
      </c>
      <c r="D60" s="22">
        <f t="shared" ref="D60:E60" si="8">SUM(D58:D59)</f>
        <v>36283.111623983452</v>
      </c>
      <c r="E60" s="22">
        <f t="shared" si="8"/>
        <v>6938.5659693893685</v>
      </c>
    </row>
    <row r="61" spans="2:5" ht="10.8" thickBot="1" x14ac:dyDescent="0.25">
      <c r="B61" s="56" t="s">
        <v>43</v>
      </c>
      <c r="C61" s="24">
        <f>C56+C60</f>
        <v>211410.90626694242</v>
      </c>
      <c r="D61" s="24">
        <f t="shared" ref="D61:E61" si="9">D56+D60</f>
        <v>171651.27253388482</v>
      </c>
      <c r="E61" s="24">
        <f t="shared" si="9"/>
        <v>130374.64312082727</v>
      </c>
    </row>
    <row r="62" spans="2:5" ht="10.8" thickTop="1" x14ac:dyDescent="0.2">
      <c r="B62" s="49"/>
      <c r="C62" s="26"/>
      <c r="D62" s="26"/>
      <c r="E62" s="26"/>
    </row>
    <row r="63" spans="2:5" x14ac:dyDescent="0.2">
      <c r="B63" s="59" t="s">
        <v>44</v>
      </c>
      <c r="C63" s="5">
        <f>C61-C49</f>
        <v>0</v>
      </c>
      <c r="D63" s="5">
        <f>D61-D49</f>
        <v>0</v>
      </c>
      <c r="E63" s="5">
        <f>E61-E49</f>
        <v>0</v>
      </c>
    </row>
    <row r="64" spans="2:5" x14ac:dyDescent="0.2">
      <c r="B64" s="59"/>
      <c r="C64" s="5"/>
      <c r="D64" s="5"/>
      <c r="E64" s="5"/>
    </row>
    <row r="65" spans="2:5" x14ac:dyDescent="0.2">
      <c r="B65" s="59"/>
      <c r="C65" s="5"/>
      <c r="D65" s="5"/>
      <c r="E65" s="5"/>
    </row>
    <row r="66" spans="2:5" x14ac:dyDescent="0.2">
      <c r="B66" s="60" t="s">
        <v>45</v>
      </c>
      <c r="C66" s="36" t="s">
        <v>0</v>
      </c>
      <c r="D66" s="36" t="s">
        <v>1</v>
      </c>
      <c r="E66" s="36" t="s">
        <v>2</v>
      </c>
    </row>
    <row r="67" spans="2:5" x14ac:dyDescent="0.2">
      <c r="B67" s="58" t="s">
        <v>46</v>
      </c>
      <c r="C67" s="26"/>
      <c r="D67" s="26"/>
      <c r="E67" s="26"/>
    </row>
    <row r="68" spans="2:5" x14ac:dyDescent="0.2">
      <c r="B68" s="49" t="s">
        <v>26</v>
      </c>
      <c r="C68" s="17">
        <v>14439.1</v>
      </c>
      <c r="D68" s="17">
        <v>-28155.988376016547</v>
      </c>
      <c r="E68" s="17">
        <v>-29344.545654594083</v>
      </c>
    </row>
    <row r="69" spans="2:5" x14ac:dyDescent="0.2">
      <c r="B69" s="49" t="s">
        <v>47</v>
      </c>
      <c r="C69" s="17">
        <v>226</v>
      </c>
      <c r="D69" s="17">
        <v>258</v>
      </c>
      <c r="E69" s="17">
        <v>271</v>
      </c>
    </row>
    <row r="70" spans="2:5" x14ac:dyDescent="0.2">
      <c r="B70" s="49" t="s">
        <v>48</v>
      </c>
      <c r="C70" s="17">
        <v>9000</v>
      </c>
      <c r="D70" s="17">
        <v>8317.1883760165456</v>
      </c>
      <c r="E70" s="17">
        <v>7593.4080545940842</v>
      </c>
    </row>
    <row r="71" spans="2:5" x14ac:dyDescent="0.2">
      <c r="B71" s="49" t="s">
        <v>49</v>
      </c>
      <c r="C71" s="17">
        <v>43048</v>
      </c>
      <c r="D71" s="17">
        <v>-459.36000000000058</v>
      </c>
      <c r="E71" s="17">
        <v>-854.70191999999952</v>
      </c>
    </row>
    <row r="72" spans="2:5" x14ac:dyDescent="0.2">
      <c r="B72" s="51" t="s">
        <v>50</v>
      </c>
      <c r="C72" s="22">
        <f>C68+C69+C70-C71</f>
        <v>-19382.900000000001</v>
      </c>
      <c r="D72" s="22">
        <f t="shared" ref="D72:E72" si="10">D68+D69+D70-D71</f>
        <v>-19121.440000000002</v>
      </c>
      <c r="E72" s="22">
        <f t="shared" si="10"/>
        <v>-20625.435679999999</v>
      </c>
    </row>
    <row r="73" spans="2:5" x14ac:dyDescent="0.2">
      <c r="B73" s="52"/>
      <c r="C73" s="15"/>
      <c r="D73" s="15"/>
      <c r="E73" s="15"/>
    </row>
    <row r="74" spans="2:5" x14ac:dyDescent="0.2">
      <c r="B74" s="58" t="s">
        <v>51</v>
      </c>
      <c r="C74" s="31"/>
      <c r="D74" s="31"/>
      <c r="E74" s="31"/>
    </row>
    <row r="75" spans="2:5" x14ac:dyDescent="0.2">
      <c r="B75" s="49" t="s">
        <v>52</v>
      </c>
      <c r="C75" s="10">
        <v>-1746</v>
      </c>
      <c r="D75" s="10">
        <v>-536</v>
      </c>
      <c r="E75" s="10">
        <v>-293</v>
      </c>
    </row>
    <row r="76" spans="2:5" x14ac:dyDescent="0.2">
      <c r="B76" s="49" t="s">
        <v>78</v>
      </c>
      <c r="C76" s="10">
        <v>-125700</v>
      </c>
      <c r="D76" s="10">
        <v>0</v>
      </c>
      <c r="E76" s="10">
        <v>0</v>
      </c>
    </row>
    <row r="77" spans="2:5" x14ac:dyDescent="0.2">
      <c r="B77" s="49" t="s">
        <v>79</v>
      </c>
      <c r="C77" s="10">
        <v>-15000</v>
      </c>
      <c r="D77" s="10">
        <v>0</v>
      </c>
      <c r="E77" s="10">
        <v>0</v>
      </c>
    </row>
    <row r="78" spans="2:5" x14ac:dyDescent="0.2">
      <c r="B78" s="49" t="s">
        <v>88</v>
      </c>
      <c r="C78" s="10">
        <v>50000</v>
      </c>
      <c r="D78" s="10">
        <v>0</v>
      </c>
      <c r="E78" s="10">
        <v>0</v>
      </c>
    </row>
    <row r="79" spans="2:5" x14ac:dyDescent="0.2">
      <c r="B79" s="61" t="s">
        <v>54</v>
      </c>
      <c r="C79" s="22">
        <f>SUM(C75:C78)</f>
        <v>-92446</v>
      </c>
      <c r="D79" s="22">
        <f t="shared" ref="D79:E79" si="11">SUM(D75:D78)</f>
        <v>-536</v>
      </c>
      <c r="E79" s="22">
        <f t="shared" si="11"/>
        <v>-293</v>
      </c>
    </row>
    <row r="80" spans="2:5" x14ac:dyDescent="0.2">
      <c r="B80" s="52"/>
      <c r="C80" s="15"/>
      <c r="D80" s="15"/>
      <c r="E80" s="15"/>
    </row>
    <row r="81" spans="2:5" x14ac:dyDescent="0.2">
      <c r="B81" s="58" t="s">
        <v>55</v>
      </c>
      <c r="C81" s="31"/>
      <c r="D81" s="31"/>
      <c r="E81" s="31"/>
    </row>
    <row r="82" spans="2:5" x14ac:dyDescent="0.2">
      <c r="B82" s="49" t="s">
        <v>56</v>
      </c>
      <c r="C82" s="10">
        <v>129619.80626694243</v>
      </c>
      <c r="D82" s="10">
        <v>-20380.193733057575</v>
      </c>
      <c r="E82" s="10">
        <v>-20380.193733057575</v>
      </c>
    </row>
    <row r="83" spans="2:5" x14ac:dyDescent="0.2">
      <c r="B83" s="49" t="s">
        <v>57</v>
      </c>
      <c r="C83" s="10">
        <v>0</v>
      </c>
      <c r="D83" s="10">
        <v>0</v>
      </c>
      <c r="E83" s="10">
        <v>0</v>
      </c>
    </row>
    <row r="84" spans="2:5" x14ac:dyDescent="0.2">
      <c r="B84" s="61" t="s">
        <v>58</v>
      </c>
      <c r="C84" s="22">
        <f>SUM(C82:C83)</f>
        <v>129619.80626694243</v>
      </c>
      <c r="D84" s="22">
        <f t="shared" ref="D84:E84" si="12">SUM(D82:D83)</f>
        <v>-20380.193733057575</v>
      </c>
      <c r="E84" s="22">
        <f t="shared" si="12"/>
        <v>-20380.193733057575</v>
      </c>
    </row>
    <row r="85" spans="2:5" x14ac:dyDescent="0.2">
      <c r="B85" s="52"/>
      <c r="C85" s="15"/>
      <c r="D85" s="15"/>
      <c r="E85" s="15"/>
    </row>
    <row r="86" spans="2:5" x14ac:dyDescent="0.2">
      <c r="B86" s="51" t="s">
        <v>59</v>
      </c>
      <c r="C86" s="22">
        <f>C72+C79+C84</f>
        <v>17790.906266942431</v>
      </c>
      <c r="D86" s="22">
        <f t="shared" ref="D86:E86" si="13">D72+D79+D84</f>
        <v>-40037.633733057577</v>
      </c>
      <c r="E86" s="22">
        <f t="shared" si="13"/>
        <v>-41298.62941305757</v>
      </c>
    </row>
    <row r="87" spans="2:5" x14ac:dyDescent="0.2">
      <c r="B87" s="49" t="s">
        <v>60</v>
      </c>
      <c r="C87" s="10">
        <v>0</v>
      </c>
      <c r="D87" s="32">
        <f>C88</f>
        <v>17790.906266942431</v>
      </c>
      <c r="E87" s="32">
        <f>D88</f>
        <v>-22246.727466115146</v>
      </c>
    </row>
    <row r="88" spans="2:5" ht="10.8" thickBot="1" x14ac:dyDescent="0.25">
      <c r="B88" s="53" t="s">
        <v>61</v>
      </c>
      <c r="C88" s="41">
        <f>SUM(C86:C87)</f>
        <v>17790.906266942431</v>
      </c>
      <c r="D88" s="41">
        <f t="shared" ref="D88:E88" si="14">SUM(D86:D87)</f>
        <v>-22246.727466115146</v>
      </c>
      <c r="E88" s="41">
        <f t="shared" si="14"/>
        <v>-63545.356879172716</v>
      </c>
    </row>
    <row r="89" spans="2:5" x14ac:dyDescent="0.2">
      <c r="B89" s="58"/>
      <c r="C89" s="15"/>
      <c r="D89" s="26"/>
      <c r="E89" s="26"/>
    </row>
    <row r="90" spans="2:5" x14ac:dyDescent="0.2">
      <c r="B90" s="62" t="s">
        <v>62</v>
      </c>
      <c r="C90" s="6">
        <f>C88-C42</f>
        <v>0</v>
      </c>
      <c r="D90" s="6">
        <f>D88-D42</f>
        <v>0</v>
      </c>
      <c r="E90" s="6">
        <f>E88-E42</f>
        <v>0</v>
      </c>
    </row>
    <row r="91" spans="2:5" x14ac:dyDescent="0.2">
      <c r="B91" s="62" t="s">
        <v>63</v>
      </c>
      <c r="C91" s="6">
        <f>C68-C37</f>
        <v>0</v>
      </c>
      <c r="D91" s="6">
        <f>D68-D37</f>
        <v>0</v>
      </c>
      <c r="E91" s="6">
        <f>E68-E37</f>
        <v>0</v>
      </c>
    </row>
    <row r="92" spans="2:5" x14ac:dyDescent="0.2">
      <c r="B92" s="62" t="s">
        <v>64</v>
      </c>
      <c r="C92" s="6">
        <f t="shared" ref="C92:E93" si="15">C69-C30</f>
        <v>0</v>
      </c>
      <c r="D92" s="6">
        <f t="shared" si="15"/>
        <v>0</v>
      </c>
      <c r="E92" s="6">
        <f t="shared" si="15"/>
        <v>0</v>
      </c>
    </row>
    <row r="93" spans="2:5" x14ac:dyDescent="0.2">
      <c r="B93" s="62" t="s">
        <v>65</v>
      </c>
      <c r="C93" s="6">
        <f t="shared" si="15"/>
        <v>0</v>
      </c>
      <c r="D93" s="6">
        <f t="shared" si="15"/>
        <v>0</v>
      </c>
      <c r="E93" s="6">
        <f t="shared" si="15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AABE-51C7-42AF-8662-D35F18A9FABA}">
  <dimension ref="B2:E87"/>
  <sheetViews>
    <sheetView showGridLines="0" zoomScaleNormal="100" workbookViewId="0"/>
  </sheetViews>
  <sheetFormatPr defaultColWidth="9.109375" defaultRowHeight="10.199999999999999" x14ac:dyDescent="0.2"/>
  <cols>
    <col min="1" max="1" width="9.109375" style="1"/>
    <col min="2" max="2" width="33" style="1" bestFit="1" customWidth="1"/>
    <col min="3" max="5" width="11.5546875" style="1" customWidth="1"/>
    <col min="6" max="16384" width="9.109375" style="1"/>
  </cols>
  <sheetData>
    <row r="2" spans="2:5" ht="15.6" x14ac:dyDescent="0.3">
      <c r="B2" s="37" t="s">
        <v>84</v>
      </c>
    </row>
    <row r="3" spans="2:5" x14ac:dyDescent="0.2">
      <c r="B3" s="38" t="s">
        <v>82</v>
      </c>
    </row>
    <row r="4" spans="2:5" x14ac:dyDescent="0.2">
      <c r="B4" s="39"/>
    </row>
    <row r="5" spans="2:5" x14ac:dyDescent="0.2">
      <c r="B5" s="40" t="s">
        <v>80</v>
      </c>
    </row>
    <row r="7" spans="2:5" x14ac:dyDescent="0.2">
      <c r="B7" s="33"/>
      <c r="C7" s="34" t="s">
        <v>0</v>
      </c>
      <c r="D7" s="34" t="s">
        <v>1</v>
      </c>
      <c r="E7" s="34" t="s">
        <v>2</v>
      </c>
    </row>
    <row r="8" spans="2:5" x14ac:dyDescent="0.2">
      <c r="C8" s="2"/>
      <c r="D8" s="2"/>
      <c r="E8" s="2"/>
    </row>
    <row r="9" spans="2:5" x14ac:dyDescent="0.2">
      <c r="B9" s="35" t="s">
        <v>3</v>
      </c>
      <c r="C9" s="36" t="s">
        <v>0</v>
      </c>
      <c r="D9" s="36" t="s">
        <v>1</v>
      </c>
      <c r="E9" s="36" t="s">
        <v>2</v>
      </c>
    </row>
    <row r="10" spans="2:5" x14ac:dyDescent="0.2">
      <c r="B10" s="16" t="s">
        <v>4</v>
      </c>
      <c r="C10" s="17">
        <v>282130.96059999999</v>
      </c>
      <c r="D10" s="17">
        <v>326602.25880000001</v>
      </c>
      <c r="E10" s="17">
        <v>363274.00099999999</v>
      </c>
    </row>
    <row r="11" spans="2:5" x14ac:dyDescent="0.2">
      <c r="B11" s="9" t="s">
        <v>5</v>
      </c>
      <c r="C11" s="10">
        <v>107929.8134</v>
      </c>
      <c r="D11" s="10">
        <v>132769.4632</v>
      </c>
      <c r="E11" s="10">
        <v>142864.3934</v>
      </c>
    </row>
    <row r="12" spans="2:5" x14ac:dyDescent="0.2">
      <c r="B12" s="11" t="s">
        <v>6</v>
      </c>
      <c r="C12" s="12">
        <f>C10-C11</f>
        <v>174201.14720000001</v>
      </c>
      <c r="D12" s="12">
        <f t="shared" ref="D12:E12" si="0">D10-D11</f>
        <v>193832.79560000001</v>
      </c>
      <c r="E12" s="12">
        <f t="shared" si="0"/>
        <v>220409.60759999999</v>
      </c>
    </row>
    <row r="13" spans="2:5" x14ac:dyDescent="0.2">
      <c r="B13" s="13"/>
      <c r="C13" s="14"/>
      <c r="D13" s="14"/>
      <c r="E13" s="14"/>
    </row>
    <row r="14" spans="2:5" x14ac:dyDescent="0.2">
      <c r="B14" s="13" t="s">
        <v>7</v>
      </c>
      <c r="C14" s="15"/>
      <c r="D14" s="15"/>
      <c r="E14" s="15"/>
    </row>
    <row r="15" spans="2:5" x14ac:dyDescent="0.2">
      <c r="B15" s="16" t="s">
        <v>8</v>
      </c>
      <c r="C15" s="17">
        <v>60092</v>
      </c>
      <c r="D15" s="17">
        <v>62667.496400000004</v>
      </c>
      <c r="E15" s="17">
        <v>66025.177599999995</v>
      </c>
    </row>
    <row r="16" spans="2:5" x14ac:dyDescent="0.2">
      <c r="B16" s="16" t="s">
        <v>9</v>
      </c>
      <c r="C16" s="17">
        <v>10749.29087043959</v>
      </c>
      <c r="D16" s="17">
        <v>11858.214673101385</v>
      </c>
      <c r="E16" s="17">
        <v>14617.908995897209</v>
      </c>
    </row>
    <row r="17" spans="2:5" x14ac:dyDescent="0.2">
      <c r="B17" s="16" t="s">
        <v>10</v>
      </c>
      <c r="C17" s="17">
        <v>24304.221809569302</v>
      </c>
      <c r="D17" s="17">
        <v>26811.50628020538</v>
      </c>
      <c r="E17" s="17">
        <v>33051.194437894606</v>
      </c>
    </row>
    <row r="18" spans="2:5" x14ac:dyDescent="0.2">
      <c r="B18" s="16" t="s">
        <v>11</v>
      </c>
      <c r="C18" s="17">
        <v>5796.2121600597584</v>
      </c>
      <c r="D18" s="17">
        <v>6394.1639419064759</v>
      </c>
      <c r="E18" s="17">
        <v>7882.2410610981424</v>
      </c>
    </row>
    <row r="19" spans="2:5" x14ac:dyDescent="0.2">
      <c r="B19" s="16" t="s">
        <v>12</v>
      </c>
      <c r="C19" s="17">
        <v>8464.0198048910297</v>
      </c>
      <c r="D19" s="17">
        <v>9337.1893135565497</v>
      </c>
      <c r="E19" s="17">
        <v>11510.179856386094</v>
      </c>
    </row>
    <row r="20" spans="2:5" x14ac:dyDescent="0.2">
      <c r="B20" s="16" t="s">
        <v>13</v>
      </c>
      <c r="C20" s="17">
        <v>441.82084150943746</v>
      </c>
      <c r="D20" s="17">
        <v>487.40018749301521</v>
      </c>
      <c r="E20" s="17">
        <v>600.83003907136447</v>
      </c>
    </row>
    <row r="21" spans="2:5" x14ac:dyDescent="0.2">
      <c r="B21" s="16" t="s">
        <v>14</v>
      </c>
      <c r="C21" s="17">
        <v>995.79932671415793</v>
      </c>
      <c r="D21" s="17">
        <v>1098.5284824675514</v>
      </c>
      <c r="E21" s="17">
        <v>1354.1827187980807</v>
      </c>
    </row>
    <row r="22" spans="2:5" x14ac:dyDescent="0.2">
      <c r="B22" s="16" t="s">
        <v>15</v>
      </c>
      <c r="C22" s="17">
        <v>1321.2258148929723</v>
      </c>
      <c r="D22" s="17">
        <v>1457.5267832531417</v>
      </c>
      <c r="E22" s="17">
        <v>1796.728636141723</v>
      </c>
    </row>
    <row r="23" spans="2:5" x14ac:dyDescent="0.2">
      <c r="B23" s="16" t="s">
        <v>16</v>
      </c>
      <c r="C23" s="17">
        <v>5400.49040109833</v>
      </c>
      <c r="D23" s="17">
        <v>5957.6185339218091</v>
      </c>
      <c r="E23" s="17">
        <v>7344.1009428413954</v>
      </c>
    </row>
    <row r="24" spans="2:5" x14ac:dyDescent="0.2">
      <c r="B24" s="16" t="s">
        <v>17</v>
      </c>
      <c r="C24" s="17">
        <v>2781.0706472169472</v>
      </c>
      <c r="D24" s="17">
        <v>3067.9728693964462</v>
      </c>
      <c r="E24" s="17">
        <v>3781.9646079142494</v>
      </c>
    </row>
    <row r="25" spans="2:5" x14ac:dyDescent="0.2">
      <c r="B25" s="18" t="s">
        <v>18</v>
      </c>
      <c r="C25" s="19">
        <f>SUM(C15:C24)</f>
        <v>120346.15167639151</v>
      </c>
      <c r="D25" s="19">
        <f t="shared" ref="D25:E25" si="1">SUM(D15:D24)</f>
        <v>129137.61746530174</v>
      </c>
      <c r="E25" s="19">
        <f t="shared" si="1"/>
        <v>147964.50889604283</v>
      </c>
    </row>
    <row r="26" spans="2:5" ht="10.8" thickBot="1" x14ac:dyDescent="0.25">
      <c r="B26" s="20" t="s">
        <v>20</v>
      </c>
      <c r="C26" s="21">
        <f>C12-C25</f>
        <v>53854.995523608493</v>
      </c>
      <c r="D26" s="21">
        <f t="shared" ref="D26:E26" si="2">D12-D25</f>
        <v>64695.178134698275</v>
      </c>
      <c r="E26" s="21">
        <f t="shared" si="2"/>
        <v>72445.098703957163</v>
      </c>
    </row>
    <row r="27" spans="2:5" x14ac:dyDescent="0.2">
      <c r="B27" s="16"/>
      <c r="C27" s="17"/>
      <c r="D27" s="17"/>
      <c r="E27" s="17"/>
    </row>
    <row r="28" spans="2:5" x14ac:dyDescent="0.2">
      <c r="B28" s="16"/>
      <c r="C28" s="17"/>
      <c r="D28" s="17"/>
      <c r="E28" s="17"/>
    </row>
    <row r="29" spans="2:5" x14ac:dyDescent="0.2">
      <c r="B29" s="16" t="s">
        <v>21</v>
      </c>
      <c r="C29" s="17">
        <v>31460.975000000002</v>
      </c>
      <c r="D29" s="17">
        <v>29282.907500000001</v>
      </c>
      <c r="E29" s="17">
        <v>31758</v>
      </c>
    </row>
    <row r="30" spans="2:5" x14ac:dyDescent="0.2">
      <c r="B30" s="16" t="s">
        <v>22</v>
      </c>
      <c r="C30" s="17">
        <v>0</v>
      </c>
      <c r="D30" s="17">
        <v>0</v>
      </c>
      <c r="E30" s="17">
        <v>0</v>
      </c>
    </row>
    <row r="31" spans="2:5" x14ac:dyDescent="0.2">
      <c r="B31" s="9" t="s">
        <v>19</v>
      </c>
      <c r="C31" s="17">
        <v>1390.5353236084736</v>
      </c>
      <c r="D31" s="17">
        <v>1533.9864346982231</v>
      </c>
      <c r="E31" s="17">
        <v>1890.9823039571247</v>
      </c>
    </row>
    <row r="32" spans="2:5" x14ac:dyDescent="0.2">
      <c r="B32" s="18" t="s">
        <v>23</v>
      </c>
      <c r="C32" s="22">
        <f>SUM(C29:C31)</f>
        <v>32851.510323608476</v>
      </c>
      <c r="D32" s="22">
        <f t="shared" ref="D32:E32" si="3">SUM(D29:D31)</f>
        <v>30816.893934698222</v>
      </c>
      <c r="E32" s="22">
        <f t="shared" si="3"/>
        <v>33648.982303957127</v>
      </c>
    </row>
    <row r="33" spans="2:5" x14ac:dyDescent="0.2">
      <c r="B33" s="11" t="s">
        <v>24</v>
      </c>
      <c r="C33" s="12">
        <f>C26-C32</f>
        <v>21003.485200000017</v>
      </c>
      <c r="D33" s="12">
        <f t="shared" ref="D33:E33" si="4">D26-D32</f>
        <v>33878.284200000053</v>
      </c>
      <c r="E33" s="12">
        <f t="shared" si="4"/>
        <v>38796.116400000035</v>
      </c>
    </row>
    <row r="34" spans="2:5" x14ac:dyDescent="0.2">
      <c r="B34" s="13"/>
      <c r="C34" s="15"/>
      <c r="D34" s="15"/>
      <c r="E34" s="15"/>
    </row>
    <row r="35" spans="2:5" x14ac:dyDescent="0.2">
      <c r="B35" s="9" t="s">
        <v>25</v>
      </c>
      <c r="C35" s="17">
        <v>7351.2198200000057</v>
      </c>
      <c r="D35" s="17">
        <v>11857.399470000018</v>
      </c>
      <c r="E35" s="17">
        <v>13578.640740000012</v>
      </c>
    </row>
    <row r="36" spans="2:5" ht="10.8" thickBot="1" x14ac:dyDescent="0.25">
      <c r="B36" s="23" t="s">
        <v>26</v>
      </c>
      <c r="C36" s="24">
        <f>C33-C35</f>
        <v>13652.265380000012</v>
      </c>
      <c r="D36" s="24">
        <f t="shared" ref="D36:E36" si="5">D33-D35</f>
        <v>22020.884730000034</v>
      </c>
      <c r="E36" s="24">
        <f t="shared" si="5"/>
        <v>25217.475660000026</v>
      </c>
    </row>
    <row r="37" spans="2:5" ht="10.8" thickTop="1" x14ac:dyDescent="0.2">
      <c r="B37" s="3"/>
      <c r="C37" s="4"/>
      <c r="D37" s="4"/>
      <c r="E37" s="4"/>
    </row>
    <row r="38" spans="2:5" x14ac:dyDescent="0.2">
      <c r="B38" s="3"/>
      <c r="C38" s="4"/>
      <c r="D38" s="4"/>
      <c r="E38" s="4"/>
    </row>
    <row r="39" spans="2:5" x14ac:dyDescent="0.2">
      <c r="B39" s="35" t="s">
        <v>27</v>
      </c>
      <c r="C39" s="36" t="s">
        <v>0</v>
      </c>
      <c r="D39" s="36" t="s">
        <v>1</v>
      </c>
      <c r="E39" s="36" t="s">
        <v>2</v>
      </c>
    </row>
    <row r="40" spans="2:5" x14ac:dyDescent="0.2">
      <c r="B40" s="7" t="s">
        <v>28</v>
      </c>
      <c r="C40" s="26"/>
      <c r="D40" s="26"/>
      <c r="E40" s="26"/>
    </row>
    <row r="41" spans="2:5" x14ac:dyDescent="0.2">
      <c r="B41" s="16" t="s">
        <v>29</v>
      </c>
      <c r="C41" s="17">
        <v>11357.240380000017</v>
      </c>
      <c r="D41" s="17">
        <v>16363.012170000053</v>
      </c>
      <c r="E41" s="17">
        <v>33672.900720000078</v>
      </c>
    </row>
    <row r="42" spans="2:5" x14ac:dyDescent="0.2">
      <c r="B42" s="16" t="s">
        <v>30</v>
      </c>
      <c r="C42" s="17">
        <v>17108</v>
      </c>
      <c r="D42" s="17">
        <v>19330.112939999999</v>
      </c>
      <c r="E42" s="17">
        <v>22163.700049999999</v>
      </c>
    </row>
    <row r="43" spans="2:5" x14ac:dyDescent="0.2">
      <c r="B43" s="16" t="s">
        <v>31</v>
      </c>
      <c r="C43" s="17">
        <v>0</v>
      </c>
      <c r="D43" s="17">
        <v>0</v>
      </c>
      <c r="E43" s="17">
        <v>0</v>
      </c>
    </row>
    <row r="44" spans="2:5" x14ac:dyDescent="0.2">
      <c r="B44" s="16" t="s">
        <v>32</v>
      </c>
      <c r="C44" s="17">
        <v>12568</v>
      </c>
      <c r="D44" s="17">
        <v>16554</v>
      </c>
      <c r="E44" s="17">
        <v>17723</v>
      </c>
    </row>
    <row r="45" spans="2:5" x14ac:dyDescent="0.2">
      <c r="B45" s="16" t="s">
        <v>33</v>
      </c>
      <c r="C45" s="17">
        <v>85844</v>
      </c>
      <c r="D45" s="17">
        <v>98135</v>
      </c>
      <c r="E45" s="17">
        <v>107349</v>
      </c>
    </row>
    <row r="46" spans="2:5" ht="10.8" thickBot="1" x14ac:dyDescent="0.25">
      <c r="B46" s="23" t="s">
        <v>34</v>
      </c>
      <c r="C46" s="24">
        <f>SUM(C41:C45)</f>
        <v>126877.24038000002</v>
      </c>
      <c r="D46" s="24">
        <f t="shared" ref="D46:E46" si="6">SUM(D41:D45)</f>
        <v>150382.12511000005</v>
      </c>
      <c r="E46" s="24">
        <f t="shared" si="6"/>
        <v>180908.60077000008</v>
      </c>
    </row>
    <row r="47" spans="2:5" ht="10.8" thickTop="1" x14ac:dyDescent="0.2">
      <c r="B47" s="13"/>
      <c r="C47" s="15"/>
      <c r="D47" s="15"/>
      <c r="E47" s="15"/>
    </row>
    <row r="48" spans="2:5" x14ac:dyDescent="0.2">
      <c r="B48" s="7" t="s">
        <v>35</v>
      </c>
      <c r="C48" s="26"/>
      <c r="D48" s="26"/>
      <c r="E48" s="26"/>
    </row>
    <row r="49" spans="2:5" x14ac:dyDescent="0.2">
      <c r="B49" s="16" t="s">
        <v>36</v>
      </c>
      <c r="C49" s="17">
        <v>19793</v>
      </c>
      <c r="D49" s="17">
        <v>21277</v>
      </c>
      <c r="E49" s="17">
        <v>26586</v>
      </c>
    </row>
    <row r="50" spans="2:5" x14ac:dyDescent="0.2">
      <c r="B50" s="16" t="s">
        <v>37</v>
      </c>
      <c r="C50" s="17">
        <v>35800</v>
      </c>
      <c r="D50" s="17">
        <v>35800</v>
      </c>
      <c r="E50" s="17">
        <v>35800</v>
      </c>
    </row>
    <row r="51" spans="2:5" x14ac:dyDescent="0.2">
      <c r="B51" s="16" t="s">
        <v>38</v>
      </c>
      <c r="C51" s="17">
        <v>0</v>
      </c>
      <c r="D51" s="17">
        <v>0</v>
      </c>
      <c r="E51" s="17">
        <v>0</v>
      </c>
    </row>
    <row r="52" spans="2:5" x14ac:dyDescent="0.2">
      <c r="B52" s="11" t="s">
        <v>39</v>
      </c>
      <c r="C52" s="12">
        <f>SUM(C49:C51)</f>
        <v>55593</v>
      </c>
      <c r="D52" s="12">
        <f t="shared" ref="D52:E52" si="7">SUM(D49:D51)</f>
        <v>57077</v>
      </c>
      <c r="E52" s="12">
        <f t="shared" si="7"/>
        <v>62386</v>
      </c>
    </row>
    <row r="53" spans="2:5" x14ac:dyDescent="0.2">
      <c r="B53" s="7" t="s">
        <v>40</v>
      </c>
      <c r="C53" s="26"/>
      <c r="D53" s="26"/>
      <c r="E53" s="26"/>
    </row>
    <row r="54" spans="2:5" x14ac:dyDescent="0.2">
      <c r="B54" s="16" t="s">
        <v>41</v>
      </c>
      <c r="C54" s="17">
        <v>5000</v>
      </c>
      <c r="D54" s="17">
        <v>5000</v>
      </c>
      <c r="E54" s="17">
        <v>5000</v>
      </c>
    </row>
    <row r="55" spans="2:5" x14ac:dyDescent="0.2">
      <c r="B55" s="16" t="s">
        <v>42</v>
      </c>
      <c r="C55" s="17">
        <v>66284</v>
      </c>
      <c r="D55" s="17">
        <v>88304.884730000034</v>
      </c>
      <c r="E55" s="17">
        <v>113522.36039000006</v>
      </c>
    </row>
    <row r="56" spans="2:5" x14ac:dyDescent="0.2">
      <c r="B56" s="18" t="s">
        <v>40</v>
      </c>
      <c r="C56" s="22">
        <f>SUM(C54:C55)</f>
        <v>71284</v>
      </c>
      <c r="D56" s="22">
        <f t="shared" ref="D56:E56" si="8">SUM(D54:D55)</f>
        <v>93304.884730000034</v>
      </c>
      <c r="E56" s="22">
        <f t="shared" si="8"/>
        <v>118522.36039000006</v>
      </c>
    </row>
    <row r="57" spans="2:5" ht="10.8" thickBot="1" x14ac:dyDescent="0.25">
      <c r="B57" s="23" t="s">
        <v>43</v>
      </c>
      <c r="C57" s="24">
        <f>C52+C56</f>
        <v>126877</v>
      </c>
      <c r="D57" s="24">
        <f t="shared" ref="D57:E57" si="9">D52+D56</f>
        <v>150381.88473000005</v>
      </c>
      <c r="E57" s="24">
        <f t="shared" si="9"/>
        <v>180908.36039000005</v>
      </c>
    </row>
    <row r="58" spans="2:5" ht="10.8" thickTop="1" x14ac:dyDescent="0.2">
      <c r="B58" s="16"/>
      <c r="C58" s="26"/>
      <c r="D58" s="26"/>
      <c r="E58" s="26"/>
    </row>
    <row r="59" spans="2:5" x14ac:dyDescent="0.2">
      <c r="B59" s="27" t="s">
        <v>44</v>
      </c>
      <c r="C59" s="28">
        <f>C57-C46</f>
        <v>-0.24038000001746695</v>
      </c>
      <c r="D59" s="28">
        <f>D57-D46</f>
        <v>-0.24038000000291504</v>
      </c>
      <c r="E59" s="28">
        <f t="shared" ref="E59" si="10">E57-E46</f>
        <v>-0.24038000003201887</v>
      </c>
    </row>
    <row r="60" spans="2:5" x14ac:dyDescent="0.2">
      <c r="B60" s="29"/>
      <c r="C60" s="30"/>
      <c r="D60" s="30"/>
      <c r="E60" s="30"/>
    </row>
    <row r="61" spans="2:5" x14ac:dyDescent="0.2">
      <c r="B61" s="3"/>
      <c r="C61" s="4"/>
      <c r="D61" s="4"/>
      <c r="E61" s="4"/>
    </row>
    <row r="62" spans="2:5" x14ac:dyDescent="0.2">
      <c r="B62" s="35" t="s">
        <v>45</v>
      </c>
      <c r="C62" s="36" t="s">
        <v>0</v>
      </c>
      <c r="D62" s="36" t="s">
        <v>1</v>
      </c>
      <c r="E62" s="36" t="s">
        <v>2</v>
      </c>
    </row>
    <row r="63" spans="2:5" x14ac:dyDescent="0.2">
      <c r="B63" s="7" t="s">
        <v>46</v>
      </c>
      <c r="C63" s="26"/>
      <c r="D63" s="26"/>
      <c r="E63" s="26"/>
    </row>
    <row r="64" spans="2:5" x14ac:dyDescent="0.2">
      <c r="B64" s="16" t="s">
        <v>26</v>
      </c>
      <c r="C64" s="17">
        <v>13652.265380000012</v>
      </c>
      <c r="D64" s="17">
        <v>22020.884730000034</v>
      </c>
      <c r="E64" s="17">
        <v>25217.475660000026</v>
      </c>
    </row>
    <row r="65" spans="2:5" x14ac:dyDescent="0.2">
      <c r="B65" s="16" t="s">
        <v>47</v>
      </c>
      <c r="C65" s="17">
        <v>31460.975000000002</v>
      </c>
      <c r="D65" s="17">
        <v>29282.907500000001</v>
      </c>
      <c r="E65" s="17">
        <v>31758</v>
      </c>
    </row>
    <row r="66" spans="2:5" x14ac:dyDescent="0.2">
      <c r="B66" s="16" t="s">
        <v>48</v>
      </c>
      <c r="C66" s="17">
        <v>0</v>
      </c>
      <c r="D66" s="17">
        <v>0</v>
      </c>
      <c r="E66" s="17">
        <v>0</v>
      </c>
    </row>
    <row r="67" spans="2:5" x14ac:dyDescent="0.2">
      <c r="B67" s="16" t="s">
        <v>49</v>
      </c>
      <c r="C67" s="17">
        <v>-46786</v>
      </c>
      <c r="D67" s="17">
        <v>4724.1129399999991</v>
      </c>
      <c r="E67" s="17">
        <v>-1306.4128899999996</v>
      </c>
    </row>
    <row r="68" spans="2:5" x14ac:dyDescent="0.2">
      <c r="B68" s="11" t="s">
        <v>50</v>
      </c>
      <c r="C68" s="12">
        <f>C64+C65-C67</f>
        <v>91899.240380000017</v>
      </c>
      <c r="D68" s="12">
        <f t="shared" ref="D68:E68" si="11">D64+D65-D67</f>
        <v>46579.679290000036</v>
      </c>
      <c r="E68" s="12">
        <f t="shared" si="11"/>
        <v>58281.888550000025</v>
      </c>
    </row>
    <row r="69" spans="2:5" x14ac:dyDescent="0.2">
      <c r="B69" s="13"/>
      <c r="C69" s="15"/>
      <c r="D69" s="15"/>
      <c r="E69" s="15"/>
    </row>
    <row r="70" spans="2:5" x14ac:dyDescent="0.2">
      <c r="B70" s="7" t="s">
        <v>51</v>
      </c>
      <c r="C70" s="31"/>
      <c r="D70" s="31"/>
      <c r="E70" s="31"/>
    </row>
    <row r="71" spans="2:5" x14ac:dyDescent="0.2">
      <c r="B71" s="16" t="s">
        <v>52</v>
      </c>
      <c r="C71" s="10">
        <v>-35684</v>
      </c>
      <c r="D71" s="10">
        <v>-41573.907500000001</v>
      </c>
      <c r="E71" s="10">
        <v>-40972</v>
      </c>
    </row>
    <row r="72" spans="2:5" x14ac:dyDescent="0.2">
      <c r="B72" s="16" t="s">
        <v>53</v>
      </c>
      <c r="C72" s="10">
        <v>-50000</v>
      </c>
      <c r="D72" s="10">
        <v>0</v>
      </c>
      <c r="E72" s="10">
        <v>0</v>
      </c>
    </row>
    <row r="73" spans="2:5" x14ac:dyDescent="0.2">
      <c r="B73" s="11" t="s">
        <v>54</v>
      </c>
      <c r="C73" s="12">
        <f>SUM(C71:C72)</f>
        <v>-85684</v>
      </c>
      <c r="D73" s="12">
        <f t="shared" ref="D73:E73" si="12">SUM(D71:D72)</f>
        <v>-41573.907500000001</v>
      </c>
      <c r="E73" s="12">
        <f t="shared" si="12"/>
        <v>-40972</v>
      </c>
    </row>
    <row r="74" spans="2:5" x14ac:dyDescent="0.2">
      <c r="B74" s="13"/>
      <c r="C74" s="15"/>
      <c r="D74" s="15"/>
      <c r="E74" s="15"/>
    </row>
    <row r="75" spans="2:5" x14ac:dyDescent="0.2">
      <c r="B75" s="7" t="s">
        <v>55</v>
      </c>
      <c r="C75" s="31"/>
      <c r="D75" s="31"/>
      <c r="E75" s="31"/>
    </row>
    <row r="76" spans="2:5" x14ac:dyDescent="0.2">
      <c r="B76" s="16" t="s">
        <v>56</v>
      </c>
      <c r="C76" s="10">
        <v>0</v>
      </c>
      <c r="D76" s="10">
        <v>0</v>
      </c>
      <c r="E76" s="10">
        <v>0</v>
      </c>
    </row>
    <row r="77" spans="2:5" x14ac:dyDescent="0.2">
      <c r="B77" s="16" t="s">
        <v>57</v>
      </c>
      <c r="C77" s="10">
        <v>0</v>
      </c>
      <c r="D77" s="10">
        <v>0</v>
      </c>
      <c r="E77" s="10">
        <v>0</v>
      </c>
    </row>
    <row r="78" spans="2:5" x14ac:dyDescent="0.2">
      <c r="B78" s="11" t="s">
        <v>58</v>
      </c>
      <c r="C78" s="12">
        <f>SUM(C76:C77)</f>
        <v>0</v>
      </c>
      <c r="D78" s="12">
        <f>SUM(D76:D77)</f>
        <v>0</v>
      </c>
      <c r="E78" s="12">
        <f>SUM(E76:E77)</f>
        <v>0</v>
      </c>
    </row>
    <row r="79" spans="2:5" x14ac:dyDescent="0.2">
      <c r="B79" s="13"/>
      <c r="C79" s="15"/>
      <c r="D79" s="15"/>
      <c r="E79" s="15"/>
    </row>
    <row r="80" spans="2:5" x14ac:dyDescent="0.2">
      <c r="B80" s="16" t="s">
        <v>59</v>
      </c>
      <c r="C80" s="32">
        <f>C68+C73+C78</f>
        <v>6215.2403800000175</v>
      </c>
      <c r="D80" s="32">
        <f t="shared" ref="D80:E80" si="13">D68+D73+D78</f>
        <v>5005.7717900000353</v>
      </c>
      <c r="E80" s="32">
        <f t="shared" si="13"/>
        <v>17309.888550000025</v>
      </c>
    </row>
    <row r="81" spans="2:5" x14ac:dyDescent="0.2">
      <c r="B81" s="16" t="s">
        <v>60</v>
      </c>
      <c r="C81" s="10">
        <v>5142</v>
      </c>
      <c r="D81" s="32">
        <f>C82</f>
        <v>11357.240380000017</v>
      </c>
      <c r="E81" s="32">
        <f>D82</f>
        <v>16363.012170000053</v>
      </c>
    </row>
    <row r="82" spans="2:5" x14ac:dyDescent="0.2">
      <c r="B82" s="11" t="s">
        <v>61</v>
      </c>
      <c r="C82" s="12">
        <f>SUM(C80:C81)</f>
        <v>11357.240380000017</v>
      </c>
      <c r="D82" s="12">
        <f t="shared" ref="D82:E82" si="14">SUM(D80:D81)</f>
        <v>16363.012170000053</v>
      </c>
      <c r="E82" s="12">
        <f t="shared" si="14"/>
        <v>33672.900720000078</v>
      </c>
    </row>
    <row r="83" spans="2:5" x14ac:dyDescent="0.2">
      <c r="B83" s="7"/>
      <c r="C83" s="15"/>
      <c r="D83" s="26"/>
      <c r="E83" s="26"/>
    </row>
    <row r="84" spans="2:5" x14ac:dyDescent="0.2">
      <c r="B84" s="27" t="s">
        <v>62</v>
      </c>
      <c r="C84" s="28">
        <f>C82-C41</f>
        <v>0</v>
      </c>
      <c r="D84" s="28">
        <f>D82-D41</f>
        <v>0</v>
      </c>
      <c r="E84" s="28">
        <f>E82-E41</f>
        <v>0</v>
      </c>
    </row>
    <row r="85" spans="2:5" x14ac:dyDescent="0.2">
      <c r="B85" s="27" t="s">
        <v>63</v>
      </c>
      <c r="C85" s="28">
        <f>C64-C36</f>
        <v>0</v>
      </c>
      <c r="D85" s="28">
        <f t="shared" ref="D85:E85" si="15">D64-D36</f>
        <v>0</v>
      </c>
      <c r="E85" s="28">
        <f t="shared" si="15"/>
        <v>0</v>
      </c>
    </row>
    <row r="86" spans="2:5" x14ac:dyDescent="0.2">
      <c r="B86" s="27" t="s">
        <v>64</v>
      </c>
      <c r="C86" s="28">
        <f t="shared" ref="C86:E87" si="16">C65-C29</f>
        <v>0</v>
      </c>
      <c r="D86" s="28">
        <f t="shared" si="16"/>
        <v>0</v>
      </c>
      <c r="E86" s="28">
        <f t="shared" si="16"/>
        <v>0</v>
      </c>
    </row>
    <row r="87" spans="2:5" x14ac:dyDescent="0.2">
      <c r="B87" s="27" t="s">
        <v>65</v>
      </c>
      <c r="C87" s="28">
        <f t="shared" si="16"/>
        <v>0</v>
      </c>
      <c r="D87" s="28">
        <f t="shared" si="16"/>
        <v>0</v>
      </c>
      <c r="E87" s="28">
        <f t="shared" si="1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5E2AF-FF18-4641-B572-4A01ABDC9093}">
  <dimension ref="B2:E87"/>
  <sheetViews>
    <sheetView showGridLines="0" zoomScaleNormal="100" workbookViewId="0"/>
  </sheetViews>
  <sheetFormatPr defaultColWidth="9.109375" defaultRowHeight="10.199999999999999" x14ac:dyDescent="0.2"/>
  <cols>
    <col min="1" max="1" width="9.109375" style="1"/>
    <col min="2" max="2" width="33" style="1" bestFit="1" customWidth="1"/>
    <col min="3" max="5" width="11.5546875" style="1" customWidth="1"/>
    <col min="6" max="16384" width="9.109375" style="1"/>
  </cols>
  <sheetData>
    <row r="2" spans="2:5" ht="15.6" x14ac:dyDescent="0.3">
      <c r="B2" s="37" t="s">
        <v>66</v>
      </c>
    </row>
    <row r="3" spans="2:5" x14ac:dyDescent="0.2">
      <c r="B3" s="38" t="s">
        <v>82</v>
      </c>
    </row>
    <row r="4" spans="2:5" x14ac:dyDescent="0.2">
      <c r="B4" s="39"/>
    </row>
    <row r="5" spans="2:5" x14ac:dyDescent="0.2">
      <c r="B5" s="40" t="s">
        <v>80</v>
      </c>
    </row>
    <row r="7" spans="2:5" x14ac:dyDescent="0.2">
      <c r="B7" s="33"/>
      <c r="C7" s="34" t="s">
        <v>0</v>
      </c>
      <c r="D7" s="34" t="s">
        <v>1</v>
      </c>
      <c r="E7" s="34" t="s">
        <v>2</v>
      </c>
    </row>
    <row r="8" spans="2:5" x14ac:dyDescent="0.2">
      <c r="C8" s="2"/>
      <c r="D8" s="2"/>
      <c r="E8" s="2"/>
    </row>
    <row r="9" spans="2:5" x14ac:dyDescent="0.2">
      <c r="B9" s="35" t="s">
        <v>3</v>
      </c>
      <c r="C9" s="36" t="s">
        <v>0</v>
      </c>
      <c r="D9" s="36" t="s">
        <v>1</v>
      </c>
      <c r="E9" s="36" t="s">
        <v>2</v>
      </c>
    </row>
    <row r="10" spans="2:5" x14ac:dyDescent="0.2">
      <c r="B10" s="16" t="s">
        <v>4</v>
      </c>
      <c r="C10" s="17">
        <v>62598</v>
      </c>
      <c r="D10" s="17">
        <v>65540.106</v>
      </c>
      <c r="E10" s="17">
        <v>70914.394692000002</v>
      </c>
    </row>
    <row r="11" spans="2:5" x14ac:dyDescent="0.2">
      <c r="B11" s="9" t="s">
        <v>5</v>
      </c>
      <c r="C11" s="10">
        <v>32363.166000000001</v>
      </c>
      <c r="D11" s="10">
        <v>32442.352469999998</v>
      </c>
      <c r="E11" s="10">
        <v>35669.940530076005</v>
      </c>
    </row>
    <row r="12" spans="2:5" x14ac:dyDescent="0.2">
      <c r="B12" s="11" t="s">
        <v>6</v>
      </c>
      <c r="C12" s="12">
        <f>C10-C11</f>
        <v>30234.833999999999</v>
      </c>
      <c r="D12" s="12">
        <f t="shared" ref="D12:E12" si="0">D10-D11</f>
        <v>33097.753530000002</v>
      </c>
      <c r="E12" s="12">
        <f t="shared" si="0"/>
        <v>35244.454161923997</v>
      </c>
    </row>
    <row r="13" spans="2:5" x14ac:dyDescent="0.2">
      <c r="B13" s="13"/>
      <c r="C13" s="14"/>
      <c r="D13" s="14"/>
      <c r="E13" s="14"/>
    </row>
    <row r="14" spans="2:5" x14ac:dyDescent="0.2">
      <c r="B14" s="13" t="s">
        <v>7</v>
      </c>
      <c r="C14" s="15"/>
      <c r="D14" s="15"/>
      <c r="E14" s="15"/>
    </row>
    <row r="15" spans="2:5" x14ac:dyDescent="0.2">
      <c r="B15" s="16" t="s">
        <v>8</v>
      </c>
      <c r="C15" s="17">
        <v>10641.660000000002</v>
      </c>
      <c r="D15" s="17">
        <v>11141.818020000001</v>
      </c>
      <c r="E15" s="17">
        <v>12055.447097640001</v>
      </c>
    </row>
    <row r="16" spans="2:5" x14ac:dyDescent="0.2">
      <c r="B16" s="16" t="s">
        <v>9</v>
      </c>
      <c r="C16" s="17">
        <v>2441.3220000000001</v>
      </c>
      <c r="D16" s="17">
        <v>2424.9839219999999</v>
      </c>
      <c r="E16" s="17">
        <v>2482.0038142200001</v>
      </c>
    </row>
    <row r="17" spans="2:5" x14ac:dyDescent="0.2">
      <c r="B17" s="16" t="s">
        <v>10</v>
      </c>
      <c r="C17" s="17">
        <v>4068.8700000000003</v>
      </c>
      <c r="D17" s="17">
        <v>4260.10689</v>
      </c>
      <c r="E17" s="17">
        <v>4609.4356549800004</v>
      </c>
    </row>
    <row r="18" spans="2:5" x14ac:dyDescent="0.2">
      <c r="B18" s="16" t="s">
        <v>11</v>
      </c>
      <c r="C18" s="17">
        <v>1377.1559999999999</v>
      </c>
      <c r="D18" s="17">
        <v>1507.4224380000001</v>
      </c>
      <c r="E18" s="17">
        <v>1489.2022885320002</v>
      </c>
    </row>
    <row r="19" spans="2:5" x14ac:dyDescent="0.2">
      <c r="B19" s="16" t="s">
        <v>12</v>
      </c>
      <c r="C19" s="17">
        <v>2503.92</v>
      </c>
      <c r="D19" s="17">
        <v>2556.0641340000002</v>
      </c>
      <c r="E19" s="17">
        <v>2907.4901823720002</v>
      </c>
    </row>
    <row r="20" spans="2:5" x14ac:dyDescent="0.2">
      <c r="B20" s="16" t="s">
        <v>13</v>
      </c>
      <c r="C20" s="17">
        <v>312.99</v>
      </c>
      <c r="D20" s="17">
        <v>458.78074200000003</v>
      </c>
      <c r="E20" s="17">
        <v>425.48636815200001</v>
      </c>
    </row>
    <row r="21" spans="2:5" x14ac:dyDescent="0.2">
      <c r="B21" s="16" t="s">
        <v>14</v>
      </c>
      <c r="C21" s="17">
        <v>312.99</v>
      </c>
      <c r="D21" s="17">
        <v>327.70053000000001</v>
      </c>
      <c r="E21" s="17">
        <v>425.48636815200001</v>
      </c>
    </row>
    <row r="22" spans="2:5" x14ac:dyDescent="0.2">
      <c r="B22" s="16" t="s">
        <v>15</v>
      </c>
      <c r="C22" s="17">
        <v>375.58800000000002</v>
      </c>
      <c r="D22" s="17">
        <v>327.70053000000001</v>
      </c>
      <c r="E22" s="17">
        <v>567.31515753600002</v>
      </c>
    </row>
    <row r="23" spans="2:5" x14ac:dyDescent="0.2">
      <c r="B23" s="16" t="s">
        <v>16</v>
      </c>
      <c r="C23" s="17">
        <v>1314.558</v>
      </c>
      <c r="D23" s="17">
        <v>1245.2620139999999</v>
      </c>
      <c r="E23" s="17">
        <v>1631.031077916</v>
      </c>
    </row>
    <row r="24" spans="2:5" x14ac:dyDescent="0.2">
      <c r="B24" s="16" t="s">
        <v>17</v>
      </c>
      <c r="C24" s="17">
        <v>438.18600000000004</v>
      </c>
      <c r="D24" s="17">
        <v>393.24063599999999</v>
      </c>
      <c r="E24" s="17">
        <v>780.05834161199994</v>
      </c>
    </row>
    <row r="25" spans="2:5" x14ac:dyDescent="0.2">
      <c r="B25" s="18" t="s">
        <v>18</v>
      </c>
      <c r="C25" s="19">
        <f>SUM(C15:C24)</f>
        <v>23787.240000000005</v>
      </c>
      <c r="D25" s="19">
        <f t="shared" ref="D25:E25" si="1">SUM(D15:D24)</f>
        <v>24643.079855999997</v>
      </c>
      <c r="E25" s="19">
        <f t="shared" si="1"/>
        <v>27372.956351111996</v>
      </c>
    </row>
    <row r="26" spans="2:5" ht="10.8" thickBot="1" x14ac:dyDescent="0.25">
      <c r="B26" s="20" t="s">
        <v>20</v>
      </c>
      <c r="C26" s="21">
        <f>C12-C25</f>
        <v>6447.5939999999937</v>
      </c>
      <c r="D26" s="21">
        <f t="shared" ref="D26:E26" si="2">D12-D25</f>
        <v>8454.6736740000051</v>
      </c>
      <c r="E26" s="21">
        <f t="shared" si="2"/>
        <v>7871.4978108120013</v>
      </c>
    </row>
    <row r="27" spans="2:5" x14ac:dyDescent="0.2">
      <c r="B27" s="16"/>
      <c r="C27" s="17"/>
      <c r="D27" s="17"/>
      <c r="E27" s="17"/>
    </row>
    <row r="28" spans="2:5" x14ac:dyDescent="0.2">
      <c r="B28" s="16"/>
      <c r="C28" s="17"/>
      <c r="D28" s="17"/>
      <c r="E28" s="17"/>
    </row>
    <row r="29" spans="2:5" x14ac:dyDescent="0.2">
      <c r="B29" s="16" t="s">
        <v>21</v>
      </c>
      <c r="C29" s="17">
        <v>5633.82</v>
      </c>
      <c r="D29" s="17">
        <v>5898.6095399999995</v>
      </c>
      <c r="E29" s="17">
        <v>6382.2955222800001</v>
      </c>
    </row>
    <row r="30" spans="2:5" x14ac:dyDescent="0.2">
      <c r="B30" s="16" t="s">
        <v>22</v>
      </c>
      <c r="C30" s="17">
        <v>3120</v>
      </c>
      <c r="D30" s="17">
        <v>2748.2987436558856</v>
      </c>
      <c r="E30" s="17">
        <v>2354.2954119311257</v>
      </c>
    </row>
    <row r="31" spans="2:5" x14ac:dyDescent="0.2">
      <c r="B31" s="9" t="s">
        <v>19</v>
      </c>
      <c r="C31" s="17">
        <v>500.78399999999999</v>
      </c>
      <c r="D31" s="17">
        <v>393.24063599999999</v>
      </c>
      <c r="E31" s="17">
        <v>496.40076284400004</v>
      </c>
    </row>
    <row r="32" spans="2:5" x14ac:dyDescent="0.2">
      <c r="B32" s="18" t="s">
        <v>23</v>
      </c>
      <c r="C32" s="22">
        <f>SUM(C29:C31)</f>
        <v>9254.6039999999994</v>
      </c>
      <c r="D32" s="22">
        <f t="shared" ref="D32:E32" si="3">SUM(D29:D31)</f>
        <v>9040.148919655885</v>
      </c>
      <c r="E32" s="22">
        <f t="shared" si="3"/>
        <v>9232.9916970551258</v>
      </c>
    </row>
    <row r="33" spans="2:5" x14ac:dyDescent="0.2">
      <c r="B33" s="11" t="s">
        <v>24</v>
      </c>
      <c r="C33" s="12">
        <f>C26-C32</f>
        <v>-2807.0100000000057</v>
      </c>
      <c r="D33" s="12">
        <f t="shared" ref="D33:E33" si="4">D26-D32</f>
        <v>-585.47524565587992</v>
      </c>
      <c r="E33" s="12">
        <f t="shared" si="4"/>
        <v>-1361.4938862431245</v>
      </c>
    </row>
    <row r="34" spans="2:5" x14ac:dyDescent="0.2">
      <c r="B34" s="13"/>
      <c r="C34" s="15"/>
      <c r="D34" s="15"/>
      <c r="E34" s="15"/>
    </row>
    <row r="35" spans="2:5" x14ac:dyDescent="0.2">
      <c r="B35" s="9" t="s">
        <v>25</v>
      </c>
      <c r="C35" s="17">
        <v>0</v>
      </c>
      <c r="D35" s="17">
        <v>0</v>
      </c>
      <c r="E35" s="17">
        <v>0</v>
      </c>
    </row>
    <row r="36" spans="2:5" ht="10.8" thickBot="1" x14ac:dyDescent="0.25">
      <c r="B36" s="23" t="s">
        <v>26</v>
      </c>
      <c r="C36" s="24">
        <f>C33-C35</f>
        <v>-2807.0100000000057</v>
      </c>
      <c r="D36" s="24">
        <f t="shared" ref="D36:E36" si="5">D33-D35</f>
        <v>-585.47524565587992</v>
      </c>
      <c r="E36" s="24">
        <f t="shared" si="5"/>
        <v>-1361.4938862431245</v>
      </c>
    </row>
    <row r="37" spans="2:5" ht="10.8" thickTop="1" x14ac:dyDescent="0.2">
      <c r="B37" s="3"/>
      <c r="C37" s="4"/>
      <c r="D37" s="4"/>
      <c r="E37" s="4"/>
    </row>
    <row r="38" spans="2:5" x14ac:dyDescent="0.2">
      <c r="B38" s="3"/>
      <c r="C38" s="4"/>
      <c r="D38" s="4"/>
      <c r="E38" s="4"/>
    </row>
    <row r="39" spans="2:5" x14ac:dyDescent="0.2">
      <c r="B39" s="35" t="s">
        <v>27</v>
      </c>
      <c r="C39" s="36" t="s">
        <v>0</v>
      </c>
      <c r="D39" s="36" t="s">
        <v>1</v>
      </c>
      <c r="E39" s="36" t="s">
        <v>2</v>
      </c>
    </row>
    <row r="40" spans="2:5" x14ac:dyDescent="0.2">
      <c r="B40" s="7" t="s">
        <v>28</v>
      </c>
      <c r="C40" s="26"/>
      <c r="D40" s="26"/>
      <c r="E40" s="26"/>
    </row>
    <row r="41" spans="2:5" x14ac:dyDescent="0.2">
      <c r="B41" s="16" t="s">
        <v>29</v>
      </c>
      <c r="C41" s="17">
        <v>52977.201999999997</v>
      </c>
      <c r="D41" s="17">
        <v>42332.254254931438</v>
      </c>
      <c r="E41" s="17">
        <v>30527.451487162871</v>
      </c>
    </row>
    <row r="42" spans="2:5" x14ac:dyDescent="0.2">
      <c r="B42" s="16" t="s">
        <v>30</v>
      </c>
      <c r="C42" s="17">
        <v>7574.3580000000002</v>
      </c>
      <c r="D42" s="17">
        <v>7733.7325079999991</v>
      </c>
      <c r="E42" s="17">
        <v>8722.4705471159996</v>
      </c>
    </row>
    <row r="43" spans="2:5" x14ac:dyDescent="0.2">
      <c r="B43" s="16" t="s">
        <v>31</v>
      </c>
      <c r="C43" s="17">
        <v>0</v>
      </c>
      <c r="D43" s="17">
        <v>0</v>
      </c>
      <c r="E43" s="17">
        <v>0</v>
      </c>
    </row>
    <row r="44" spans="2:5" x14ac:dyDescent="0.2">
      <c r="B44" s="16" t="s">
        <v>32</v>
      </c>
      <c r="C44" s="17">
        <v>4694.8499999999995</v>
      </c>
      <c r="D44" s="17">
        <v>4653.3475259999996</v>
      </c>
      <c r="E44" s="17">
        <v>4893.0932337480008</v>
      </c>
    </row>
    <row r="45" spans="2:5" x14ac:dyDescent="0.2">
      <c r="B45" s="16" t="s">
        <v>33</v>
      </c>
      <c r="C45" s="17">
        <v>37844</v>
      </c>
      <c r="D45" s="17">
        <v>42135</v>
      </c>
      <c r="E45" s="17">
        <v>45349</v>
      </c>
    </row>
    <row r="46" spans="2:5" ht="10.8" thickBot="1" x14ac:dyDescent="0.25">
      <c r="B46" s="23" t="s">
        <v>34</v>
      </c>
      <c r="C46" s="24">
        <f>SUM(C41:C45)</f>
        <v>103090.41</v>
      </c>
      <c r="D46" s="24">
        <f t="shared" ref="D46:E46" si="6">SUM(D41:D45)</f>
        <v>96854.334288931437</v>
      </c>
      <c r="E46" s="24">
        <f t="shared" si="6"/>
        <v>89492.015268026866</v>
      </c>
    </row>
    <row r="47" spans="2:5" ht="10.8" thickTop="1" x14ac:dyDescent="0.2">
      <c r="B47" s="13"/>
      <c r="C47" s="15"/>
      <c r="D47" s="15"/>
      <c r="E47" s="15"/>
    </row>
    <row r="48" spans="2:5" x14ac:dyDescent="0.2">
      <c r="B48" s="7" t="s">
        <v>35</v>
      </c>
      <c r="C48" s="26"/>
      <c r="D48" s="26"/>
      <c r="E48" s="26"/>
    </row>
    <row r="49" spans="2:5" x14ac:dyDescent="0.2">
      <c r="B49" s="16" t="s">
        <v>36</v>
      </c>
      <c r="C49" s="17">
        <v>12519.6</v>
      </c>
      <c r="D49" s="17">
        <v>13435.721729999999</v>
      </c>
      <c r="E49" s="17">
        <v>14395.622122476001</v>
      </c>
    </row>
    <row r="50" spans="2:5" x14ac:dyDescent="0.2">
      <c r="B50" s="16" t="s">
        <v>37</v>
      </c>
      <c r="C50" s="17">
        <v>15600</v>
      </c>
      <c r="D50" s="17">
        <v>15600</v>
      </c>
      <c r="E50" s="17">
        <v>15600</v>
      </c>
    </row>
    <row r="51" spans="2:5" x14ac:dyDescent="0.2">
      <c r="B51" s="16" t="s">
        <v>38</v>
      </c>
      <c r="C51" s="17">
        <v>45804.979060931437</v>
      </c>
      <c r="D51" s="17">
        <v>39238.256865518757</v>
      </c>
      <c r="E51" s="17">
        <v>32277.531338381315</v>
      </c>
    </row>
    <row r="52" spans="2:5" x14ac:dyDescent="0.2">
      <c r="B52" s="11" t="s">
        <v>39</v>
      </c>
      <c r="C52" s="12">
        <f>SUM(C49:C51)</f>
        <v>73924.579060931428</v>
      </c>
      <c r="D52" s="12">
        <f t="shared" ref="D52:E52" si="7">SUM(D49:D51)</f>
        <v>68273.978595518754</v>
      </c>
      <c r="E52" s="12">
        <f t="shared" si="7"/>
        <v>62273.153460857313</v>
      </c>
    </row>
    <row r="53" spans="2:5" x14ac:dyDescent="0.2">
      <c r="B53" s="7" t="s">
        <v>40</v>
      </c>
      <c r="C53" s="26"/>
      <c r="D53" s="26"/>
      <c r="E53" s="26"/>
    </row>
    <row r="54" spans="2:5" x14ac:dyDescent="0.2">
      <c r="B54" s="16" t="s">
        <v>41</v>
      </c>
      <c r="C54" s="17">
        <v>5000</v>
      </c>
      <c r="D54" s="17">
        <v>5000</v>
      </c>
      <c r="E54" s="17">
        <v>5000</v>
      </c>
    </row>
    <row r="55" spans="2:5" x14ac:dyDescent="0.2">
      <c r="B55" s="16" t="s">
        <v>42</v>
      </c>
      <c r="C55" s="17">
        <v>24166</v>
      </c>
      <c r="D55" s="17">
        <v>23580.524754344122</v>
      </c>
      <c r="E55" s="17">
        <v>22219.030868100999</v>
      </c>
    </row>
    <row r="56" spans="2:5" x14ac:dyDescent="0.2">
      <c r="B56" s="18" t="s">
        <v>40</v>
      </c>
      <c r="C56" s="22">
        <f>SUM(C54:C55)</f>
        <v>29166</v>
      </c>
      <c r="D56" s="22">
        <f t="shared" ref="D56:E56" si="8">SUM(D54:D55)</f>
        <v>28580.524754344122</v>
      </c>
      <c r="E56" s="22">
        <f t="shared" si="8"/>
        <v>27219.030868100999</v>
      </c>
    </row>
    <row r="57" spans="2:5" ht="10.8" thickBot="1" x14ac:dyDescent="0.25">
      <c r="B57" s="23" t="s">
        <v>43</v>
      </c>
      <c r="C57" s="24">
        <f>C52+C56</f>
        <v>103090.57906093143</v>
      </c>
      <c r="D57" s="24">
        <f t="shared" ref="D57:E57" si="9">D52+D56</f>
        <v>96854.503349862876</v>
      </c>
      <c r="E57" s="24">
        <f t="shared" si="9"/>
        <v>89492.184328958305</v>
      </c>
    </row>
    <row r="58" spans="2:5" ht="10.8" thickTop="1" x14ac:dyDescent="0.2">
      <c r="B58" s="16"/>
      <c r="C58" s="26"/>
      <c r="D58" s="26"/>
      <c r="E58" s="26"/>
    </row>
    <row r="59" spans="2:5" x14ac:dyDescent="0.2">
      <c r="B59" s="27" t="s">
        <v>44</v>
      </c>
      <c r="C59" s="28">
        <f>C57-C46</f>
        <v>0.16906093142461032</v>
      </c>
      <c r="D59" s="28">
        <f>D57-D46</f>
        <v>0.16906093143916223</v>
      </c>
      <c r="E59" s="28">
        <f t="shared" ref="E59" si="10">E57-E46</f>
        <v>0.16906093143916223</v>
      </c>
    </row>
    <row r="60" spans="2:5" x14ac:dyDescent="0.2">
      <c r="B60" s="29"/>
      <c r="C60" s="30"/>
      <c r="D60" s="30"/>
      <c r="E60" s="30"/>
    </row>
    <row r="61" spans="2:5" x14ac:dyDescent="0.2">
      <c r="B61" s="3"/>
      <c r="C61" s="4"/>
      <c r="D61" s="4"/>
      <c r="E61" s="4"/>
    </row>
    <row r="62" spans="2:5" x14ac:dyDescent="0.2">
      <c r="B62" s="35" t="s">
        <v>45</v>
      </c>
      <c r="C62" s="36" t="s">
        <v>0</v>
      </c>
      <c r="D62" s="36" t="s">
        <v>1</v>
      </c>
      <c r="E62" s="36" t="s">
        <v>2</v>
      </c>
    </row>
    <row r="63" spans="2:5" x14ac:dyDescent="0.2">
      <c r="B63" s="7" t="s">
        <v>46</v>
      </c>
      <c r="C63" s="26"/>
      <c r="D63" s="26"/>
      <c r="E63" s="26"/>
    </row>
    <row r="64" spans="2:5" x14ac:dyDescent="0.2">
      <c r="B64" s="16" t="s">
        <v>26</v>
      </c>
      <c r="C64" s="17">
        <v>-2807.0100000000057</v>
      </c>
      <c r="D64" s="17">
        <v>-585.47524565587992</v>
      </c>
      <c r="E64" s="17">
        <v>-1361.4938862431245</v>
      </c>
    </row>
    <row r="65" spans="2:5" x14ac:dyDescent="0.2">
      <c r="B65" s="16" t="s">
        <v>47</v>
      </c>
      <c r="C65" s="17">
        <v>5633.82</v>
      </c>
      <c r="D65" s="17">
        <v>5898.6095399999995</v>
      </c>
      <c r="E65" s="17">
        <v>6382.2955222800001</v>
      </c>
    </row>
    <row r="66" spans="2:5" x14ac:dyDescent="0.2">
      <c r="B66" s="16" t="s">
        <v>48</v>
      </c>
      <c r="C66" s="17">
        <v>3120</v>
      </c>
      <c r="D66" s="17">
        <v>2748.2987436558856</v>
      </c>
      <c r="E66" s="17">
        <v>2354.2954119311257</v>
      </c>
    </row>
    <row r="67" spans="2:5" x14ac:dyDescent="0.2">
      <c r="B67" s="16" t="s">
        <v>49</v>
      </c>
      <c r="C67" s="17">
        <v>-250.39200000000164</v>
      </c>
      <c r="D67" s="17">
        <v>-798.24969599999895</v>
      </c>
      <c r="E67" s="17">
        <v>268.58335438799986</v>
      </c>
    </row>
    <row r="68" spans="2:5" x14ac:dyDescent="0.2">
      <c r="B68" s="11" t="s">
        <v>50</v>
      </c>
      <c r="C68" s="12">
        <f>C64+C65+C66-C67</f>
        <v>6197.2019999999957</v>
      </c>
      <c r="D68" s="12">
        <f t="shared" ref="D68:E68" si="11">D64+D65+D66-D67</f>
        <v>8859.6827340000036</v>
      </c>
      <c r="E68" s="12">
        <f t="shared" si="11"/>
        <v>7106.5136935800019</v>
      </c>
    </row>
    <row r="69" spans="2:5" x14ac:dyDescent="0.2">
      <c r="B69" s="13"/>
      <c r="C69" s="15"/>
      <c r="D69" s="15"/>
      <c r="E69" s="15"/>
    </row>
    <row r="70" spans="2:5" x14ac:dyDescent="0.2">
      <c r="B70" s="7" t="s">
        <v>51</v>
      </c>
      <c r="C70" s="31"/>
      <c r="D70" s="31"/>
      <c r="E70" s="31"/>
    </row>
    <row r="71" spans="2:5" x14ac:dyDescent="0.2">
      <c r="B71" s="16" t="s">
        <v>52</v>
      </c>
      <c r="C71" s="10">
        <v>-15684</v>
      </c>
      <c r="D71" s="10">
        <v>-10189.609539999999</v>
      </c>
      <c r="E71" s="10">
        <v>-9596.295522280001</v>
      </c>
    </row>
    <row r="72" spans="2:5" x14ac:dyDescent="0.2">
      <c r="B72" s="16" t="s">
        <v>53</v>
      </c>
      <c r="C72" s="10">
        <v>0</v>
      </c>
      <c r="D72" s="10">
        <v>0</v>
      </c>
      <c r="E72" s="10">
        <v>0</v>
      </c>
    </row>
    <row r="73" spans="2:5" x14ac:dyDescent="0.2">
      <c r="B73" s="11" t="s">
        <v>54</v>
      </c>
      <c r="C73" s="12">
        <f>SUM(C71:C72)</f>
        <v>-15684</v>
      </c>
      <c r="D73" s="12">
        <f t="shared" ref="D73:E73" si="12">SUM(D71:D72)</f>
        <v>-10189.609539999999</v>
      </c>
      <c r="E73" s="12">
        <f t="shared" si="12"/>
        <v>-9596.295522280001</v>
      </c>
    </row>
    <row r="74" spans="2:5" x14ac:dyDescent="0.2">
      <c r="B74" s="13"/>
      <c r="C74" s="15"/>
      <c r="D74" s="15"/>
      <c r="E74" s="15"/>
    </row>
    <row r="75" spans="2:5" x14ac:dyDescent="0.2">
      <c r="B75" s="7" t="s">
        <v>55</v>
      </c>
      <c r="C75" s="31"/>
      <c r="D75" s="31"/>
      <c r="E75" s="31"/>
    </row>
    <row r="76" spans="2:5" x14ac:dyDescent="0.2">
      <c r="B76" s="16" t="s">
        <v>56</v>
      </c>
      <c r="C76" s="10">
        <v>48880</v>
      </c>
      <c r="D76" s="10">
        <v>-9315.0209390685668</v>
      </c>
      <c r="E76" s="10">
        <v>-9315.0209390685686</v>
      </c>
    </row>
    <row r="77" spans="2:5" x14ac:dyDescent="0.2">
      <c r="B77" s="16" t="s">
        <v>57</v>
      </c>
      <c r="C77" s="10">
        <v>0</v>
      </c>
      <c r="D77" s="10">
        <v>0</v>
      </c>
      <c r="E77" s="10">
        <v>0</v>
      </c>
    </row>
    <row r="78" spans="2:5" x14ac:dyDescent="0.2">
      <c r="B78" s="11" t="s">
        <v>58</v>
      </c>
      <c r="C78" s="12">
        <f>SUM(C76:C77)</f>
        <v>48880</v>
      </c>
      <c r="D78" s="12">
        <f t="shared" ref="D78:E78" si="13">SUM(D76:D77)</f>
        <v>-9315.0209390685668</v>
      </c>
      <c r="E78" s="12">
        <f t="shared" si="13"/>
        <v>-9315.0209390685686</v>
      </c>
    </row>
    <row r="79" spans="2:5" x14ac:dyDescent="0.2">
      <c r="B79" s="13"/>
      <c r="C79" s="15"/>
      <c r="D79" s="15"/>
      <c r="E79" s="15"/>
    </row>
    <row r="80" spans="2:5" x14ac:dyDescent="0.2">
      <c r="B80" s="16" t="s">
        <v>59</v>
      </c>
      <c r="C80" s="32">
        <f>C68+C73+C78</f>
        <v>39393.201999999997</v>
      </c>
      <c r="D80" s="32">
        <f>D68+D73+D78</f>
        <v>-10644.947745068563</v>
      </c>
      <c r="E80" s="32">
        <f>E68+E73+E78</f>
        <v>-11804.802767768568</v>
      </c>
    </row>
    <row r="81" spans="2:5" x14ac:dyDescent="0.2">
      <c r="B81" s="16" t="s">
        <v>60</v>
      </c>
      <c r="C81" s="10">
        <v>13584</v>
      </c>
      <c r="D81" s="32">
        <f>C82</f>
        <v>52977.201999999997</v>
      </c>
      <c r="E81" s="32">
        <f>D82</f>
        <v>42332.254254931438</v>
      </c>
    </row>
    <row r="82" spans="2:5" x14ac:dyDescent="0.2">
      <c r="B82" s="11" t="s">
        <v>61</v>
      </c>
      <c r="C82" s="12">
        <f>SUM(C80:C81)</f>
        <v>52977.201999999997</v>
      </c>
      <c r="D82" s="12">
        <f t="shared" ref="D82:E82" si="14">SUM(D80:D81)</f>
        <v>42332.254254931438</v>
      </c>
      <c r="E82" s="12">
        <f t="shared" si="14"/>
        <v>30527.451487162871</v>
      </c>
    </row>
    <row r="83" spans="2:5" x14ac:dyDescent="0.2">
      <c r="B83" s="7"/>
      <c r="C83" s="15"/>
      <c r="D83" s="26"/>
      <c r="E83" s="26"/>
    </row>
    <row r="84" spans="2:5" x14ac:dyDescent="0.2">
      <c r="B84" s="27" t="s">
        <v>62</v>
      </c>
      <c r="C84" s="28">
        <f>C82-C41</f>
        <v>0</v>
      </c>
      <c r="D84" s="28">
        <f>D82-D41</f>
        <v>0</v>
      </c>
      <c r="E84" s="28">
        <f>E82-E41</f>
        <v>0</v>
      </c>
    </row>
    <row r="85" spans="2:5" x14ac:dyDescent="0.2">
      <c r="B85" s="27" t="s">
        <v>63</v>
      </c>
      <c r="C85" s="28">
        <f>C64-C36</f>
        <v>0</v>
      </c>
      <c r="D85" s="28">
        <f t="shared" ref="D85:E85" si="15">D64-D36</f>
        <v>0</v>
      </c>
      <c r="E85" s="28">
        <f t="shared" si="15"/>
        <v>0</v>
      </c>
    </row>
    <row r="86" spans="2:5" x14ac:dyDescent="0.2">
      <c r="B86" s="27" t="s">
        <v>64</v>
      </c>
      <c r="C86" s="28">
        <f t="shared" ref="C86:E87" si="16">C65-C29</f>
        <v>0</v>
      </c>
      <c r="D86" s="28">
        <f t="shared" si="16"/>
        <v>0</v>
      </c>
      <c r="E86" s="28">
        <f t="shared" si="16"/>
        <v>0</v>
      </c>
    </row>
    <row r="87" spans="2:5" x14ac:dyDescent="0.2">
      <c r="B87" s="27" t="s">
        <v>65</v>
      </c>
      <c r="C87" s="28">
        <f t="shared" si="16"/>
        <v>0</v>
      </c>
      <c r="D87" s="28">
        <f t="shared" si="16"/>
        <v>0</v>
      </c>
      <c r="E87" s="28">
        <f t="shared" si="16"/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D70F-B103-4208-B554-60AA40615340}">
  <dimension ref="B2:E86"/>
  <sheetViews>
    <sheetView showGridLines="0" zoomScaleNormal="100" workbookViewId="0"/>
  </sheetViews>
  <sheetFormatPr defaultColWidth="9.109375" defaultRowHeight="10.199999999999999" x14ac:dyDescent="0.2"/>
  <cols>
    <col min="1" max="1" width="9.109375" style="1"/>
    <col min="2" max="2" width="33" style="1" bestFit="1" customWidth="1"/>
    <col min="3" max="5" width="11.5546875" style="1" customWidth="1"/>
    <col min="6" max="16384" width="9.109375" style="1"/>
  </cols>
  <sheetData>
    <row r="2" spans="2:5" ht="15.6" x14ac:dyDescent="0.3">
      <c r="B2" s="37" t="s">
        <v>67</v>
      </c>
    </row>
    <row r="3" spans="2:5" x14ac:dyDescent="0.2">
      <c r="B3" s="38" t="s">
        <v>82</v>
      </c>
    </row>
    <row r="4" spans="2:5" x14ac:dyDescent="0.2">
      <c r="B4" s="39"/>
    </row>
    <row r="5" spans="2:5" x14ac:dyDescent="0.2">
      <c r="B5" s="40" t="s">
        <v>80</v>
      </c>
    </row>
    <row r="7" spans="2:5" x14ac:dyDescent="0.2">
      <c r="B7" s="33"/>
      <c r="C7" s="34" t="s">
        <v>0</v>
      </c>
      <c r="D7" s="34" t="s">
        <v>1</v>
      </c>
      <c r="E7" s="34" t="s">
        <v>2</v>
      </c>
    </row>
    <row r="8" spans="2:5" x14ac:dyDescent="0.2">
      <c r="C8" s="2"/>
      <c r="D8" s="2"/>
      <c r="E8" s="2"/>
    </row>
    <row r="9" spans="2:5" x14ac:dyDescent="0.2">
      <c r="B9" s="35" t="s">
        <v>3</v>
      </c>
      <c r="C9" s="36" t="s">
        <v>0</v>
      </c>
      <c r="D9" s="36" t="s">
        <v>1</v>
      </c>
      <c r="E9" s="36" t="s">
        <v>2</v>
      </c>
    </row>
    <row r="10" spans="2:5" x14ac:dyDescent="0.2">
      <c r="B10" s="16" t="s">
        <v>4</v>
      </c>
      <c r="C10" s="17">
        <v>135697</v>
      </c>
      <c r="D10" s="17">
        <v>146281.36600000001</v>
      </c>
      <c r="E10" s="17">
        <v>159300.40757400001</v>
      </c>
    </row>
    <row r="11" spans="2:5" x14ac:dyDescent="0.2">
      <c r="B11" s="9" t="s">
        <v>5</v>
      </c>
      <c r="C11" s="10">
        <v>70562.44</v>
      </c>
      <c r="D11" s="10">
        <v>78991.937640000004</v>
      </c>
      <c r="E11" s="10">
        <v>84429.216014220015</v>
      </c>
    </row>
    <row r="12" spans="2:5" x14ac:dyDescent="0.2">
      <c r="B12" s="11" t="s">
        <v>6</v>
      </c>
      <c r="C12" s="12">
        <f>C10-C11</f>
        <v>65134.559999999998</v>
      </c>
      <c r="D12" s="12">
        <f t="shared" ref="D12:E12" si="0">D10-D11</f>
        <v>67289.428360000005</v>
      </c>
      <c r="E12" s="12">
        <f t="shared" si="0"/>
        <v>74871.191559779996</v>
      </c>
    </row>
    <row r="13" spans="2:5" x14ac:dyDescent="0.2">
      <c r="B13" s="13"/>
      <c r="C13" s="14"/>
      <c r="D13" s="14"/>
      <c r="E13" s="14"/>
    </row>
    <row r="14" spans="2:5" x14ac:dyDescent="0.2">
      <c r="B14" s="13" t="s">
        <v>7</v>
      </c>
      <c r="C14" s="15"/>
      <c r="D14" s="15"/>
      <c r="E14" s="15"/>
    </row>
    <row r="15" spans="2:5" x14ac:dyDescent="0.2">
      <c r="B15" s="16" t="s">
        <v>8</v>
      </c>
      <c r="C15" s="17">
        <v>16419.337</v>
      </c>
      <c r="D15" s="17">
        <v>16968.638456000001</v>
      </c>
      <c r="E15" s="17">
        <v>20390.452169472002</v>
      </c>
    </row>
    <row r="16" spans="2:5" x14ac:dyDescent="0.2">
      <c r="B16" s="16" t="s">
        <v>9</v>
      </c>
      <c r="C16" s="17">
        <v>5427.88</v>
      </c>
      <c r="D16" s="17">
        <v>6026.7922792000008</v>
      </c>
      <c r="E16" s="17">
        <v>6690.6171181080008</v>
      </c>
    </row>
    <row r="17" spans="2:5" x14ac:dyDescent="0.2">
      <c r="B17" s="16" t="s">
        <v>10</v>
      </c>
      <c r="C17" s="17">
        <v>5292.183</v>
      </c>
      <c r="D17" s="17">
        <v>4534.7223460000005</v>
      </c>
      <c r="E17" s="17">
        <v>4779.0122272200006</v>
      </c>
    </row>
    <row r="18" spans="2:5" x14ac:dyDescent="0.2">
      <c r="B18" s="16" t="s">
        <v>11</v>
      </c>
      <c r="C18" s="17">
        <v>2849.6370000000002</v>
      </c>
      <c r="D18" s="17">
        <v>3510.7527840000002</v>
      </c>
      <c r="E18" s="17">
        <v>3504.608966628</v>
      </c>
    </row>
    <row r="19" spans="2:5" x14ac:dyDescent="0.2">
      <c r="B19" s="16" t="s">
        <v>12</v>
      </c>
      <c r="C19" s="17">
        <v>3392.4250000000002</v>
      </c>
      <c r="D19" s="17">
        <v>3803.3155160000001</v>
      </c>
      <c r="E19" s="17">
        <v>3823.2097817760005</v>
      </c>
    </row>
    <row r="20" spans="2:5" x14ac:dyDescent="0.2">
      <c r="B20" s="16" t="s">
        <v>13</v>
      </c>
      <c r="C20" s="17">
        <v>1221.2729999999999</v>
      </c>
      <c r="D20" s="17">
        <v>1609.095026</v>
      </c>
      <c r="E20" s="17">
        <v>1274.4032605920002</v>
      </c>
    </row>
    <row r="21" spans="2:5" x14ac:dyDescent="0.2">
      <c r="B21" s="16" t="s">
        <v>14</v>
      </c>
      <c r="C21" s="17">
        <v>814.18200000000002</v>
      </c>
      <c r="D21" s="17">
        <v>877.68819600000006</v>
      </c>
      <c r="E21" s="17">
        <v>955.80244544400011</v>
      </c>
    </row>
    <row r="22" spans="2:5" x14ac:dyDescent="0.2">
      <c r="B22" s="16" t="s">
        <v>15</v>
      </c>
      <c r="C22" s="17">
        <v>814.18200000000002</v>
      </c>
      <c r="D22" s="17">
        <v>731.40683000000001</v>
      </c>
      <c r="E22" s="17">
        <v>1274.4032605920002</v>
      </c>
    </row>
    <row r="23" spans="2:5" x14ac:dyDescent="0.2">
      <c r="B23" s="16" t="s">
        <v>16</v>
      </c>
      <c r="C23" s="17">
        <v>1356.97</v>
      </c>
      <c r="D23" s="17">
        <v>1609.095026</v>
      </c>
      <c r="E23" s="17">
        <v>1433.7036681659999</v>
      </c>
    </row>
    <row r="24" spans="2:5" x14ac:dyDescent="0.2">
      <c r="B24" s="16" t="s">
        <v>17</v>
      </c>
      <c r="C24" s="17">
        <v>1899.758</v>
      </c>
      <c r="D24" s="17">
        <v>2340.5018560000003</v>
      </c>
      <c r="E24" s="17">
        <v>2389.5061136100003</v>
      </c>
    </row>
    <row r="25" spans="2:5" x14ac:dyDescent="0.2">
      <c r="B25" s="18" t="s">
        <v>18</v>
      </c>
      <c r="C25" s="19">
        <f>SUM(C15:C24)</f>
        <v>39487.827000000005</v>
      </c>
      <c r="D25" s="19">
        <f t="shared" ref="D25:E25" si="1">SUM(D15:D24)</f>
        <v>42012.008315200015</v>
      </c>
      <c r="E25" s="19">
        <f t="shared" si="1"/>
        <v>46515.719011608009</v>
      </c>
    </row>
    <row r="26" spans="2:5" ht="10.8" thickBot="1" x14ac:dyDescent="0.25">
      <c r="B26" s="20" t="s">
        <v>20</v>
      </c>
      <c r="C26" s="21">
        <f>C12-C25</f>
        <v>25646.732999999993</v>
      </c>
      <c r="D26" s="21">
        <f t="shared" ref="D26:E26" si="2">D12-D25</f>
        <v>25277.42004479999</v>
      </c>
      <c r="E26" s="21">
        <f t="shared" si="2"/>
        <v>28355.472548171987</v>
      </c>
    </row>
    <row r="27" spans="2:5" x14ac:dyDescent="0.2">
      <c r="B27" s="16"/>
      <c r="C27" s="17"/>
      <c r="D27" s="17"/>
      <c r="E27" s="17"/>
    </row>
    <row r="28" spans="2:5" x14ac:dyDescent="0.2">
      <c r="B28" s="16"/>
      <c r="C28" s="17"/>
      <c r="D28" s="17"/>
      <c r="E28" s="17"/>
    </row>
    <row r="29" spans="2:5" x14ac:dyDescent="0.2">
      <c r="B29" s="16" t="s">
        <v>21</v>
      </c>
      <c r="C29" s="17">
        <v>8684.6080000000002</v>
      </c>
      <c r="D29" s="17">
        <v>9800.8515220000008</v>
      </c>
      <c r="E29" s="17">
        <v>9717.3248620140002</v>
      </c>
    </row>
    <row r="30" spans="2:5" x14ac:dyDescent="0.2">
      <c r="B30" s="16" t="s">
        <v>22</v>
      </c>
      <c r="C30" s="17">
        <v>0</v>
      </c>
      <c r="D30" s="17">
        <v>0</v>
      </c>
      <c r="E30" s="17">
        <v>0</v>
      </c>
    </row>
    <row r="31" spans="2:5" x14ac:dyDescent="0.2">
      <c r="B31" s="9" t="s">
        <v>19</v>
      </c>
      <c r="C31" s="17">
        <v>407.09100000000001</v>
      </c>
      <c r="D31" s="17">
        <v>585.12546400000008</v>
      </c>
      <c r="E31" s="17">
        <v>477.90122272200006</v>
      </c>
    </row>
    <row r="32" spans="2:5" x14ac:dyDescent="0.2">
      <c r="B32" s="18" t="s">
        <v>23</v>
      </c>
      <c r="C32" s="22">
        <f>SUM(C29:C31)</f>
        <v>9091.6990000000005</v>
      </c>
      <c r="D32" s="22">
        <f t="shared" ref="D32:E32" si="3">SUM(D29:D31)</f>
        <v>10385.976986000001</v>
      </c>
      <c r="E32" s="22">
        <f t="shared" si="3"/>
        <v>10195.226084736001</v>
      </c>
    </row>
    <row r="33" spans="2:5" x14ac:dyDescent="0.2">
      <c r="B33" s="11" t="s">
        <v>24</v>
      </c>
      <c r="C33" s="12">
        <f>C26-C32</f>
        <v>16555.033999999992</v>
      </c>
      <c r="D33" s="12">
        <f t="shared" ref="D33:E33" si="4">D26-D32</f>
        <v>14891.443058799989</v>
      </c>
      <c r="E33" s="12">
        <f t="shared" si="4"/>
        <v>18160.246463435986</v>
      </c>
    </row>
    <row r="34" spans="2:5" x14ac:dyDescent="0.2">
      <c r="B34" s="13"/>
      <c r="C34" s="15"/>
      <c r="D34" s="15"/>
      <c r="E34" s="15"/>
    </row>
    <row r="35" spans="2:5" x14ac:dyDescent="0.2">
      <c r="B35" s="9" t="s">
        <v>25</v>
      </c>
      <c r="C35" s="17">
        <v>5794.2618999999968</v>
      </c>
      <c r="D35" s="17">
        <v>5212.0050705799958</v>
      </c>
      <c r="E35" s="17">
        <v>6356.0862622025943</v>
      </c>
    </row>
    <row r="36" spans="2:5" ht="10.8" thickBot="1" x14ac:dyDescent="0.25">
      <c r="B36" s="23" t="s">
        <v>26</v>
      </c>
      <c r="C36" s="24">
        <f>C33-C35</f>
        <v>10760.772099999995</v>
      </c>
      <c r="D36" s="24">
        <f t="shared" ref="D36:E36" si="5">D33-D35</f>
        <v>9679.4379882199937</v>
      </c>
      <c r="E36" s="24">
        <f t="shared" si="5"/>
        <v>11804.160201233391</v>
      </c>
    </row>
    <row r="37" spans="2:5" ht="10.8" thickTop="1" x14ac:dyDescent="0.2">
      <c r="B37" s="3"/>
      <c r="C37" s="4"/>
      <c r="D37" s="4"/>
      <c r="E37" s="4"/>
    </row>
    <row r="38" spans="2:5" x14ac:dyDescent="0.2">
      <c r="B38" s="3"/>
      <c r="C38" s="4"/>
      <c r="D38" s="4"/>
      <c r="E38" s="4"/>
    </row>
    <row r="39" spans="2:5" x14ac:dyDescent="0.2">
      <c r="B39" s="35" t="s">
        <v>27</v>
      </c>
      <c r="C39" s="36" t="s">
        <v>0</v>
      </c>
      <c r="D39" s="36" t="s">
        <v>1</v>
      </c>
      <c r="E39" s="36" t="s">
        <v>2</v>
      </c>
    </row>
    <row r="40" spans="2:5" x14ac:dyDescent="0.2">
      <c r="B40" s="7" t="s">
        <v>28</v>
      </c>
      <c r="C40" s="26"/>
      <c r="D40" s="26"/>
      <c r="E40" s="26"/>
    </row>
    <row r="41" spans="2:5" x14ac:dyDescent="0.2">
      <c r="B41" s="16" t="s">
        <v>29</v>
      </c>
      <c r="C41" s="17">
        <v>5359.1680999999953</v>
      </c>
      <c r="D41" s="17">
        <v>10473.380820219987</v>
      </c>
      <c r="E41" s="17">
        <v>16963.879512175379</v>
      </c>
    </row>
    <row r="42" spans="2:5" x14ac:dyDescent="0.2">
      <c r="B42" s="16" t="s">
        <v>30</v>
      </c>
      <c r="C42" s="17">
        <v>13705.397000000001</v>
      </c>
      <c r="D42" s="17">
        <v>15944.668894</v>
      </c>
      <c r="E42" s="17">
        <v>16567.242387696002</v>
      </c>
    </row>
    <row r="43" spans="2:5" x14ac:dyDescent="0.2">
      <c r="B43" s="16" t="s">
        <v>31</v>
      </c>
      <c r="C43" s="17">
        <v>0</v>
      </c>
      <c r="D43" s="17">
        <v>0</v>
      </c>
      <c r="E43" s="17">
        <v>0</v>
      </c>
    </row>
    <row r="44" spans="2:5" x14ac:dyDescent="0.2">
      <c r="B44" s="16" t="s">
        <v>32</v>
      </c>
      <c r="C44" s="17">
        <v>11534.245000000001</v>
      </c>
      <c r="D44" s="17">
        <v>11848.790646000001</v>
      </c>
      <c r="E44" s="17">
        <v>13381.234236216002</v>
      </c>
    </row>
    <row r="45" spans="2:5" x14ac:dyDescent="0.2">
      <c r="B45" s="16" t="s">
        <v>33</v>
      </c>
      <c r="C45" s="17">
        <v>22844</v>
      </c>
      <c r="D45" s="17">
        <v>27159</v>
      </c>
      <c r="E45" s="17">
        <v>32658</v>
      </c>
    </row>
    <row r="46" spans="2:5" ht="10.8" thickBot="1" x14ac:dyDescent="0.25">
      <c r="B46" s="23" t="s">
        <v>34</v>
      </c>
      <c r="C46" s="24">
        <f>SUM(C41:C45)</f>
        <v>53442.810099999995</v>
      </c>
      <c r="D46" s="24">
        <f t="shared" ref="D46:E46" si="6">SUM(D41:D45)</f>
        <v>65425.840360219991</v>
      </c>
      <c r="E46" s="24">
        <f t="shared" si="6"/>
        <v>79570.356136087386</v>
      </c>
    </row>
    <row r="47" spans="2:5" ht="10.8" thickTop="1" x14ac:dyDescent="0.2">
      <c r="B47" s="13"/>
      <c r="C47" s="15"/>
      <c r="D47" s="15"/>
      <c r="E47" s="15"/>
    </row>
    <row r="48" spans="2:5" x14ac:dyDescent="0.2">
      <c r="B48" s="7" t="s">
        <v>35</v>
      </c>
      <c r="C48" s="26"/>
      <c r="D48" s="26"/>
      <c r="E48" s="26"/>
    </row>
    <row r="49" spans="2:5" x14ac:dyDescent="0.2">
      <c r="B49" s="16" t="s">
        <v>36</v>
      </c>
      <c r="C49" s="17">
        <v>25782.43</v>
      </c>
      <c r="D49" s="17">
        <v>28086.022272000002</v>
      </c>
      <c r="E49" s="17">
        <v>30426.377846634005</v>
      </c>
    </row>
    <row r="50" spans="2:5" x14ac:dyDescent="0.2">
      <c r="B50" s="16" t="s">
        <v>37</v>
      </c>
      <c r="C50" s="17">
        <v>0</v>
      </c>
      <c r="D50" s="17">
        <v>0</v>
      </c>
      <c r="E50" s="17">
        <v>0</v>
      </c>
    </row>
    <row r="51" spans="2:5" x14ac:dyDescent="0.2">
      <c r="B51" s="16" t="s">
        <v>38</v>
      </c>
      <c r="C51" s="17">
        <v>0</v>
      </c>
      <c r="D51" s="17">
        <v>0</v>
      </c>
      <c r="E51" s="17">
        <v>0</v>
      </c>
    </row>
    <row r="52" spans="2:5" x14ac:dyDescent="0.2">
      <c r="B52" s="11" t="s">
        <v>39</v>
      </c>
      <c r="C52" s="12">
        <f>SUM(C49:C51)</f>
        <v>25782.43</v>
      </c>
      <c r="D52" s="12">
        <f t="shared" ref="D52:E52" si="7">SUM(D49:D51)</f>
        <v>28086.022272000002</v>
      </c>
      <c r="E52" s="12">
        <f t="shared" si="7"/>
        <v>30426.377846634005</v>
      </c>
    </row>
    <row r="53" spans="2:5" x14ac:dyDescent="0.2">
      <c r="B53" s="7" t="s">
        <v>40</v>
      </c>
      <c r="C53" s="26"/>
      <c r="D53" s="26"/>
      <c r="E53" s="26"/>
    </row>
    <row r="54" spans="2:5" x14ac:dyDescent="0.2">
      <c r="B54" s="16" t="s">
        <v>41</v>
      </c>
      <c r="C54" s="17">
        <v>5000</v>
      </c>
      <c r="D54" s="17">
        <v>5000</v>
      </c>
      <c r="E54" s="17">
        <v>5000</v>
      </c>
    </row>
    <row r="55" spans="2:5" x14ac:dyDescent="0.2">
      <c r="B55" s="16" t="s">
        <v>42</v>
      </c>
      <c r="C55" s="17">
        <v>22660</v>
      </c>
      <c r="D55" s="17">
        <v>32339.437988219994</v>
      </c>
      <c r="E55" s="17">
        <v>44143.598189453383</v>
      </c>
    </row>
    <row r="56" spans="2:5" x14ac:dyDescent="0.2">
      <c r="B56" s="18" t="s">
        <v>40</v>
      </c>
      <c r="C56" s="22">
        <f>SUM(C54:C55)</f>
        <v>27660</v>
      </c>
      <c r="D56" s="22">
        <f t="shared" ref="D56:E56" si="8">SUM(D54:D55)</f>
        <v>37339.437988219994</v>
      </c>
      <c r="E56" s="22">
        <f t="shared" si="8"/>
        <v>49143.598189453383</v>
      </c>
    </row>
    <row r="57" spans="2:5" ht="10.8" thickBot="1" x14ac:dyDescent="0.25">
      <c r="B57" s="23" t="s">
        <v>43</v>
      </c>
      <c r="C57" s="24">
        <f>C52+C56</f>
        <v>53442.43</v>
      </c>
      <c r="D57" s="24">
        <f t="shared" ref="D57:E57" si="9">D52+D56</f>
        <v>65425.460260219996</v>
      </c>
      <c r="E57" s="24">
        <f t="shared" si="9"/>
        <v>79569.976036087392</v>
      </c>
    </row>
    <row r="58" spans="2:5" ht="10.8" thickTop="1" x14ac:dyDescent="0.2">
      <c r="B58" s="16"/>
      <c r="C58" s="26"/>
      <c r="D58" s="26"/>
      <c r="E58" s="26"/>
    </row>
    <row r="59" spans="2:5" x14ac:dyDescent="0.2">
      <c r="B59" s="27" t="s">
        <v>44</v>
      </c>
      <c r="C59" s="28">
        <f>C57-C46</f>
        <v>-0.38009999999485444</v>
      </c>
      <c r="D59" s="28">
        <f>D57-D46</f>
        <v>-0.38009999999485444</v>
      </c>
      <c r="E59" s="28">
        <f t="shared" ref="E59" si="10">E57-E46</f>
        <v>-0.38009999999485444</v>
      </c>
    </row>
    <row r="60" spans="2:5" x14ac:dyDescent="0.2">
      <c r="B60" s="29"/>
      <c r="C60" s="30"/>
      <c r="D60" s="30"/>
      <c r="E60" s="30"/>
    </row>
    <row r="61" spans="2:5" x14ac:dyDescent="0.2">
      <c r="B61" s="3"/>
      <c r="C61" s="4"/>
      <c r="D61" s="4"/>
      <c r="E61" s="4"/>
    </row>
    <row r="62" spans="2:5" x14ac:dyDescent="0.2">
      <c r="B62" s="35" t="s">
        <v>45</v>
      </c>
      <c r="C62" s="36" t="s">
        <v>0</v>
      </c>
      <c r="D62" s="36" t="s">
        <v>1</v>
      </c>
      <c r="E62" s="36" t="s">
        <v>2</v>
      </c>
    </row>
    <row r="63" spans="2:5" x14ac:dyDescent="0.2">
      <c r="B63" s="7" t="s">
        <v>46</v>
      </c>
      <c r="C63" s="26"/>
      <c r="D63" s="26"/>
      <c r="E63" s="26"/>
    </row>
    <row r="64" spans="2:5" x14ac:dyDescent="0.2">
      <c r="B64" s="16" t="s">
        <v>26</v>
      </c>
      <c r="C64" s="17">
        <v>10760.772099999995</v>
      </c>
      <c r="D64" s="17">
        <v>9679.4379882199937</v>
      </c>
      <c r="E64" s="17">
        <v>11804.160201233391</v>
      </c>
    </row>
    <row r="65" spans="2:5" x14ac:dyDescent="0.2">
      <c r="B65" s="16" t="s">
        <v>47</v>
      </c>
      <c r="C65" s="17">
        <v>8684.6080000000002</v>
      </c>
      <c r="D65" s="17">
        <v>9800.8515220000008</v>
      </c>
      <c r="E65" s="17">
        <v>9717.3248620140002</v>
      </c>
    </row>
    <row r="66" spans="2:5" x14ac:dyDescent="0.2">
      <c r="B66" s="16" t="s">
        <v>48</v>
      </c>
      <c r="C66" s="17">
        <v>0</v>
      </c>
      <c r="D66" s="17">
        <v>0</v>
      </c>
      <c r="E66" s="17">
        <v>0</v>
      </c>
    </row>
    <row r="67" spans="2:5" x14ac:dyDescent="0.2">
      <c r="B67" s="16" t="s">
        <v>49</v>
      </c>
      <c r="C67" s="17">
        <v>-542.78800000000047</v>
      </c>
      <c r="D67" s="17">
        <v>250.22526800000196</v>
      </c>
      <c r="E67" s="17">
        <v>-185.33849072200246</v>
      </c>
    </row>
    <row r="68" spans="2:5" x14ac:dyDescent="0.2">
      <c r="B68" s="11" t="s">
        <v>50</v>
      </c>
      <c r="C68" s="12">
        <f>C64+C65-C67</f>
        <v>19988.168099999995</v>
      </c>
      <c r="D68" s="12">
        <f t="shared" ref="D68:E68" si="11">D64+D65-D67</f>
        <v>19230.064242219993</v>
      </c>
      <c r="E68" s="12">
        <f t="shared" si="11"/>
        <v>21706.823553969392</v>
      </c>
    </row>
    <row r="69" spans="2:5" x14ac:dyDescent="0.2">
      <c r="B69" s="13"/>
      <c r="C69" s="15"/>
      <c r="D69" s="15"/>
      <c r="E69" s="15"/>
    </row>
    <row r="70" spans="2:5" x14ac:dyDescent="0.2">
      <c r="B70" s="7" t="s">
        <v>51</v>
      </c>
      <c r="C70" s="31"/>
      <c r="D70" s="31"/>
      <c r="E70" s="31"/>
    </row>
    <row r="71" spans="2:5" x14ac:dyDescent="0.2">
      <c r="B71" s="16" t="s">
        <v>52</v>
      </c>
      <c r="C71" s="10">
        <v>-21587</v>
      </c>
      <c r="D71" s="10">
        <v>-14115.851522000001</v>
      </c>
      <c r="E71" s="10">
        <v>-15216.324862014</v>
      </c>
    </row>
    <row r="72" spans="2:5" x14ac:dyDescent="0.2">
      <c r="B72" s="11" t="s">
        <v>54</v>
      </c>
      <c r="C72" s="12">
        <f>SUM(C71)</f>
        <v>-21587</v>
      </c>
      <c r="D72" s="12">
        <f t="shared" ref="D72:E72" si="12">SUM(D71)</f>
        <v>-14115.851522000001</v>
      </c>
      <c r="E72" s="12">
        <f t="shared" si="12"/>
        <v>-15216.324862014</v>
      </c>
    </row>
    <row r="73" spans="2:5" x14ac:dyDescent="0.2">
      <c r="B73" s="13"/>
      <c r="C73" s="15"/>
      <c r="D73" s="15"/>
      <c r="E73" s="15"/>
    </row>
    <row r="74" spans="2:5" x14ac:dyDescent="0.2">
      <c r="B74" s="7" t="s">
        <v>55</v>
      </c>
      <c r="C74" s="31"/>
      <c r="D74" s="31"/>
      <c r="E74" s="31"/>
    </row>
    <row r="75" spans="2:5" x14ac:dyDescent="0.2">
      <c r="B75" s="16" t="s">
        <v>56</v>
      </c>
      <c r="C75" s="10">
        <v>0</v>
      </c>
      <c r="D75" s="10">
        <v>0</v>
      </c>
      <c r="E75" s="10">
        <v>0</v>
      </c>
    </row>
    <row r="76" spans="2:5" x14ac:dyDescent="0.2">
      <c r="B76" s="16" t="s">
        <v>57</v>
      </c>
      <c r="C76" s="10">
        <v>0</v>
      </c>
      <c r="D76" s="10">
        <v>0</v>
      </c>
      <c r="E76" s="10">
        <v>0</v>
      </c>
    </row>
    <row r="77" spans="2:5" x14ac:dyDescent="0.2">
      <c r="B77" s="11" t="s">
        <v>58</v>
      </c>
      <c r="C77" s="12">
        <f>SUM(C75:C76)</f>
        <v>0</v>
      </c>
      <c r="D77" s="12">
        <f t="shared" ref="D77:E77" si="13">SUM(D75:D76)</f>
        <v>0</v>
      </c>
      <c r="E77" s="12">
        <f t="shared" si="13"/>
        <v>0</v>
      </c>
    </row>
    <row r="78" spans="2:5" x14ac:dyDescent="0.2">
      <c r="B78" s="13"/>
      <c r="C78" s="15"/>
      <c r="D78" s="15"/>
      <c r="E78" s="15"/>
    </row>
    <row r="79" spans="2:5" x14ac:dyDescent="0.2">
      <c r="B79" s="16" t="s">
        <v>59</v>
      </c>
      <c r="C79" s="32">
        <f>C68+C72+C77</f>
        <v>-1598.8319000000047</v>
      </c>
      <c r="D79" s="32">
        <f t="shared" ref="D79:E79" si="14">D68+D72+D77</f>
        <v>5114.2127202199918</v>
      </c>
      <c r="E79" s="32">
        <f t="shared" si="14"/>
        <v>6490.4986919553921</v>
      </c>
    </row>
    <row r="80" spans="2:5" x14ac:dyDescent="0.2">
      <c r="B80" s="16" t="s">
        <v>60</v>
      </c>
      <c r="C80" s="10">
        <v>6958</v>
      </c>
      <c r="D80" s="32">
        <f>C81</f>
        <v>5359.1680999999953</v>
      </c>
      <c r="E80" s="32">
        <f>D81</f>
        <v>10473.380820219987</v>
      </c>
    </row>
    <row r="81" spans="2:5" x14ac:dyDescent="0.2">
      <c r="B81" s="11" t="s">
        <v>61</v>
      </c>
      <c r="C81" s="12">
        <f>SUM(C79:C80)</f>
        <v>5359.1680999999953</v>
      </c>
      <c r="D81" s="12">
        <f t="shared" ref="D81:E81" si="15">SUM(D79:D80)</f>
        <v>10473.380820219987</v>
      </c>
      <c r="E81" s="12">
        <f t="shared" si="15"/>
        <v>16963.879512175379</v>
      </c>
    </row>
    <row r="82" spans="2:5" x14ac:dyDescent="0.2">
      <c r="B82" s="7"/>
      <c r="C82" s="15"/>
      <c r="D82" s="26"/>
      <c r="E82" s="26"/>
    </row>
    <row r="83" spans="2:5" x14ac:dyDescent="0.2">
      <c r="B83" s="27" t="s">
        <v>62</v>
      </c>
      <c r="C83" s="28">
        <f>C81-C41</f>
        <v>0</v>
      </c>
      <c r="D83" s="28">
        <f t="shared" ref="D83:E83" si="16">D81-D41</f>
        <v>0</v>
      </c>
      <c r="E83" s="28">
        <f t="shared" si="16"/>
        <v>0</v>
      </c>
    </row>
    <row r="84" spans="2:5" x14ac:dyDescent="0.2">
      <c r="B84" s="27" t="s">
        <v>63</v>
      </c>
      <c r="C84" s="28">
        <f>C64-C36</f>
        <v>0</v>
      </c>
      <c r="D84" s="28">
        <f t="shared" ref="D84:E84" si="17">D64-D36</f>
        <v>0</v>
      </c>
      <c r="E84" s="28">
        <f t="shared" si="17"/>
        <v>0</v>
      </c>
    </row>
    <row r="85" spans="2:5" x14ac:dyDescent="0.2">
      <c r="B85" s="27" t="s">
        <v>64</v>
      </c>
      <c r="C85" s="28">
        <f t="shared" ref="C85:E86" si="18">C65-C29</f>
        <v>0</v>
      </c>
      <c r="D85" s="28">
        <f t="shared" si="18"/>
        <v>0</v>
      </c>
      <c r="E85" s="28">
        <f t="shared" si="18"/>
        <v>0</v>
      </c>
    </row>
    <row r="86" spans="2:5" x14ac:dyDescent="0.2">
      <c r="B86" s="27" t="s">
        <v>65</v>
      </c>
      <c r="C86" s="28">
        <f t="shared" si="18"/>
        <v>0</v>
      </c>
      <c r="D86" s="28">
        <f t="shared" si="18"/>
        <v>0</v>
      </c>
      <c r="E86" s="28">
        <f t="shared" si="18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1218-3061-4B9D-9208-9FAD813EBAF8}">
  <dimension ref="B2:E79"/>
  <sheetViews>
    <sheetView showGridLines="0" zoomScaleNormal="100" workbookViewId="0"/>
  </sheetViews>
  <sheetFormatPr defaultColWidth="9.109375" defaultRowHeight="10.199999999999999" x14ac:dyDescent="0.2"/>
  <cols>
    <col min="1" max="1" width="9.109375" style="1"/>
    <col min="2" max="2" width="33" style="1" bestFit="1" customWidth="1"/>
    <col min="3" max="5" width="11.5546875" style="1" customWidth="1"/>
    <col min="6" max="16384" width="9.109375" style="1"/>
  </cols>
  <sheetData>
    <row r="2" spans="2:5" ht="15.6" x14ac:dyDescent="0.3">
      <c r="B2" s="37" t="s">
        <v>81</v>
      </c>
    </row>
    <row r="3" spans="2:5" x14ac:dyDescent="0.2">
      <c r="B3" s="38" t="s">
        <v>83</v>
      </c>
    </row>
    <row r="4" spans="2:5" x14ac:dyDescent="0.2">
      <c r="B4" s="39"/>
    </row>
    <row r="5" spans="2:5" x14ac:dyDescent="0.2">
      <c r="B5" s="40" t="s">
        <v>80</v>
      </c>
    </row>
    <row r="7" spans="2:5" ht="10.8" thickBot="1" x14ac:dyDescent="0.25">
      <c r="B7" s="63" t="s">
        <v>89</v>
      </c>
      <c r="C7" s="64">
        <v>45000</v>
      </c>
    </row>
    <row r="8" spans="2:5" x14ac:dyDescent="0.2">
      <c r="B8" s="67" t="s">
        <v>90</v>
      </c>
      <c r="C8" s="68">
        <v>15000</v>
      </c>
    </row>
    <row r="9" spans="2:5" x14ac:dyDescent="0.2">
      <c r="B9" s="65" t="s">
        <v>91</v>
      </c>
      <c r="C9" s="66">
        <v>30000</v>
      </c>
      <c r="D9" s="69" t="s">
        <v>92</v>
      </c>
    </row>
    <row r="12" spans="2:5" x14ac:dyDescent="0.2">
      <c r="B12" s="33"/>
      <c r="C12" s="34" t="s">
        <v>0</v>
      </c>
      <c r="D12" s="34" t="s">
        <v>1</v>
      </c>
      <c r="E12" s="34" t="s">
        <v>2</v>
      </c>
    </row>
    <row r="13" spans="2:5" x14ac:dyDescent="0.2">
      <c r="C13" s="2"/>
      <c r="D13" s="2"/>
      <c r="E13" s="2"/>
    </row>
    <row r="14" spans="2:5" x14ac:dyDescent="0.2">
      <c r="B14" s="35" t="s">
        <v>3</v>
      </c>
      <c r="C14" s="36" t="s">
        <v>0</v>
      </c>
      <c r="D14" s="36" t="s">
        <v>1</v>
      </c>
      <c r="E14" s="36" t="s">
        <v>2</v>
      </c>
    </row>
    <row r="15" spans="2:5" x14ac:dyDescent="0.2">
      <c r="B15" s="16" t="s">
        <v>4</v>
      </c>
      <c r="C15" s="17">
        <v>45860</v>
      </c>
      <c r="D15" s="17">
        <v>55719.9</v>
      </c>
      <c r="E15" s="17">
        <v>71210.032200000001</v>
      </c>
    </row>
    <row r="16" spans="2:5" x14ac:dyDescent="0.2">
      <c r="B16" s="9" t="s">
        <v>5</v>
      </c>
      <c r="C16" s="10">
        <v>15317.240000000002</v>
      </c>
      <c r="D16" s="10">
        <v>18331.847100000003</v>
      </c>
      <c r="E16" s="10">
        <v>23997.780851400003</v>
      </c>
    </row>
    <row r="17" spans="2:5" x14ac:dyDescent="0.2">
      <c r="B17" s="11" t="s">
        <v>6</v>
      </c>
      <c r="C17" s="12">
        <f>C15-C16</f>
        <v>30542.76</v>
      </c>
      <c r="D17" s="12">
        <f t="shared" ref="D17:E17" si="0">D15-D16</f>
        <v>37388.052899999995</v>
      </c>
      <c r="E17" s="12">
        <f t="shared" si="0"/>
        <v>47212.251348599995</v>
      </c>
    </row>
    <row r="18" spans="2:5" x14ac:dyDescent="0.2">
      <c r="B18" s="13"/>
      <c r="C18" s="14"/>
      <c r="D18" s="14"/>
      <c r="E18" s="14"/>
    </row>
    <row r="19" spans="2:5" x14ac:dyDescent="0.2">
      <c r="B19" s="13" t="s">
        <v>7</v>
      </c>
      <c r="C19" s="15"/>
      <c r="D19" s="15"/>
      <c r="E19" s="15"/>
    </row>
    <row r="20" spans="2:5" x14ac:dyDescent="0.2">
      <c r="B20" s="16" t="s">
        <v>8</v>
      </c>
      <c r="C20" s="17">
        <v>5182.18</v>
      </c>
      <c r="D20" s="17">
        <v>6630.6680999999999</v>
      </c>
      <c r="E20" s="17">
        <v>8189.1537030000009</v>
      </c>
    </row>
    <row r="21" spans="2:5" x14ac:dyDescent="0.2">
      <c r="B21" s="16" t="s">
        <v>68</v>
      </c>
      <c r="C21" s="17">
        <v>1788.54</v>
      </c>
      <c r="D21" s="17">
        <v>2295.6598800000002</v>
      </c>
      <c r="E21" s="17">
        <v>3062.0313845999999</v>
      </c>
    </row>
    <row r="22" spans="2:5" x14ac:dyDescent="0.2">
      <c r="B22" s="16" t="s">
        <v>69</v>
      </c>
      <c r="C22" s="17">
        <v>1467.52</v>
      </c>
      <c r="D22" s="17">
        <v>1894.4766000000002</v>
      </c>
      <c r="E22" s="17">
        <v>2634.7711914000001</v>
      </c>
    </row>
    <row r="23" spans="2:5" x14ac:dyDescent="0.2">
      <c r="B23" s="16" t="s">
        <v>70</v>
      </c>
      <c r="C23" s="17">
        <v>2293</v>
      </c>
      <c r="D23" s="17">
        <v>2953.1547</v>
      </c>
      <c r="E23" s="17">
        <v>3489.2915778000001</v>
      </c>
    </row>
    <row r="24" spans="2:5" x14ac:dyDescent="0.2">
      <c r="B24" s="16" t="s">
        <v>71</v>
      </c>
      <c r="C24" s="17">
        <v>5732.5</v>
      </c>
      <c r="D24" s="17">
        <v>7187.8671000000004</v>
      </c>
      <c r="E24" s="17">
        <v>8758.8339606000009</v>
      </c>
    </row>
    <row r="25" spans="2:5" x14ac:dyDescent="0.2">
      <c r="B25" s="16" t="s">
        <v>14</v>
      </c>
      <c r="C25" s="17">
        <v>321.02</v>
      </c>
      <c r="D25" s="17">
        <v>334.31940000000003</v>
      </c>
      <c r="E25" s="17">
        <v>569.6802576</v>
      </c>
    </row>
    <row r="26" spans="2:5" x14ac:dyDescent="0.2">
      <c r="B26" s="16" t="s">
        <v>72</v>
      </c>
      <c r="C26" s="17">
        <v>1605.1000000000001</v>
      </c>
      <c r="D26" s="17">
        <v>2117.3562000000002</v>
      </c>
      <c r="E26" s="17">
        <v>2919.6113202000001</v>
      </c>
    </row>
    <row r="27" spans="2:5" x14ac:dyDescent="0.2">
      <c r="B27" s="16" t="s">
        <v>73</v>
      </c>
      <c r="C27" s="17">
        <v>2568.16</v>
      </c>
      <c r="D27" s="17">
        <v>3231.7542000000003</v>
      </c>
      <c r="E27" s="17">
        <v>2990.8213524000003</v>
      </c>
    </row>
    <row r="28" spans="2:5" x14ac:dyDescent="0.2">
      <c r="B28" s="18" t="s">
        <v>18</v>
      </c>
      <c r="C28" s="19">
        <f>SUM(C20:C27)</f>
        <v>20958.019999999997</v>
      </c>
      <c r="D28" s="19">
        <f>SUM(D20:D27)</f>
        <v>26645.25618</v>
      </c>
      <c r="E28" s="19">
        <f>SUM(E20:E27)</f>
        <v>32614.194747600006</v>
      </c>
    </row>
    <row r="29" spans="2:5" ht="10.8" thickBot="1" x14ac:dyDescent="0.25">
      <c r="B29" s="20" t="s">
        <v>20</v>
      </c>
      <c r="C29" s="21">
        <f>C17-C28</f>
        <v>9584.7400000000016</v>
      </c>
      <c r="D29" s="21">
        <f>D17-D28</f>
        <v>10742.796719999995</v>
      </c>
      <c r="E29" s="21">
        <f>E17-E28</f>
        <v>14598.056600999989</v>
      </c>
    </row>
    <row r="30" spans="2:5" x14ac:dyDescent="0.2">
      <c r="B30" s="16"/>
      <c r="C30" s="17"/>
      <c r="D30" s="17"/>
      <c r="E30" s="17"/>
    </row>
    <row r="31" spans="2:5" x14ac:dyDescent="0.2">
      <c r="B31" s="16"/>
      <c r="C31" s="17"/>
      <c r="D31" s="17"/>
      <c r="E31" s="17"/>
    </row>
    <row r="32" spans="2:5" x14ac:dyDescent="0.2">
      <c r="B32" s="16" t="s">
        <v>21</v>
      </c>
      <c r="C32" s="17">
        <v>6420.4000000000005</v>
      </c>
      <c r="D32" s="17">
        <v>7800.786000000001</v>
      </c>
      <c r="E32" s="17">
        <v>9969.4045080000014</v>
      </c>
    </row>
    <row r="33" spans="2:5" x14ac:dyDescent="0.2">
      <c r="B33" s="9" t="s">
        <v>22</v>
      </c>
      <c r="C33" s="17">
        <v>0</v>
      </c>
      <c r="D33" s="17">
        <v>0</v>
      </c>
      <c r="E33" s="17">
        <v>0</v>
      </c>
    </row>
    <row r="34" spans="2:5" x14ac:dyDescent="0.2">
      <c r="B34" s="9" t="s">
        <v>19</v>
      </c>
      <c r="C34" s="17">
        <v>458.6</v>
      </c>
      <c r="D34" s="17">
        <v>557.19900000000007</v>
      </c>
      <c r="E34" s="17">
        <v>854.52038640000001</v>
      </c>
    </row>
    <row r="35" spans="2:5" x14ac:dyDescent="0.2">
      <c r="B35" s="18" t="s">
        <v>23</v>
      </c>
      <c r="C35" s="22">
        <f>SUM(C32:C34)</f>
        <v>6879.0000000000009</v>
      </c>
      <c r="D35" s="22">
        <f t="shared" ref="D35:E35" si="1">SUM(D32:D34)</f>
        <v>8357.9850000000006</v>
      </c>
      <c r="E35" s="22">
        <f t="shared" si="1"/>
        <v>10823.924894400001</v>
      </c>
    </row>
    <row r="36" spans="2:5" x14ac:dyDescent="0.2">
      <c r="B36" s="11" t="s">
        <v>24</v>
      </c>
      <c r="C36" s="12">
        <f>C29-C35</f>
        <v>2705.7400000000007</v>
      </c>
      <c r="D36" s="12">
        <f t="shared" ref="D36:E36" si="2">D29-D35</f>
        <v>2384.8117199999942</v>
      </c>
      <c r="E36" s="12">
        <f t="shared" si="2"/>
        <v>3774.1317065999883</v>
      </c>
    </row>
    <row r="37" spans="2:5" x14ac:dyDescent="0.2">
      <c r="B37" s="13"/>
      <c r="C37" s="15"/>
      <c r="D37" s="15"/>
      <c r="E37" s="15"/>
    </row>
    <row r="38" spans="2:5" x14ac:dyDescent="0.2">
      <c r="B38" s="9" t="s">
        <v>25</v>
      </c>
      <c r="C38" s="17">
        <v>947.00900000000013</v>
      </c>
      <c r="D38" s="17">
        <v>834.68410199999789</v>
      </c>
      <c r="E38" s="17">
        <v>1320.9460973099958</v>
      </c>
    </row>
    <row r="39" spans="2:5" ht="10.8" thickBot="1" x14ac:dyDescent="0.25">
      <c r="B39" s="23" t="s">
        <v>26</v>
      </c>
      <c r="C39" s="24">
        <f>C36-C38</f>
        <v>1758.7310000000007</v>
      </c>
      <c r="D39" s="24">
        <f t="shared" ref="D39:E39" si="3">D36-D38</f>
        <v>1550.1276179999963</v>
      </c>
      <c r="E39" s="24">
        <f t="shared" si="3"/>
        <v>2453.1856092899925</v>
      </c>
    </row>
    <row r="40" spans="2:5" ht="10.8" thickTop="1" x14ac:dyDescent="0.2">
      <c r="B40" s="3"/>
      <c r="C40" s="4"/>
      <c r="D40" s="4"/>
      <c r="E40" s="4"/>
    </row>
    <row r="41" spans="2:5" x14ac:dyDescent="0.2">
      <c r="B41" s="3"/>
      <c r="C41" s="4"/>
      <c r="D41" s="4"/>
      <c r="E41" s="4"/>
    </row>
    <row r="42" spans="2:5" x14ac:dyDescent="0.2">
      <c r="B42" s="35" t="s">
        <v>27</v>
      </c>
      <c r="C42" s="36" t="s">
        <v>0</v>
      </c>
      <c r="D42" s="36" t="s">
        <v>1</v>
      </c>
      <c r="E42" s="36" t="s">
        <v>2</v>
      </c>
    </row>
    <row r="43" spans="2:5" x14ac:dyDescent="0.2">
      <c r="B43" s="7" t="s">
        <v>28</v>
      </c>
      <c r="C43" s="26"/>
      <c r="D43" s="26"/>
      <c r="E43" s="26"/>
    </row>
    <row r="44" spans="2:5" x14ac:dyDescent="0.2">
      <c r="B44" s="16" t="s">
        <v>29</v>
      </c>
      <c r="C44" s="17">
        <v>11303.331000000004</v>
      </c>
      <c r="D44" s="17">
        <v>12362.585517999996</v>
      </c>
      <c r="E44" s="17">
        <v>16955.641651289992</v>
      </c>
    </row>
    <row r="45" spans="2:5" x14ac:dyDescent="0.2">
      <c r="B45" s="16" t="s">
        <v>30</v>
      </c>
      <c r="C45" s="17">
        <v>8254.7999999999993</v>
      </c>
      <c r="D45" s="17">
        <v>10029.582</v>
      </c>
      <c r="E45" s="17">
        <v>12817.805796000001</v>
      </c>
    </row>
    <row r="46" spans="2:5" x14ac:dyDescent="0.2">
      <c r="B46" s="16" t="s">
        <v>32</v>
      </c>
      <c r="C46" s="17">
        <v>8025.4999999999991</v>
      </c>
      <c r="D46" s="17">
        <v>9528.1029000000017</v>
      </c>
      <c r="E46" s="17">
        <v>12746.5957638</v>
      </c>
    </row>
    <row r="47" spans="2:5" x14ac:dyDescent="0.2">
      <c r="B47" s="16" t="s">
        <v>33</v>
      </c>
      <c r="C47" s="17">
        <v>62844</v>
      </c>
      <c r="D47" s="17">
        <v>63159</v>
      </c>
      <c r="E47" s="17">
        <v>59167</v>
      </c>
    </row>
    <row r="48" spans="2:5" ht="10.8" thickBot="1" x14ac:dyDescent="0.25">
      <c r="B48" s="23" t="s">
        <v>34</v>
      </c>
      <c r="C48" s="24">
        <f>SUM(C44:C47)</f>
        <v>90427.630999999994</v>
      </c>
      <c r="D48" s="24">
        <f>SUM(D44:D47)</f>
        <v>95079.270418</v>
      </c>
      <c r="E48" s="24">
        <f>SUM(E44:E47)</f>
        <v>101687.04321109</v>
      </c>
    </row>
    <row r="49" spans="2:5" ht="10.8" thickTop="1" x14ac:dyDescent="0.2">
      <c r="B49" s="13"/>
      <c r="C49" s="15"/>
      <c r="D49" s="15"/>
      <c r="E49" s="15"/>
    </row>
    <row r="50" spans="2:5" x14ac:dyDescent="0.2">
      <c r="B50" s="7" t="s">
        <v>35</v>
      </c>
      <c r="C50" s="26"/>
      <c r="D50" s="26"/>
      <c r="E50" s="26"/>
    </row>
    <row r="51" spans="2:5" x14ac:dyDescent="0.2">
      <c r="B51" s="16" t="s">
        <v>36</v>
      </c>
      <c r="C51" s="17">
        <v>12611.500000000002</v>
      </c>
      <c r="D51" s="17">
        <v>15713.011799999998</v>
      </c>
      <c r="E51" s="17">
        <v>19867.598983800002</v>
      </c>
    </row>
    <row r="52" spans="2:5" x14ac:dyDescent="0.2">
      <c r="B52" s="11" t="s">
        <v>39</v>
      </c>
      <c r="C52" s="12">
        <f>SUM(C51:C51)</f>
        <v>12611.500000000002</v>
      </c>
      <c r="D52" s="12">
        <f>SUM(D51:D51)</f>
        <v>15713.011799999998</v>
      </c>
      <c r="E52" s="12">
        <f>SUM(E51:E51)</f>
        <v>19867.598983800002</v>
      </c>
    </row>
    <row r="53" spans="2:5" x14ac:dyDescent="0.2">
      <c r="B53" s="7" t="s">
        <v>40</v>
      </c>
      <c r="C53" s="26"/>
      <c r="D53" s="26"/>
      <c r="E53" s="26"/>
    </row>
    <row r="54" spans="2:5" x14ac:dyDescent="0.2">
      <c r="B54" s="16" t="s">
        <v>41</v>
      </c>
      <c r="C54" s="17">
        <v>5000</v>
      </c>
      <c r="D54" s="17">
        <v>5000</v>
      </c>
      <c r="E54" s="17">
        <v>5000</v>
      </c>
    </row>
    <row r="55" spans="2:5" x14ac:dyDescent="0.2">
      <c r="B55" s="16" t="s">
        <v>42</v>
      </c>
      <c r="C55" s="17">
        <v>72816</v>
      </c>
      <c r="D55" s="17">
        <v>74366.127617999999</v>
      </c>
      <c r="E55" s="17">
        <v>76819.313227289997</v>
      </c>
    </row>
    <row r="56" spans="2:5" x14ac:dyDescent="0.2">
      <c r="B56" s="18" t="s">
        <v>40</v>
      </c>
      <c r="C56" s="22">
        <f>SUM(C54:C55)</f>
        <v>77816</v>
      </c>
      <c r="D56" s="22">
        <f t="shared" ref="D56:E56" si="4">SUM(D54:D55)</f>
        <v>79366.127617999999</v>
      </c>
      <c r="E56" s="22">
        <f t="shared" si="4"/>
        <v>81819.313227289997</v>
      </c>
    </row>
    <row r="57" spans="2:5" ht="10.8" thickBot="1" x14ac:dyDescent="0.25">
      <c r="B57" s="23" t="s">
        <v>43</v>
      </c>
      <c r="C57" s="24">
        <f>C52+C56</f>
        <v>90427.5</v>
      </c>
      <c r="D57" s="24">
        <f t="shared" ref="D57:E57" si="5">D52+D56</f>
        <v>95079.139417999992</v>
      </c>
      <c r="E57" s="24">
        <f t="shared" si="5"/>
        <v>101686.91221109001</v>
      </c>
    </row>
    <row r="58" spans="2:5" ht="10.8" thickTop="1" x14ac:dyDescent="0.2">
      <c r="B58" s="16"/>
      <c r="C58" s="26"/>
      <c r="D58" s="26"/>
      <c r="E58" s="26"/>
    </row>
    <row r="59" spans="2:5" x14ac:dyDescent="0.2">
      <c r="B59" s="27" t="s">
        <v>44</v>
      </c>
      <c r="C59" s="28">
        <f>C57-C48</f>
        <v>-0.1309999999939464</v>
      </c>
      <c r="D59" s="28">
        <f>D57-D48</f>
        <v>-0.13100000000849832</v>
      </c>
      <c r="E59" s="28">
        <f>E57-E48</f>
        <v>-0.1309999999939464</v>
      </c>
    </row>
    <row r="60" spans="2:5" x14ac:dyDescent="0.2">
      <c r="B60" s="29"/>
      <c r="C60" s="30"/>
      <c r="D60" s="30"/>
      <c r="E60" s="30"/>
    </row>
    <row r="61" spans="2:5" x14ac:dyDescent="0.2">
      <c r="B61" s="3"/>
      <c r="C61" s="4"/>
      <c r="D61" s="4"/>
      <c r="E61" s="4"/>
    </row>
    <row r="62" spans="2:5" x14ac:dyDescent="0.2">
      <c r="B62" s="35" t="s">
        <v>45</v>
      </c>
      <c r="C62" s="36" t="s">
        <v>0</v>
      </c>
      <c r="D62" s="36" t="s">
        <v>1</v>
      </c>
      <c r="E62" s="36" t="s">
        <v>2</v>
      </c>
    </row>
    <row r="63" spans="2:5" x14ac:dyDescent="0.2">
      <c r="B63" s="7" t="s">
        <v>46</v>
      </c>
      <c r="C63" s="26"/>
      <c r="D63" s="26"/>
      <c r="E63" s="26"/>
    </row>
    <row r="64" spans="2:5" x14ac:dyDescent="0.2">
      <c r="B64" s="16" t="s">
        <v>26</v>
      </c>
      <c r="C64" s="17">
        <v>1758.7310000000007</v>
      </c>
      <c r="D64" s="17">
        <v>1550.1276179999963</v>
      </c>
      <c r="E64" s="17">
        <v>2453.1856092899925</v>
      </c>
    </row>
    <row r="65" spans="2:5" x14ac:dyDescent="0.2">
      <c r="B65" s="16" t="s">
        <v>47</v>
      </c>
      <c r="C65" s="17">
        <v>6420.4000000000005</v>
      </c>
      <c r="D65" s="17">
        <v>7800.786000000001</v>
      </c>
      <c r="E65" s="17">
        <v>9969.4045080000014</v>
      </c>
    </row>
    <row r="66" spans="2:5" x14ac:dyDescent="0.2">
      <c r="B66" s="16" t="s">
        <v>49</v>
      </c>
      <c r="C66" s="17">
        <v>3668.7999999999975</v>
      </c>
      <c r="D66" s="17">
        <v>175.87310000000434</v>
      </c>
      <c r="E66" s="17">
        <v>1852.1294759999964</v>
      </c>
    </row>
    <row r="67" spans="2:5" x14ac:dyDescent="0.2">
      <c r="B67" s="11" t="s">
        <v>50</v>
      </c>
      <c r="C67" s="12">
        <f>C64+C65-C66</f>
        <v>4510.3310000000038</v>
      </c>
      <c r="D67" s="12">
        <f>D64+D65-D66</f>
        <v>9175.0405179999925</v>
      </c>
      <c r="E67" s="12">
        <f>E64+E65-E66</f>
        <v>10570.460641289998</v>
      </c>
    </row>
    <row r="68" spans="2:5" x14ac:dyDescent="0.2">
      <c r="B68" s="13"/>
      <c r="C68" s="15"/>
      <c r="D68" s="15"/>
      <c r="E68" s="15"/>
    </row>
    <row r="69" spans="2:5" x14ac:dyDescent="0.2">
      <c r="B69" s="7" t="s">
        <v>51</v>
      </c>
      <c r="C69" s="31"/>
      <c r="D69" s="31"/>
      <c r="E69" s="31"/>
    </row>
    <row r="70" spans="2:5" x14ac:dyDescent="0.2">
      <c r="B70" s="16" t="s">
        <v>52</v>
      </c>
      <c r="C70" s="10">
        <v>-17894</v>
      </c>
      <c r="D70" s="10">
        <v>-8115.786000000001</v>
      </c>
      <c r="E70" s="10">
        <v>-5977.4045080000014</v>
      </c>
    </row>
    <row r="71" spans="2:5" x14ac:dyDescent="0.2">
      <c r="B71" s="11" t="s">
        <v>54</v>
      </c>
      <c r="C71" s="12">
        <f>SUM(C70)</f>
        <v>-17894</v>
      </c>
      <c r="D71" s="12">
        <f t="shared" ref="D71:E71" si="6">SUM(D70)</f>
        <v>-8115.786000000001</v>
      </c>
      <c r="E71" s="12">
        <f t="shared" si="6"/>
        <v>-5977.4045080000014</v>
      </c>
    </row>
    <row r="72" spans="2:5" x14ac:dyDescent="0.2">
      <c r="B72" s="13"/>
      <c r="C72" s="15"/>
      <c r="D72" s="15"/>
      <c r="E72" s="15"/>
    </row>
    <row r="73" spans="2:5" x14ac:dyDescent="0.2">
      <c r="B73" s="16" t="s">
        <v>59</v>
      </c>
      <c r="C73" s="32">
        <f>C67+C71</f>
        <v>-13383.668999999996</v>
      </c>
      <c r="D73" s="32">
        <f t="shared" ref="D73:E73" si="7">D67+D71</f>
        <v>1059.2545179999915</v>
      </c>
      <c r="E73" s="32">
        <f t="shared" si="7"/>
        <v>4593.0561332899961</v>
      </c>
    </row>
    <row r="74" spans="2:5" x14ac:dyDescent="0.2">
      <c r="B74" s="16" t="s">
        <v>60</v>
      </c>
      <c r="C74" s="10">
        <v>24687</v>
      </c>
      <c r="D74" s="32">
        <f>C75</f>
        <v>11303.331000000004</v>
      </c>
      <c r="E74" s="32">
        <f>D75</f>
        <v>12362.585517999996</v>
      </c>
    </row>
    <row r="75" spans="2:5" x14ac:dyDescent="0.2">
      <c r="B75" s="11" t="s">
        <v>61</v>
      </c>
      <c r="C75" s="12">
        <f>SUM(C73:C74)</f>
        <v>11303.331000000004</v>
      </c>
      <c r="D75" s="12">
        <f t="shared" ref="D75:E75" si="8">SUM(D73:D74)</f>
        <v>12362.585517999996</v>
      </c>
      <c r="E75" s="12">
        <f t="shared" si="8"/>
        <v>16955.641651289992</v>
      </c>
    </row>
    <row r="76" spans="2:5" x14ac:dyDescent="0.2">
      <c r="B76" s="7"/>
      <c r="C76" s="15"/>
      <c r="D76" s="26"/>
      <c r="E76" s="26"/>
    </row>
    <row r="77" spans="2:5" x14ac:dyDescent="0.2">
      <c r="B77" s="27" t="s">
        <v>62</v>
      </c>
      <c r="C77" s="28">
        <f>C75-C44</f>
        <v>0</v>
      </c>
      <c r="D77" s="28">
        <f>D75-D44</f>
        <v>0</v>
      </c>
      <c r="E77" s="28">
        <f>E75-E44</f>
        <v>0</v>
      </c>
    </row>
    <row r="78" spans="2:5" x14ac:dyDescent="0.2">
      <c r="B78" s="27" t="s">
        <v>63</v>
      </c>
      <c r="C78" s="28">
        <f>C64-C39</f>
        <v>0</v>
      </c>
      <c r="D78" s="28">
        <f>D64-D39</f>
        <v>0</v>
      </c>
      <c r="E78" s="28">
        <f>E64-E39</f>
        <v>0</v>
      </c>
    </row>
    <row r="79" spans="2:5" x14ac:dyDescent="0.2">
      <c r="B79" s="27" t="s">
        <v>64</v>
      </c>
      <c r="C79" s="28">
        <f>C65-C32</f>
        <v>0</v>
      </c>
      <c r="D79" s="28">
        <f>D65-D32</f>
        <v>0</v>
      </c>
      <c r="E79" s="28">
        <f>E65-E32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TOC</vt:lpstr>
      <vt:lpstr>Changelog</vt:lpstr>
      <vt:lpstr>Revenue &amp; Margins</vt:lpstr>
      <vt:lpstr>RevStepUp</vt:lpstr>
      <vt:lpstr>Valuation</vt:lpstr>
      <vt:lpstr>ConsoView</vt:lpstr>
      <vt:lpstr>CoreBusiness</vt:lpstr>
      <vt:lpstr>Config</vt:lpstr>
      <vt:lpstr>CommonSize</vt:lpstr>
      <vt:lpstr>Eliminations</vt:lpstr>
      <vt:lpstr>MintyTools</vt:lpstr>
      <vt:lpstr>AcqPipeline</vt:lpstr>
      <vt:lpstr>Corporate</vt:lpstr>
      <vt:lpstr>Dev</vt:lpstr>
      <vt:lpstr>Pipeline</vt:lpstr>
      <vt:lpstr>Solids</vt:lpstr>
      <vt:lpstr>RockCodeAcq</vt:lpstr>
      <vt:lpstr>SOURCES -&gt;</vt:lpstr>
      <vt:lpstr>Minty Holding</vt:lpstr>
      <vt:lpstr>Minty Dev</vt:lpstr>
      <vt:lpstr>Minty Pipeline</vt:lpstr>
      <vt:lpstr>Minty Solids</vt:lpstr>
      <vt:lpstr>RockCode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Dobromir Dikov</dc:creator>
  <cp:lastModifiedBy>David De Medeiros</cp:lastModifiedBy>
  <dcterms:created xsi:type="dcterms:W3CDTF">2022-08-25T19:42:24Z</dcterms:created>
  <dcterms:modified xsi:type="dcterms:W3CDTF">2025-08-18T17:54:07Z</dcterms:modified>
</cp:coreProperties>
</file>