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4235" windowHeight="11460"/>
  </bookViews>
  <sheets>
    <sheet name="--Ku 62" sheetId="1" r:id="rId1"/>
  </sheets>
  <calcPr calcId="144525"/>
</workbook>
</file>

<file path=xl/calcChain.xml><?xml version="1.0" encoding="utf-8"?>
<calcChain xmlns="http://schemas.openxmlformats.org/spreadsheetml/2006/main">
  <c r="G47" i="1" l="1"/>
  <c r="G44" i="1"/>
  <c r="G36" i="1"/>
  <c r="G32" i="1"/>
  <c r="G23" i="1"/>
  <c r="O29" i="1" s="1"/>
  <c r="G11" i="1"/>
  <c r="G9" i="1"/>
  <c r="G7" i="1"/>
  <c r="G12" i="1" s="1"/>
  <c r="G15" i="1" l="1"/>
  <c r="G13" i="1"/>
  <c r="G20" i="1"/>
  <c r="H21" i="1" s="1"/>
  <c r="G22" i="1"/>
  <c r="G24" i="1" s="1"/>
  <c r="H29" i="1"/>
  <c r="J29" i="1"/>
  <c r="L29" i="1"/>
  <c r="N29" i="1"/>
  <c r="G10" i="1"/>
  <c r="G14" i="1" s="1"/>
  <c r="G16" i="1" s="1"/>
  <c r="G17" i="1" s="1"/>
  <c r="G29" i="1"/>
  <c r="I29" i="1"/>
  <c r="K29" i="1"/>
  <c r="M29" i="1"/>
  <c r="N38" i="1" l="1"/>
  <c r="N39" i="1" s="1"/>
  <c r="L38" i="1"/>
  <c r="L39" i="1" s="1"/>
  <c r="J38" i="1"/>
  <c r="J39" i="1" s="1"/>
  <c r="H38" i="1"/>
  <c r="H39" i="1" s="1"/>
  <c r="G19" i="1"/>
  <c r="O38" i="1"/>
  <c r="O39" i="1" s="1"/>
  <c r="M38" i="1"/>
  <c r="M39" i="1" s="1"/>
  <c r="K38" i="1"/>
  <c r="K39" i="1" s="1"/>
  <c r="I38" i="1"/>
  <c r="I39" i="1" s="1"/>
  <c r="G38" i="1"/>
  <c r="G39" i="1" s="1"/>
  <c r="G49" i="1" l="1"/>
  <c r="G52" i="1" s="1"/>
  <c r="G58" i="1" s="1"/>
  <c r="G62" i="1" s="1"/>
  <c r="G50" i="1"/>
  <c r="K49" i="1"/>
  <c r="K52" i="1" s="1"/>
  <c r="K58" i="1" s="1"/>
  <c r="K62" i="1" s="1"/>
  <c r="K50" i="1"/>
  <c r="O50" i="1"/>
  <c r="O49" i="1"/>
  <c r="O52" i="1" s="1"/>
  <c r="O58" i="1" s="1"/>
  <c r="O62" i="1" s="1"/>
  <c r="H49" i="1"/>
  <c r="H52" i="1" s="1"/>
  <c r="H58" i="1" s="1"/>
  <c r="H62" i="1" s="1"/>
  <c r="H50" i="1"/>
  <c r="L49" i="1"/>
  <c r="L52" i="1" s="1"/>
  <c r="L58" i="1" s="1"/>
  <c r="L62" i="1" s="1"/>
  <c r="L50" i="1"/>
  <c r="I49" i="1"/>
  <c r="I52" i="1" s="1"/>
  <c r="I58" i="1" s="1"/>
  <c r="I62" i="1" s="1"/>
  <c r="I50" i="1"/>
  <c r="M49" i="1"/>
  <c r="M52" i="1" s="1"/>
  <c r="M58" i="1" s="1"/>
  <c r="M62" i="1" s="1"/>
  <c r="M50" i="1"/>
  <c r="J50" i="1"/>
  <c r="J49" i="1"/>
  <c r="J52" i="1" s="1"/>
  <c r="J58" i="1" s="1"/>
  <c r="J62" i="1" s="1"/>
  <c r="N50" i="1"/>
  <c r="N49" i="1"/>
  <c r="N52" i="1" s="1"/>
  <c r="N58" i="1" s="1"/>
  <c r="N62" i="1" s="1"/>
  <c r="I51" i="1" l="1"/>
  <c r="I54" i="1"/>
  <c r="I57" i="1" s="1"/>
  <c r="I61" i="1" s="1"/>
  <c r="H51" i="1"/>
  <c r="H54" i="1"/>
  <c r="H57" i="1" s="1"/>
  <c r="H61" i="1" s="1"/>
  <c r="K51" i="1"/>
  <c r="K54" i="1"/>
  <c r="K57" i="1" s="1"/>
  <c r="K61" i="1" s="1"/>
  <c r="G51" i="1"/>
  <c r="G54" i="1"/>
  <c r="G57" i="1" s="1"/>
  <c r="G61" i="1" s="1"/>
  <c r="M51" i="1"/>
  <c r="M54" i="1"/>
  <c r="M57" i="1" s="1"/>
  <c r="M61" i="1" s="1"/>
  <c r="L51" i="1"/>
  <c r="L54" i="1"/>
  <c r="L57" i="1" s="1"/>
  <c r="L61" i="1" s="1"/>
  <c r="N51" i="1"/>
  <c r="N54" i="1"/>
  <c r="N57" i="1" s="1"/>
  <c r="N61" i="1" s="1"/>
  <c r="J51" i="1"/>
  <c r="J54" i="1"/>
  <c r="J57" i="1" s="1"/>
  <c r="J61" i="1" s="1"/>
  <c r="O51" i="1"/>
  <c r="O54" i="1"/>
  <c r="O57" i="1" s="1"/>
  <c r="O61" i="1" s="1"/>
</calcChain>
</file>

<file path=xl/sharedStrings.xml><?xml version="1.0" encoding="utf-8"?>
<sst xmlns="http://schemas.openxmlformats.org/spreadsheetml/2006/main" count="87" uniqueCount="69">
  <si>
    <t>Расчет энергетики спутникового канала связи VSAT-системы в Кu-диапазоне</t>
  </si>
  <si>
    <t>Северная Осетия-Алания, Алагир</t>
  </si>
  <si>
    <t>4.3.1 Широта места нахождения земной станции (А)</t>
  </si>
  <si>
    <t>град</t>
  </si>
  <si>
    <t xml:space="preserve">Восточная долгота земной станции </t>
  </si>
  <si>
    <t>160-200</t>
  </si>
  <si>
    <t>43° 02′ 30″</t>
  </si>
  <si>
    <t>Позиция спутника</t>
  </si>
  <si>
    <t>44° 13′ 12″</t>
  </si>
  <si>
    <t>восточная долгота земной станции минус долгота спутника (В)</t>
  </si>
  <si>
    <t>отношение радиуса  орбиты к радиусу экватора Земли</t>
  </si>
  <si>
    <t>Косинус А</t>
  </si>
  <si>
    <t>Express AT1</t>
  </si>
  <si>
    <t>Косинус B</t>
  </si>
  <si>
    <t>Кавдрат косинуса А</t>
  </si>
  <si>
    <t>Квадрат косинуса В</t>
  </si>
  <si>
    <t>Корень</t>
  </si>
  <si>
    <t>Числитель</t>
  </si>
  <si>
    <t>Знаменатель</t>
  </si>
  <si>
    <t>Арктангенс</t>
  </si>
  <si>
    <t>Угол места (угол возвышения)</t>
  </si>
  <si>
    <t>Для низких углов  EL</t>
  </si>
  <si>
    <t>1.3.2  Азимут</t>
  </si>
  <si>
    <t>1,3,3  Магнитное склонение</t>
  </si>
  <si>
    <t>1,3,4 Наклонная дальность (D)</t>
  </si>
  <si>
    <t>м</t>
  </si>
  <si>
    <t>1,3,5  Длина волны (лямбда)</t>
  </si>
  <si>
    <t>Потери в свободном пространстве (Lfs)</t>
  </si>
  <si>
    <t>дБ</t>
  </si>
  <si>
    <t>Рабочая частота (f)</t>
  </si>
  <si>
    <t>Ка-диапазон</t>
  </si>
  <si>
    <t>Гц</t>
  </si>
  <si>
    <t>лингсат 1й столбец</t>
  </si>
  <si>
    <t>1,3,6 Процент эффективности антенны</t>
  </si>
  <si>
    <t>Диаметр антенны(d)</t>
  </si>
  <si>
    <t>Коэффициент усиления антенны(Ga)</t>
  </si>
  <si>
    <t>Шум конвертера(LNB)</t>
  </si>
  <si>
    <t>Шумовая температура конвертера(TLNB)</t>
  </si>
  <si>
    <t>К</t>
  </si>
  <si>
    <t>Общая величина вносимого затухания компонентов</t>
  </si>
  <si>
    <t>Тепловая температура переходных шумов</t>
  </si>
  <si>
    <t>Шумовая температура антенны(TANT)</t>
  </si>
  <si>
    <t>Эквивалентная шумовая температура(сигма TANT)</t>
  </si>
  <si>
    <t>Шумовая температура галактики</t>
  </si>
  <si>
    <t>Температура среды для небольшой облачности</t>
  </si>
  <si>
    <t>Ослабление сигнала из-за поглощения газами (Aatm)</t>
  </si>
  <si>
    <t>Шумовая температура поглощения в чистой атмосфере(Tclear sky)</t>
  </si>
  <si>
    <t>Ослабление сигнала в дожде</t>
  </si>
  <si>
    <t>Температура среды в условиях дождя</t>
  </si>
  <si>
    <t>Шумовая температура поглощения в дожде(Train)</t>
  </si>
  <si>
    <t>Общая шумовая температура  системы при чистом небе(Tsys_clear sky)</t>
  </si>
  <si>
    <t>Общая шумовая температура  системы при дожде(Tsys_rain)</t>
  </si>
  <si>
    <t>Cнижение эффективности линии связи вниз (DND)</t>
  </si>
  <si>
    <t xml:space="preserve">Коэффициент добротности (G/Tnom) </t>
  </si>
  <si>
    <t>Потери из-за неточного наведения антенны</t>
  </si>
  <si>
    <t xml:space="preserve">Минимальный коэффициент добротности (G/Tusable) </t>
  </si>
  <si>
    <t>Полоса пропускания приемника (ширина радиоканала)(B)</t>
  </si>
  <si>
    <t>МГц</t>
  </si>
  <si>
    <t>25или 36 или72</t>
  </si>
  <si>
    <t>EIRP(эквивалентная изотропная излучаемая мощность)</t>
  </si>
  <si>
    <t>Из зоны покрытия спутника</t>
  </si>
  <si>
    <t>Отношение несущая/шум в плохих условиях (C/N_rain)</t>
  </si>
  <si>
    <t>Отношение несущая/шум в хороших условиях (C/N_clear_sky)</t>
  </si>
  <si>
    <t>Максимальная скорость потока (бит/с)</t>
  </si>
  <si>
    <t>бит/с</t>
  </si>
  <si>
    <t>лингсат 6ой столбец</t>
  </si>
  <si>
    <t>Отношение кол-ва энергии бита к мощности шумов для плохих(Eb/N0)</t>
  </si>
  <si>
    <t>Отношение кол-ва энергии бита к мощности шумов для хороших (Eb/N0)</t>
  </si>
  <si>
    <t>координаты города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</si>
</sst>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5"/>
      <color rgb="FF000000"/>
      <name val="Arial"/>
      <family val="2"/>
      <charset val="204"/>
    </font>
    <font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2" borderId="5" xfId="0" applyFill="1" applyBorder="1"/>
    <xf numFmtId="0" fontId="5" fillId="0" borderId="0" xfId="0" applyFont="1" applyAlignment="1">
      <alignment vertical="center"/>
    </xf>
    <xf numFmtId="0" fontId="0" fillId="3" borderId="0" xfId="0" applyFill="1" applyBorder="1"/>
    <xf numFmtId="0" fontId="0" fillId="0" borderId="5" xfId="0" applyBorder="1"/>
    <xf numFmtId="0" fontId="5" fillId="0" borderId="0" xfId="0" applyFont="1" applyAlignment="1">
      <alignment horizontal="right" vertical="center"/>
    </xf>
    <xf numFmtId="2" fontId="0" fillId="0" borderId="0" xfId="0" applyNumberFormat="1" applyBorder="1"/>
    <xf numFmtId="0" fontId="4" fillId="0" borderId="0" xfId="0" applyFont="1" applyAlignment="1">
      <alignment horizontal="right" vertical="center"/>
    </xf>
    <xf numFmtId="2" fontId="0" fillId="4" borderId="0" xfId="0" applyNumberFormat="1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2" fontId="0" fillId="3" borderId="7" xfId="0" applyNumberFormat="1" applyFill="1" applyBorder="1"/>
    <xf numFmtId="0" fontId="0" fillId="0" borderId="8" xfId="0" applyBorder="1"/>
    <xf numFmtId="2" fontId="0" fillId="3" borderId="0" xfId="0" applyNumberFormat="1" applyFill="1"/>
    <xf numFmtId="2" fontId="0" fillId="2" borderId="0" xfId="0" applyNumberFormat="1" applyFill="1"/>
    <xf numFmtId="2" fontId="0" fillId="5" borderId="0" xfId="0" applyNumberFormat="1" applyFill="1"/>
    <xf numFmtId="0" fontId="0" fillId="2" borderId="0" xfId="0" applyFill="1"/>
    <xf numFmtId="3" fontId="0" fillId="6" borderId="0" xfId="0" applyNumberFormat="1" applyFill="1"/>
    <xf numFmtId="0" fontId="0" fillId="6" borderId="0" xfId="0" applyFill="1"/>
    <xf numFmtId="0" fontId="0" fillId="0" borderId="9" xfId="0" applyBorder="1"/>
    <xf numFmtId="2" fontId="0" fillId="0" borderId="9" xfId="0" applyNumberFormat="1" applyBorder="1"/>
    <xf numFmtId="2" fontId="0" fillId="0" borderId="0" xfId="0" applyNumberFormat="1"/>
    <xf numFmtId="0" fontId="0" fillId="0" borderId="0" xfId="0" applyFill="1"/>
    <xf numFmtId="0" fontId="0" fillId="5" borderId="0" xfId="0" applyFill="1"/>
    <xf numFmtId="0" fontId="1" fillId="0" borderId="0" xfId="0" applyFont="1" applyAlignment="1">
      <alignment horizontal="right"/>
    </xf>
    <xf numFmtId="2" fontId="0" fillId="4" borderId="0" xfId="0" applyNumberFormat="1" applyFill="1"/>
    <xf numFmtId="164" fontId="0" fillId="0" borderId="9" xfId="0" applyNumberFormat="1" applyBorder="1"/>
    <xf numFmtId="164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1" fillId="2" borderId="0" xfId="0" applyFont="1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8"/>
  <sheetViews>
    <sheetView tabSelected="1" zoomScale="70" zoomScaleNormal="70" workbookViewId="0">
      <selection activeCell="Q5" sqref="Q5"/>
    </sheetView>
  </sheetViews>
  <sheetFormatPr defaultRowHeight="15" x14ac:dyDescent="0.25"/>
  <cols>
    <col min="6" max="6" width="23" customWidth="1"/>
    <col min="7" max="7" width="14.42578125" bestFit="1" customWidth="1"/>
    <col min="8" max="8" width="6.85546875" customWidth="1"/>
    <col min="9" max="9" width="6.5703125" customWidth="1"/>
    <col min="10" max="11" width="6.42578125" customWidth="1"/>
    <col min="12" max="12" width="6.140625" customWidth="1"/>
    <col min="13" max="13" width="6.7109375" customWidth="1"/>
    <col min="14" max="14" width="6.28515625" customWidth="1"/>
    <col min="15" max="15" width="6.42578125" customWidth="1"/>
  </cols>
  <sheetData>
    <row r="2" spans="1:16" x14ac:dyDescent="0.25">
      <c r="A2" s="39" t="s">
        <v>0</v>
      </c>
      <c r="B2" s="39"/>
      <c r="C2" s="39"/>
      <c r="D2" s="39"/>
      <c r="E2" s="39"/>
      <c r="F2" s="39"/>
      <c r="G2" s="39"/>
      <c r="H2" s="39"/>
      <c r="I2" s="39"/>
      <c r="J2" s="39"/>
    </row>
    <row r="3" spans="1:16" ht="18.75" x14ac:dyDescent="0.3">
      <c r="J3" s="1" t="s">
        <v>1</v>
      </c>
      <c r="K3" s="2"/>
      <c r="L3" s="2"/>
      <c r="M3" s="2"/>
    </row>
    <row r="4" spans="1:16" ht="18.75" x14ac:dyDescent="0.3">
      <c r="A4" s="3" t="s">
        <v>2</v>
      </c>
      <c r="B4" s="4"/>
      <c r="C4" s="4"/>
      <c r="D4" s="4"/>
      <c r="E4" s="4"/>
      <c r="F4" s="4"/>
      <c r="G4" s="5">
        <v>43</v>
      </c>
      <c r="H4" s="6" t="s">
        <v>3</v>
      </c>
      <c r="J4" s="1"/>
      <c r="K4" s="2"/>
      <c r="L4" s="2" t="s">
        <v>68</v>
      </c>
      <c r="M4" s="2"/>
    </row>
    <row r="5" spans="1:16" ht="18.75" x14ac:dyDescent="0.3">
      <c r="A5" s="7" t="s">
        <v>4</v>
      </c>
      <c r="B5" s="8"/>
      <c r="C5" s="8"/>
      <c r="D5" s="8"/>
      <c r="E5" s="8"/>
      <c r="F5" s="8"/>
      <c r="G5" s="9">
        <v>44</v>
      </c>
      <c r="H5" s="10" t="s">
        <v>3</v>
      </c>
      <c r="L5" s="1" t="s">
        <v>6</v>
      </c>
      <c r="M5" s="11"/>
      <c r="P5" s="1" t="s">
        <v>5</v>
      </c>
    </row>
    <row r="6" spans="1:16" ht="18.75" x14ac:dyDescent="0.3">
      <c r="A6" s="7" t="s">
        <v>7</v>
      </c>
      <c r="B6" s="8"/>
      <c r="C6" s="8"/>
      <c r="D6" s="8"/>
      <c r="E6" s="8"/>
      <c r="F6" s="8"/>
      <c r="G6" s="9">
        <v>56</v>
      </c>
      <c r="H6" s="10" t="s">
        <v>3</v>
      </c>
      <c r="K6" s="1"/>
      <c r="L6" s="1" t="s">
        <v>8</v>
      </c>
      <c r="M6" s="11"/>
      <c r="P6" s="1">
        <v>250</v>
      </c>
    </row>
    <row r="7" spans="1:16" ht="18.75" x14ac:dyDescent="0.3">
      <c r="A7" s="7" t="s">
        <v>9</v>
      </c>
      <c r="B7" s="8"/>
      <c r="C7" s="8"/>
      <c r="D7" s="8"/>
      <c r="E7" s="8"/>
      <c r="F7" s="8"/>
      <c r="G7" s="12">
        <f>G5-G6</f>
        <v>-12</v>
      </c>
      <c r="H7" s="13" t="s">
        <v>3</v>
      </c>
      <c r="K7" s="1"/>
      <c r="L7" s="1"/>
      <c r="M7" s="1"/>
      <c r="P7" s="1">
        <v>30</v>
      </c>
    </row>
    <row r="8" spans="1:16" ht="18.75" x14ac:dyDescent="0.3">
      <c r="A8" s="7" t="s">
        <v>10</v>
      </c>
      <c r="B8" s="8"/>
      <c r="C8" s="8"/>
      <c r="D8" s="8"/>
      <c r="E8" s="8"/>
      <c r="F8" s="8"/>
      <c r="G8" s="8">
        <v>6.61</v>
      </c>
      <c r="H8" s="13"/>
      <c r="K8" s="1"/>
      <c r="L8" s="1"/>
      <c r="M8" s="1"/>
      <c r="P8" s="14"/>
    </row>
    <row r="9" spans="1:16" ht="18.75" x14ac:dyDescent="0.25">
      <c r="A9" s="7" t="s">
        <v>11</v>
      </c>
      <c r="B9" s="8"/>
      <c r="C9" s="8"/>
      <c r="D9" s="8"/>
      <c r="E9" s="8"/>
      <c r="F9" s="8"/>
      <c r="G9" s="15">
        <f>COS(RADIANS(G4))</f>
        <v>0.73135370161917046</v>
      </c>
      <c r="H9" s="13"/>
      <c r="J9" s="40" t="s">
        <v>12</v>
      </c>
      <c r="K9" s="40"/>
      <c r="L9" s="40"/>
      <c r="M9" s="16">
        <v>56</v>
      </c>
    </row>
    <row r="10" spans="1:16" x14ac:dyDescent="0.25">
      <c r="A10" s="7" t="s">
        <v>13</v>
      </c>
      <c r="B10" s="8"/>
      <c r="C10" s="8"/>
      <c r="D10" s="8"/>
      <c r="E10" s="8"/>
      <c r="F10" s="8"/>
      <c r="G10" s="15">
        <f>COS(RADIANS(G7))</f>
        <v>0.97814760073380569</v>
      </c>
      <c r="H10" s="13"/>
    </row>
    <row r="11" spans="1:16" x14ac:dyDescent="0.25">
      <c r="A11" s="7" t="s">
        <v>14</v>
      </c>
      <c r="B11" s="8"/>
      <c r="C11" s="8"/>
      <c r="D11" s="8"/>
      <c r="E11" s="8"/>
      <c r="F11" s="8"/>
      <c r="G11" s="15">
        <f>COS(RADIANS(2*G4))</f>
        <v>6.9756473744125233E-2</v>
      </c>
      <c r="H11" s="13"/>
    </row>
    <row r="12" spans="1:16" x14ac:dyDescent="0.25">
      <c r="A12" s="7" t="s">
        <v>15</v>
      </c>
      <c r="B12" s="8"/>
      <c r="C12" s="8"/>
      <c r="D12" s="8"/>
      <c r="E12" s="8"/>
      <c r="F12" s="8"/>
      <c r="G12" s="15">
        <f>COS(RADIANS(2*G7))</f>
        <v>0.91354545764260087</v>
      </c>
      <c r="H12" s="13"/>
    </row>
    <row r="13" spans="1:16" x14ac:dyDescent="0.25">
      <c r="A13" s="7" t="s">
        <v>16</v>
      </c>
      <c r="B13" s="8"/>
      <c r="C13" s="8"/>
      <c r="D13" s="8"/>
      <c r="E13" s="8"/>
      <c r="F13" s="8"/>
      <c r="G13" s="15">
        <f>SQRT(1-G11*G12)</f>
        <v>0.96761267574887067</v>
      </c>
      <c r="H13" s="13"/>
    </row>
    <row r="14" spans="1:16" x14ac:dyDescent="0.25">
      <c r="A14" s="7" t="s">
        <v>17</v>
      </c>
      <c r="B14" s="8"/>
      <c r="C14" s="8"/>
      <c r="D14" s="8"/>
      <c r="E14" s="8"/>
      <c r="F14" s="8"/>
      <c r="G14" s="15">
        <f>G8*G9*G10-1</f>
        <v>3.7286080509606885</v>
      </c>
      <c r="H14" s="13"/>
    </row>
    <row r="15" spans="1:16" x14ac:dyDescent="0.25">
      <c r="A15" s="7" t="s">
        <v>18</v>
      </c>
      <c r="B15" s="8"/>
      <c r="C15" s="8"/>
      <c r="D15" s="8"/>
      <c r="E15" s="8"/>
      <c r="F15" s="8"/>
      <c r="G15" s="15">
        <f>G8*SQRT(1-G11*G12)</f>
        <v>6.395919786700035</v>
      </c>
      <c r="H15" s="13"/>
    </row>
    <row r="16" spans="1:16" x14ac:dyDescent="0.25">
      <c r="A16" s="7" t="s">
        <v>19</v>
      </c>
      <c r="B16" s="8"/>
      <c r="C16" s="8"/>
      <c r="D16" s="8"/>
      <c r="E16" s="8"/>
      <c r="F16" s="8"/>
      <c r="G16" s="15">
        <f>(ATAN(G14/G15))</f>
        <v>0.52780083111314247</v>
      </c>
      <c r="H16" s="13"/>
    </row>
    <row r="17" spans="1:17" x14ac:dyDescent="0.25">
      <c r="A17" s="7" t="s">
        <v>20</v>
      </c>
      <c r="B17" s="8"/>
      <c r="C17" s="8"/>
      <c r="D17" s="8"/>
      <c r="E17" s="8"/>
      <c r="F17" s="8"/>
      <c r="G17" s="17">
        <f>DEGREES(G16)</f>
        <v>30.240760046280212</v>
      </c>
      <c r="H17" s="18" t="s">
        <v>3</v>
      </c>
    </row>
    <row r="18" spans="1:17" x14ac:dyDescent="0.25">
      <c r="A18" s="7"/>
      <c r="B18" s="8"/>
      <c r="C18" s="8"/>
      <c r="D18" s="8"/>
      <c r="E18" s="8"/>
      <c r="F18" s="8"/>
      <c r="G18" s="8"/>
      <c r="H18" s="13"/>
    </row>
    <row r="19" spans="1:17" x14ac:dyDescent="0.25">
      <c r="A19" s="19" t="s">
        <v>21</v>
      </c>
      <c r="B19" s="20"/>
      <c r="C19" s="20"/>
      <c r="D19" s="20"/>
      <c r="E19" s="20"/>
      <c r="F19" s="20"/>
      <c r="G19" s="21">
        <f>(G17+SQRT(G17*G17+4.132))/2</f>
        <v>30.274880742206186</v>
      </c>
      <c r="H19" s="22" t="s">
        <v>3</v>
      </c>
    </row>
    <row r="20" spans="1:17" x14ac:dyDescent="0.25">
      <c r="A20" t="s">
        <v>22</v>
      </c>
      <c r="G20" s="23">
        <f>180+DEGREES(ATAN(TAN(RADIANS(G7))/SIN(RADIANS(G4))))</f>
        <v>162.68945315513301</v>
      </c>
      <c r="H20" t="s">
        <v>3</v>
      </c>
    </row>
    <row r="21" spans="1:17" x14ac:dyDescent="0.25">
      <c r="A21" t="s">
        <v>23</v>
      </c>
      <c r="G21" s="24">
        <v>6.86</v>
      </c>
      <c r="H21" s="25">
        <f>G20+G21</f>
        <v>169.54945315513302</v>
      </c>
    </row>
    <row r="22" spans="1:17" x14ac:dyDescent="0.25">
      <c r="A22" t="s">
        <v>24</v>
      </c>
      <c r="G22" s="23">
        <f>6378.16*SQRT(G8*G8+1-2*G8*COS(RADIANS(G4))*COS(RADIANS(G7)))</f>
        <v>37860.106559993488</v>
      </c>
      <c r="H22" t="s">
        <v>25</v>
      </c>
    </row>
    <row r="23" spans="1:17" x14ac:dyDescent="0.25">
      <c r="A23" t="s">
        <v>26</v>
      </c>
      <c r="G23" s="23">
        <f>300000000/G25</f>
        <v>2.5000000000000001E-2</v>
      </c>
      <c r="H23" s="32" t="s">
        <v>25</v>
      </c>
    </row>
    <row r="24" spans="1:17" x14ac:dyDescent="0.25">
      <c r="A24" t="s">
        <v>27</v>
      </c>
      <c r="G24" s="23">
        <f>20*LOG((4000*3.14*G22)/G23)</f>
        <v>205.58462925423399</v>
      </c>
      <c r="H24" t="s">
        <v>28</v>
      </c>
    </row>
    <row r="25" spans="1:17" x14ac:dyDescent="0.25">
      <c r="A25" t="s">
        <v>29</v>
      </c>
      <c r="F25" t="s">
        <v>30</v>
      </c>
      <c r="G25" s="27">
        <v>12000000000</v>
      </c>
      <c r="H25" s="28" t="s">
        <v>31</v>
      </c>
      <c r="I25" t="s">
        <v>32</v>
      </c>
    </row>
    <row r="27" spans="1:17" x14ac:dyDescent="0.25">
      <c r="A27" t="s">
        <v>33</v>
      </c>
      <c r="G27" s="26">
        <v>80</v>
      </c>
    </row>
    <row r="28" spans="1:17" x14ac:dyDescent="0.25">
      <c r="A28" t="s">
        <v>34</v>
      </c>
      <c r="G28" s="29">
        <v>0.5</v>
      </c>
      <c r="H28" s="29">
        <v>0.6</v>
      </c>
      <c r="I28" s="29">
        <v>0.8</v>
      </c>
      <c r="J28" s="29">
        <v>1</v>
      </c>
      <c r="K28" s="30">
        <v>1.2</v>
      </c>
      <c r="L28" s="29">
        <v>1.4</v>
      </c>
      <c r="M28" s="29">
        <v>1.8</v>
      </c>
      <c r="N28" s="29">
        <v>2</v>
      </c>
      <c r="O28" s="29">
        <v>2.5</v>
      </c>
    </row>
    <row r="29" spans="1:17" x14ac:dyDescent="0.25">
      <c r="A29" t="s">
        <v>35</v>
      </c>
      <c r="G29" s="30">
        <f>10*LOG10((3.14*G28)*(3.14*G28)*$G$27/(100*$G$23*$G$23))</f>
        <v>34.990092744663357</v>
      </c>
      <c r="H29" s="30">
        <f t="shared" ref="H29:O29" si="0">10*LOG10((3.14*H28)*(3.14*H28)*$G$27/(100*$G$23*$G$23))</f>
        <v>36.57371766561586</v>
      </c>
      <c r="I29" s="30">
        <f t="shared" si="0"/>
        <v>39.072492397781858</v>
      </c>
      <c r="J29" s="30">
        <f t="shared" si="0"/>
        <v>41.010692657942982</v>
      </c>
      <c r="K29" s="30">
        <f t="shared" si="0"/>
        <v>42.594317578895478</v>
      </c>
      <c r="L29" s="30">
        <f t="shared" si="0"/>
        <v>43.933253371507739</v>
      </c>
      <c r="M29" s="30">
        <f t="shared" si="0"/>
        <v>46.116142760009105</v>
      </c>
      <c r="N29" s="30">
        <f t="shared" si="0"/>
        <v>47.031292571222608</v>
      </c>
      <c r="O29" s="30">
        <f t="shared" si="0"/>
        <v>48.969492831383732</v>
      </c>
      <c r="P29" s="31"/>
      <c r="Q29" s="31"/>
    </row>
    <row r="31" spans="1:17" x14ac:dyDescent="0.25">
      <c r="A31" t="s">
        <v>36</v>
      </c>
      <c r="G31" s="32">
        <v>1.5</v>
      </c>
      <c r="H31" t="s">
        <v>28</v>
      </c>
    </row>
    <row r="32" spans="1:17" x14ac:dyDescent="0.25">
      <c r="A32" t="s">
        <v>37</v>
      </c>
      <c r="G32" s="33">
        <f>290*(POWER(10,(G31/10))-1)</f>
        <v>119.63588794059876</v>
      </c>
      <c r="H32" t="s">
        <v>38</v>
      </c>
    </row>
    <row r="33" spans="1:17" x14ac:dyDescent="0.25">
      <c r="A33" t="s">
        <v>39</v>
      </c>
      <c r="G33" s="32">
        <v>0.5</v>
      </c>
      <c r="H33" t="s">
        <v>28</v>
      </c>
    </row>
    <row r="36" spans="1:17" x14ac:dyDescent="0.25">
      <c r="A36" t="s">
        <v>40</v>
      </c>
      <c r="G36">
        <f>290*(1-POWER(10,(-0.1*G33)))</f>
        <v>31.537227941213818</v>
      </c>
      <c r="H36" t="s">
        <v>38</v>
      </c>
    </row>
    <row r="38" spans="1:17" x14ac:dyDescent="0.25">
      <c r="A38" t="s">
        <v>41</v>
      </c>
      <c r="G38" s="30">
        <f t="shared" ref="G38:O38" si="1">15+30/G28+190/$G$17</f>
        <v>81.282910869608614</v>
      </c>
      <c r="H38" s="30">
        <f t="shared" si="1"/>
        <v>71.282910869608614</v>
      </c>
      <c r="I38" s="30">
        <f t="shared" si="1"/>
        <v>58.782910869608621</v>
      </c>
      <c r="J38" s="30">
        <f t="shared" si="1"/>
        <v>51.282910869608621</v>
      </c>
      <c r="K38" s="30">
        <f t="shared" si="1"/>
        <v>46.282910869608621</v>
      </c>
      <c r="L38" s="30">
        <f t="shared" si="1"/>
        <v>42.711482298180051</v>
      </c>
      <c r="M38" s="30">
        <f t="shared" si="1"/>
        <v>37.949577536275285</v>
      </c>
      <c r="N38" s="30">
        <f t="shared" si="1"/>
        <v>36.282910869608621</v>
      </c>
      <c r="O38" s="30">
        <f t="shared" si="1"/>
        <v>33.282910869608621</v>
      </c>
      <c r="P38" s="31"/>
      <c r="Q38" s="31"/>
    </row>
    <row r="39" spans="1:17" x14ac:dyDescent="0.25">
      <c r="A39" t="s">
        <v>42</v>
      </c>
      <c r="G39" s="30">
        <f>POWER(10,(-0.1*$G$33))*G38</f>
        <v>72.443470566780292</v>
      </c>
      <c r="H39" s="30">
        <f t="shared" ref="H39:O39" si="2">POWER(10,(-0.1*$G$33))*H38</f>
        <v>63.530961185442841</v>
      </c>
      <c r="I39" s="30">
        <f t="shared" si="2"/>
        <v>52.390324458771026</v>
      </c>
      <c r="J39" s="30">
        <f t="shared" si="2"/>
        <v>45.705942422767933</v>
      </c>
      <c r="K39" s="30">
        <f t="shared" si="2"/>
        <v>41.249687732099211</v>
      </c>
      <c r="L39" s="30">
        <f t="shared" si="2"/>
        <v>38.066648667335834</v>
      </c>
      <c r="M39" s="30">
        <f t="shared" si="2"/>
        <v>33.822596580984658</v>
      </c>
      <c r="N39" s="30">
        <f t="shared" si="2"/>
        <v>32.337178350761754</v>
      </c>
      <c r="O39" s="30">
        <f t="shared" si="2"/>
        <v>29.663425536360517</v>
      </c>
      <c r="P39" s="31"/>
      <c r="Q39" s="31"/>
    </row>
    <row r="40" spans="1:17" x14ac:dyDescent="0.25"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1:17" x14ac:dyDescent="0.25">
      <c r="A41" t="s">
        <v>43</v>
      </c>
      <c r="G41" s="31">
        <v>2.7</v>
      </c>
      <c r="H41" s="31" t="s">
        <v>38</v>
      </c>
      <c r="I41" s="31"/>
      <c r="J41" s="31"/>
      <c r="K41" s="31"/>
      <c r="L41" s="31"/>
      <c r="M41" s="31"/>
      <c r="N41" s="31"/>
      <c r="O41" s="31"/>
      <c r="P41" s="31"/>
      <c r="Q41" s="31"/>
    </row>
    <row r="42" spans="1:17" x14ac:dyDescent="0.25">
      <c r="A42" t="s">
        <v>44</v>
      </c>
      <c r="G42">
        <v>280</v>
      </c>
      <c r="H42" t="s">
        <v>38</v>
      </c>
    </row>
    <row r="43" spans="1:17" x14ac:dyDescent="0.25">
      <c r="A43" t="s">
        <v>45</v>
      </c>
      <c r="F43" s="34"/>
      <c r="G43">
        <v>0.2</v>
      </c>
      <c r="H43" t="s">
        <v>28</v>
      </c>
    </row>
    <row r="44" spans="1:17" x14ac:dyDescent="0.25">
      <c r="A44" t="s">
        <v>46</v>
      </c>
      <c r="G44" s="35">
        <f>(1-POWER(10,(-0.1*G43)))*G42+POWER(10,(-0.1*G43))*G41</f>
        <v>15.180555896255829</v>
      </c>
      <c r="H44" s="31" t="s">
        <v>38</v>
      </c>
    </row>
    <row r="45" spans="1:17" x14ac:dyDescent="0.25">
      <c r="A45" t="s">
        <v>47</v>
      </c>
      <c r="F45" s="34"/>
      <c r="G45" s="41">
        <v>0.8</v>
      </c>
      <c r="H45" t="s">
        <v>28</v>
      </c>
    </row>
    <row r="46" spans="1:17" x14ac:dyDescent="0.25">
      <c r="A46" t="s">
        <v>48</v>
      </c>
      <c r="G46">
        <v>260</v>
      </c>
      <c r="H46" t="s">
        <v>38</v>
      </c>
    </row>
    <row r="47" spans="1:17" x14ac:dyDescent="0.25">
      <c r="A47" t="s">
        <v>49</v>
      </c>
      <c r="G47" s="23">
        <f>(1-POWER(10,(-0.1*(G43+G45))))*G46+POWER(10,(-0.1*(G43+G45)))*G41</f>
        <v>55.619345205442372</v>
      </c>
      <c r="H47" t="s">
        <v>38</v>
      </c>
    </row>
    <row r="49" spans="1:17" x14ac:dyDescent="0.25">
      <c r="A49" t="s">
        <v>50</v>
      </c>
      <c r="G49" s="36">
        <f>$G$32+$G$36+POWER(10,(-0.1*$G$33))*(G39+$G$44)</f>
        <v>229.26811167004965</v>
      </c>
      <c r="H49" s="36">
        <f t="shared" ref="H49:O49" si="3">$G$32+$G$36+POWER(10,(-0.1*$G$33))*(H39+$G$44)</f>
        <v>221.32482932280686</v>
      </c>
      <c r="I49" s="36">
        <f t="shared" si="3"/>
        <v>211.39572638875333</v>
      </c>
      <c r="J49" s="36">
        <f t="shared" si="3"/>
        <v>205.43826462832124</v>
      </c>
      <c r="K49" s="36">
        <f t="shared" si="3"/>
        <v>201.46662345469983</v>
      </c>
      <c r="L49" s="36">
        <f t="shared" si="3"/>
        <v>198.62973690211311</v>
      </c>
      <c r="M49" s="36">
        <f t="shared" si="3"/>
        <v>194.84722149866414</v>
      </c>
      <c r="N49" s="36">
        <f t="shared" si="3"/>
        <v>193.52334110745701</v>
      </c>
      <c r="O49" s="36">
        <f t="shared" si="3"/>
        <v>191.14035640328416</v>
      </c>
      <c r="P49" s="37"/>
      <c r="Q49" s="37"/>
    </row>
    <row r="50" spans="1:17" x14ac:dyDescent="0.25">
      <c r="A50" t="s">
        <v>51</v>
      </c>
      <c r="G50" s="36">
        <f>$G$32+$G$36+POWER(10,(-0.1*$G$33))*(G39+$G$47)</f>
        <v>265.30922057885505</v>
      </c>
      <c r="H50" s="36">
        <f t="shared" ref="H50:O50" si="4">$G$32+$G$36+POWER(10,(-0.1*$G$33))*(H39+$G$47)</f>
        <v>257.36593823161223</v>
      </c>
      <c r="I50" s="36">
        <f t="shared" si="4"/>
        <v>247.43683529755873</v>
      </c>
      <c r="J50" s="36">
        <f t="shared" si="4"/>
        <v>241.47937353712661</v>
      </c>
      <c r="K50" s="36">
        <f t="shared" si="4"/>
        <v>237.50773236350523</v>
      </c>
      <c r="L50" s="36">
        <f t="shared" si="4"/>
        <v>234.67084581091848</v>
      </c>
      <c r="M50" s="36">
        <f t="shared" si="4"/>
        <v>230.88833040746954</v>
      </c>
      <c r="N50" s="36">
        <f t="shared" si="4"/>
        <v>229.56445001626241</v>
      </c>
      <c r="O50" s="36">
        <f t="shared" si="4"/>
        <v>227.18146531208953</v>
      </c>
      <c r="P50" s="37"/>
      <c r="Q50" s="37"/>
    </row>
    <row r="51" spans="1:17" x14ac:dyDescent="0.25">
      <c r="A51" t="s">
        <v>52</v>
      </c>
      <c r="G51" s="36">
        <f>$G$45+10*LOG(G50/G49)</f>
        <v>1.4340868975758281</v>
      </c>
      <c r="H51" s="36">
        <f t="shared" ref="H51:O51" si="5">$G$45+10*LOG(H50/H49)</f>
        <v>1.455209305516056</v>
      </c>
      <c r="I51" s="36">
        <f t="shared" si="5"/>
        <v>1.4836814913948495</v>
      </c>
      <c r="J51" s="36">
        <f t="shared" si="5"/>
        <v>1.5019870265992983</v>
      </c>
      <c r="K51" s="36">
        <f t="shared" si="5"/>
        <v>1.5147464539832476</v>
      </c>
      <c r="L51" s="36">
        <f t="shared" si="5"/>
        <v>1.5241487128998608</v>
      </c>
      <c r="M51" s="36">
        <f t="shared" si="5"/>
        <v>1.5370776611697279</v>
      </c>
      <c r="N51" s="36">
        <f t="shared" si="5"/>
        <v>1.5417128143475345</v>
      </c>
      <c r="O51" s="36">
        <f t="shared" si="5"/>
        <v>1.5502050493487551</v>
      </c>
      <c r="P51" s="37"/>
      <c r="Q51" s="37"/>
    </row>
    <row r="52" spans="1:17" x14ac:dyDescent="0.25">
      <c r="A52" t="s">
        <v>53</v>
      </c>
      <c r="G52" s="36">
        <f>10*LOG(POWER(10,(0.1*(G29-$G$33)))/G49)</f>
        <v>10.886656204725345</v>
      </c>
      <c r="H52" s="36">
        <f t="shared" ref="H52:O52" si="6">10*LOG(POWER(10,(0.1*(H29-$G$33)))/H49)</f>
        <v>12.623416285809935</v>
      </c>
      <c r="I52" s="36">
        <f t="shared" si="6"/>
        <v>15.321530364876814</v>
      </c>
      <c r="J52" s="36">
        <f t="shared" si="6"/>
        <v>17.383879279487996</v>
      </c>
      <c r="K52" s="36">
        <f t="shared" si="6"/>
        <v>19.052286500927234</v>
      </c>
      <c r="L52" s="36">
        <f t="shared" si="6"/>
        <v>20.452810698004424</v>
      </c>
      <c r="M52" s="36">
        <f t="shared" si="6"/>
        <v>22.719200588226855</v>
      </c>
      <c r="N52" s="36">
        <f t="shared" si="6"/>
        <v>23.663959037733669</v>
      </c>
      <c r="O52" s="36">
        <f t="shared" si="6"/>
        <v>25.655968916726295</v>
      </c>
      <c r="P52" s="37"/>
      <c r="Q52" s="37"/>
    </row>
    <row r="53" spans="1:17" x14ac:dyDescent="0.25">
      <c r="A53" t="s">
        <v>54</v>
      </c>
      <c r="G53" s="37">
        <v>0.6</v>
      </c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x14ac:dyDescent="0.25">
      <c r="A54" t="s">
        <v>55</v>
      </c>
      <c r="G54" s="36">
        <f>10*LOG(POWER(10,(0.1*(G29-$G$33+$G$53)))/G50)</f>
        <v>10.852569307149517</v>
      </c>
      <c r="H54" s="36">
        <f t="shared" ref="H54:O54" si="7">10*LOG(POWER(10,(0.1*(H29-$G$33+$G$53)))/H50)</f>
        <v>12.568206980293876</v>
      </c>
      <c r="I54" s="36">
        <f t="shared" si="7"/>
        <v>15.237848873481962</v>
      </c>
      <c r="J54" s="36">
        <f t="shared" si="7"/>
        <v>17.281892252888692</v>
      </c>
      <c r="K54" s="36">
        <f t="shared" si="7"/>
        <v>18.93754004694399</v>
      </c>
      <c r="L54" s="36">
        <f t="shared" si="7"/>
        <v>20.328661985104567</v>
      </c>
      <c r="M54" s="36">
        <f t="shared" si="7"/>
        <v>22.582122927057135</v>
      </c>
      <c r="N54" s="36">
        <f t="shared" si="7"/>
        <v>23.522246223386123</v>
      </c>
      <c r="O54" s="36">
        <f t="shared" si="7"/>
        <v>25.505763867377542</v>
      </c>
      <c r="P54" s="37"/>
      <c r="Q54" s="37"/>
    </row>
    <row r="55" spans="1:17" x14ac:dyDescent="0.25">
      <c r="A55" t="s">
        <v>56</v>
      </c>
      <c r="G55" s="24">
        <v>72000000</v>
      </c>
      <c r="H55" s="42" t="s">
        <v>57</v>
      </c>
      <c r="J55" t="s">
        <v>58</v>
      </c>
    </row>
    <row r="56" spans="1:17" x14ac:dyDescent="0.25">
      <c r="A56" t="s">
        <v>59</v>
      </c>
      <c r="G56" s="26">
        <v>52</v>
      </c>
      <c r="H56" s="42" t="s">
        <v>28</v>
      </c>
      <c r="I56" t="s">
        <v>60</v>
      </c>
    </row>
    <row r="57" spans="1:17" x14ac:dyDescent="0.25">
      <c r="A57" t="s">
        <v>61</v>
      </c>
      <c r="G57" s="36">
        <f>$G$56-$G$24+G54-10*LOG(1.38*(POWER(10,-23))*$G$55)-$G$45-$G$43</f>
        <v>6.2958242245904898</v>
      </c>
      <c r="H57" s="36">
        <f t="shared" ref="H57:O57" si="8">$G$56-$G$24+H54-10*LOG(1.38*(POWER(10,-23))*$G$55)-$G$45-$G$43</f>
        <v>8.0114618977348471</v>
      </c>
      <c r="I57" s="36">
        <f t="shared" si="8"/>
        <v>10.681103790922947</v>
      </c>
      <c r="J57" s="36">
        <f t="shared" si="8"/>
        <v>12.725147170329677</v>
      </c>
      <c r="K57" s="36">
        <f t="shared" si="8"/>
        <v>14.380794964384961</v>
      </c>
      <c r="L57" s="36">
        <f t="shared" si="8"/>
        <v>15.771916902545541</v>
      </c>
      <c r="M57" s="36">
        <f t="shared" si="8"/>
        <v>18.025377844498109</v>
      </c>
      <c r="N57" s="36">
        <f t="shared" si="8"/>
        <v>18.965501140827115</v>
      </c>
      <c r="O57" s="36">
        <f t="shared" si="8"/>
        <v>20.94901878481852</v>
      </c>
      <c r="P57" s="37"/>
      <c r="Q57" s="37"/>
    </row>
    <row r="58" spans="1:17" x14ac:dyDescent="0.25">
      <c r="A58" t="s">
        <v>62</v>
      </c>
      <c r="G58" s="36">
        <f>$G$56-$G$24+G52-10*LOG(1.38*(POWER(10,-23))*$G$55)-$G$43</f>
        <v>7.1299111221663223</v>
      </c>
      <c r="H58" s="36">
        <f t="shared" ref="H58:O58" si="9">$G$56-$G$24+H52-10*LOG(1.38*(POWER(10,-23))*$G$55)-$G$43</f>
        <v>8.8666712032509061</v>
      </c>
      <c r="I58" s="36">
        <f t="shared" si="9"/>
        <v>11.564785282317803</v>
      </c>
      <c r="J58" s="36">
        <f t="shared" si="9"/>
        <v>13.627134196928967</v>
      </c>
      <c r="K58" s="36">
        <f t="shared" si="9"/>
        <v>15.29554141836822</v>
      </c>
      <c r="L58" s="36">
        <f t="shared" si="9"/>
        <v>16.696065615445395</v>
      </c>
      <c r="M58" s="36">
        <f t="shared" si="9"/>
        <v>18.962455505667851</v>
      </c>
      <c r="N58" s="36">
        <f t="shared" si="9"/>
        <v>19.907213955174644</v>
      </c>
      <c r="O58" s="36">
        <f t="shared" si="9"/>
        <v>21.899223834167277</v>
      </c>
      <c r="P58" s="37"/>
      <c r="Q58" s="37"/>
    </row>
    <row r="60" spans="1:17" x14ac:dyDescent="0.25">
      <c r="A60" t="s">
        <v>63</v>
      </c>
      <c r="G60" s="26">
        <v>27500000</v>
      </c>
      <c r="H60" s="32" t="s">
        <v>64</v>
      </c>
      <c r="I60" t="s">
        <v>65</v>
      </c>
    </row>
    <row r="61" spans="1:17" x14ac:dyDescent="0.25">
      <c r="A61" t="s">
        <v>66</v>
      </c>
      <c r="G61" s="36">
        <f>G57+10*LOG(1/$G$60)+10*LOG($G$55)</f>
        <v>10.47582225060053</v>
      </c>
      <c r="H61" s="36">
        <f t="shared" ref="H61:O62" si="10">H57+10*LOG(1/$G$60)+10*LOG($G$55)</f>
        <v>12.191459923744887</v>
      </c>
      <c r="I61" s="36">
        <f t="shared" si="10"/>
        <v>14.861101816932987</v>
      </c>
      <c r="J61" s="36">
        <f t="shared" si="10"/>
        <v>16.905145196339717</v>
      </c>
      <c r="K61" s="36">
        <f t="shared" si="10"/>
        <v>18.560792990395001</v>
      </c>
      <c r="L61" s="36">
        <f t="shared" si="10"/>
        <v>19.951914928555581</v>
      </c>
      <c r="M61" s="36">
        <f t="shared" si="10"/>
        <v>22.205375870508149</v>
      </c>
      <c r="N61" s="36">
        <f t="shared" si="10"/>
        <v>23.145499166837155</v>
      </c>
      <c r="O61" s="36">
        <f t="shared" si="10"/>
        <v>25.12901681082856</v>
      </c>
      <c r="P61" s="37"/>
      <c r="Q61" s="37"/>
    </row>
    <row r="62" spans="1:17" x14ac:dyDescent="0.25">
      <c r="A62" t="s">
        <v>67</v>
      </c>
      <c r="G62" s="36">
        <f>G58+10*LOG(1/$G$60)+10*LOG($G$55)</f>
        <v>11.309909148176359</v>
      </c>
      <c r="H62" s="36">
        <f t="shared" si="10"/>
        <v>13.046669229260942</v>
      </c>
      <c r="I62" s="36">
        <f t="shared" si="10"/>
        <v>15.74478330832784</v>
      </c>
      <c r="J62" s="36">
        <f t="shared" si="10"/>
        <v>17.807132222939003</v>
      </c>
      <c r="K62" s="36">
        <f t="shared" si="10"/>
        <v>19.475539444378256</v>
      </c>
      <c r="L62" s="36">
        <f t="shared" si="10"/>
        <v>20.876063641455431</v>
      </c>
      <c r="M62" s="36">
        <f t="shared" si="10"/>
        <v>23.142453531677887</v>
      </c>
      <c r="N62" s="36">
        <f t="shared" si="10"/>
        <v>24.08721198118468</v>
      </c>
      <c r="O62" s="36">
        <f t="shared" si="10"/>
        <v>26.079221860177313</v>
      </c>
      <c r="P62" s="37"/>
      <c r="Q62" s="37"/>
    </row>
    <row r="66" spans="6:6" ht="15.75" x14ac:dyDescent="0.25">
      <c r="F66" s="38"/>
    </row>
    <row r="67" spans="6:6" ht="15.75" x14ac:dyDescent="0.25">
      <c r="F67" s="38"/>
    </row>
    <row r="68" spans="6:6" ht="15.75" x14ac:dyDescent="0.25">
      <c r="F68" s="38"/>
    </row>
  </sheetData>
  <mergeCells count="2">
    <mergeCell ref="A2:J2"/>
    <mergeCell ref="J9:L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--Ku 62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2017-12-14T16:12:11Z</dcterms:created>
  <dcterms:modified xsi:type="dcterms:W3CDTF">2017-12-14T16:25:08Z</dcterms:modified>
</cp:coreProperties>
</file>