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janic\Desktop\_dev\_dipl\методичка_2\"/>
    </mc:Choice>
  </mc:AlternateContent>
  <bookViews>
    <workbookView xWindow="120" yWindow="75" windowWidth="14235" windowHeight="9570"/>
  </bookViews>
  <sheets>
    <sheet name="-С 32" sheetId="2" r:id="rId1"/>
    <sheet name="--Ku 62" sheetId="1" r:id="rId2"/>
  </sheets>
  <calcPr calcId="162913"/>
</workbook>
</file>

<file path=xl/calcChain.xml><?xml version="1.0" encoding="utf-8"?>
<calcChain xmlns="http://schemas.openxmlformats.org/spreadsheetml/2006/main">
  <c r="G52" i="2" l="1"/>
  <c r="G49" i="2"/>
  <c r="G58" i="1"/>
  <c r="O46" i="2"/>
  <c r="G46" i="2"/>
  <c r="G52" i="1"/>
  <c r="G44" i="2"/>
  <c r="G47" i="1"/>
  <c r="G44" i="1" l="1"/>
  <c r="G23" i="1"/>
  <c r="G24" i="2"/>
  <c r="G24" i="1"/>
  <c r="G25" i="2"/>
  <c r="G40" i="2"/>
  <c r="J39" i="2"/>
  <c r="G39" i="2"/>
  <c r="G37" i="2"/>
  <c r="G33" i="2"/>
  <c r="H30" i="2"/>
  <c r="G30" i="2"/>
  <c r="G23" i="2"/>
  <c r="G22" i="2"/>
  <c r="G58" i="2" l="1"/>
  <c r="O30" i="2" l="1"/>
  <c r="G11" i="2"/>
  <c r="G9" i="2"/>
  <c r="G7" i="2"/>
  <c r="G12" i="2" s="1"/>
  <c r="L30" i="2" l="1"/>
  <c r="G20" i="2"/>
  <c r="J30" i="2"/>
  <c r="N30" i="2"/>
  <c r="G15" i="2"/>
  <c r="G13" i="2"/>
  <c r="G10" i="2"/>
  <c r="G14" i="2" s="1"/>
  <c r="G16" i="2" s="1"/>
  <c r="G17" i="2" s="1"/>
  <c r="I30" i="2"/>
  <c r="K30" i="2"/>
  <c r="M30" i="2"/>
  <c r="O39" i="2" l="1"/>
  <c r="O40" i="2" s="1"/>
  <c r="O44" i="2" s="1"/>
  <c r="O49" i="2" s="1"/>
  <c r="O52" i="2" s="1"/>
  <c r="M39" i="2"/>
  <c r="M40" i="2" s="1"/>
  <c r="M44" i="2" s="1"/>
  <c r="K39" i="2"/>
  <c r="K40" i="2" s="1"/>
  <c r="K44" i="2" s="1"/>
  <c r="I39" i="2"/>
  <c r="I40" i="2" s="1"/>
  <c r="I44" i="2" s="1"/>
  <c r="N39" i="2"/>
  <c r="N40" i="2" s="1"/>
  <c r="N44" i="2" s="1"/>
  <c r="N46" i="2" s="1"/>
  <c r="N49" i="2" s="1"/>
  <c r="N52" i="2" s="1"/>
  <c r="L39" i="2"/>
  <c r="L40" i="2" s="1"/>
  <c r="L44" i="2" s="1"/>
  <c r="L46" i="2" s="1"/>
  <c r="L49" i="2" s="1"/>
  <c r="L52" i="2" s="1"/>
  <c r="J40" i="2"/>
  <c r="J44" i="2" s="1"/>
  <c r="J46" i="2" s="1"/>
  <c r="J49" i="2" s="1"/>
  <c r="J52" i="2" s="1"/>
  <c r="H39" i="2"/>
  <c r="H40" i="2" s="1"/>
  <c r="H44" i="2" s="1"/>
  <c r="H46" i="2" s="1"/>
  <c r="H49" i="2" s="1"/>
  <c r="H52" i="2" s="1"/>
  <c r="G19" i="2"/>
  <c r="M46" i="2"/>
  <c r="M49" i="2" s="1"/>
  <c r="M52" i="2" s="1"/>
  <c r="I46" i="2"/>
  <c r="I49" i="2" s="1"/>
  <c r="I52" i="2" s="1"/>
  <c r="K46" i="2"/>
  <c r="K49" i="2" s="1"/>
  <c r="K52" i="2" s="1"/>
  <c r="G36" i="1" l="1"/>
  <c r="G32" i="1"/>
  <c r="O29" i="1"/>
  <c r="G11" i="1"/>
  <c r="G9" i="1"/>
  <c r="G7" i="1"/>
  <c r="G12" i="1" s="1"/>
  <c r="G15" i="1" l="1"/>
  <c r="G13" i="1"/>
  <c r="G20" i="1"/>
  <c r="H21" i="1" s="1"/>
  <c r="G22" i="1"/>
  <c r="H29" i="1"/>
  <c r="J29" i="1"/>
  <c r="L29" i="1"/>
  <c r="N29" i="1"/>
  <c r="G10" i="1"/>
  <c r="G14" i="1" s="1"/>
  <c r="G16" i="1" s="1"/>
  <c r="G17" i="1" s="1"/>
  <c r="G29" i="1"/>
  <c r="I29" i="1"/>
  <c r="K29" i="1"/>
  <c r="M29" i="1"/>
  <c r="N38" i="1" l="1"/>
  <c r="N39" i="1" s="1"/>
  <c r="L38" i="1"/>
  <c r="L39" i="1" s="1"/>
  <c r="J38" i="1"/>
  <c r="J39" i="1" s="1"/>
  <c r="H38" i="1"/>
  <c r="H39" i="1" s="1"/>
  <c r="G19" i="1"/>
  <c r="O38" i="1"/>
  <c r="O39" i="1" s="1"/>
  <c r="M38" i="1"/>
  <c r="M39" i="1" s="1"/>
  <c r="K38" i="1"/>
  <c r="K39" i="1" s="1"/>
  <c r="I38" i="1"/>
  <c r="I39" i="1" s="1"/>
  <c r="G38" i="1"/>
  <c r="G39" i="1" s="1"/>
  <c r="G49" i="1" l="1"/>
  <c r="G62" i="1" s="1"/>
  <c r="G50" i="1"/>
  <c r="K49" i="1"/>
  <c r="K52" i="1" s="1"/>
  <c r="K58" i="1" s="1"/>
  <c r="K62" i="1" s="1"/>
  <c r="K50" i="1"/>
  <c r="O50" i="1"/>
  <c r="O49" i="1"/>
  <c r="O52" i="1" s="1"/>
  <c r="O58" i="1" s="1"/>
  <c r="O62" i="1" s="1"/>
  <c r="H49" i="1"/>
  <c r="H52" i="1" s="1"/>
  <c r="H58" i="1" s="1"/>
  <c r="H62" i="1" s="1"/>
  <c r="H50" i="1"/>
  <c r="L49" i="1"/>
  <c r="L52" i="1" s="1"/>
  <c r="L58" i="1" s="1"/>
  <c r="L62" i="1" s="1"/>
  <c r="L50" i="1"/>
  <c r="I49" i="1"/>
  <c r="I52" i="1" s="1"/>
  <c r="I58" i="1" s="1"/>
  <c r="I62" i="1" s="1"/>
  <c r="I50" i="1"/>
  <c r="M49" i="1"/>
  <c r="M52" i="1" s="1"/>
  <c r="M58" i="1" s="1"/>
  <c r="M62" i="1" s="1"/>
  <c r="M50" i="1"/>
  <c r="J50" i="1"/>
  <c r="J49" i="1"/>
  <c r="J52" i="1" s="1"/>
  <c r="J58" i="1" s="1"/>
  <c r="J62" i="1" s="1"/>
  <c r="N50" i="1"/>
  <c r="N49" i="1"/>
  <c r="N52" i="1" s="1"/>
  <c r="N58" i="1" s="1"/>
  <c r="N62" i="1" s="1"/>
  <c r="I51" i="1" l="1"/>
  <c r="I54" i="1"/>
  <c r="I57" i="1" s="1"/>
  <c r="I61" i="1" s="1"/>
  <c r="H51" i="1"/>
  <c r="H54" i="1"/>
  <c r="H57" i="1" s="1"/>
  <c r="H61" i="1" s="1"/>
  <c r="K51" i="1"/>
  <c r="K54" i="1"/>
  <c r="K57" i="1" s="1"/>
  <c r="K61" i="1" s="1"/>
  <c r="G51" i="1"/>
  <c r="G54" i="1"/>
  <c r="G57" i="1" s="1"/>
  <c r="G61" i="1" s="1"/>
  <c r="M51" i="1"/>
  <c r="M54" i="1"/>
  <c r="M57" i="1" s="1"/>
  <c r="M61" i="1" s="1"/>
  <c r="L51" i="1"/>
  <c r="L54" i="1"/>
  <c r="L57" i="1" s="1"/>
  <c r="L61" i="1" s="1"/>
  <c r="N51" i="1"/>
  <c r="N54" i="1"/>
  <c r="N57" i="1" s="1"/>
  <c r="N61" i="1" s="1"/>
  <c r="J51" i="1"/>
  <c r="J54" i="1"/>
  <c r="J57" i="1" s="1"/>
  <c r="J61" i="1" s="1"/>
  <c r="O51" i="1"/>
  <c r="O54" i="1"/>
  <c r="O57" i="1" s="1"/>
  <c r="O61" i="1" s="1"/>
</calcChain>
</file>

<file path=xl/sharedStrings.xml><?xml version="1.0" encoding="utf-8"?>
<sst xmlns="http://schemas.openxmlformats.org/spreadsheetml/2006/main" count="159" uniqueCount="88">
  <si>
    <t>Расчет энергетики спутникового канала связи VSAT-системы в Кu-диапазоне</t>
  </si>
  <si>
    <t>Северная Осетия-Алания, Алагир</t>
  </si>
  <si>
    <t>4.3.1 Широта места нахождения земной станции (А)</t>
  </si>
  <si>
    <t>град</t>
  </si>
  <si>
    <t xml:space="preserve">Восточная долгота земной станции </t>
  </si>
  <si>
    <t>160-200</t>
  </si>
  <si>
    <t>43° 02′ 30″</t>
  </si>
  <si>
    <t>Позиция спутника</t>
  </si>
  <si>
    <t>44° 13′ 12″</t>
  </si>
  <si>
    <t>восточная долгота земной станции минус долгота спутника (В)</t>
  </si>
  <si>
    <t>отношение радиуса  орбиты к радиусу экватора Земли</t>
  </si>
  <si>
    <t>Косинус А</t>
  </si>
  <si>
    <t>Express AT1</t>
  </si>
  <si>
    <t>Косинус B</t>
  </si>
  <si>
    <t>Кавдрат косинуса А</t>
  </si>
  <si>
    <t>Квадрат косинуса В</t>
  </si>
  <si>
    <t>Корень</t>
  </si>
  <si>
    <t>Числитель</t>
  </si>
  <si>
    <t>Знаменатель</t>
  </si>
  <si>
    <t>Арктангенс</t>
  </si>
  <si>
    <t>Угол места (угол возвышения)</t>
  </si>
  <si>
    <t>Для низких углов  EL</t>
  </si>
  <si>
    <t>1.3.2  Азимут</t>
  </si>
  <si>
    <t>1,3,3  Магнитное склонение</t>
  </si>
  <si>
    <t>1,3,4 Наклонная дальность (D)</t>
  </si>
  <si>
    <t>м</t>
  </si>
  <si>
    <t>1,3,5  Длина волны (лямбда)</t>
  </si>
  <si>
    <t>Потери в свободном пространстве (Lfs)</t>
  </si>
  <si>
    <t>дБ</t>
  </si>
  <si>
    <t>Рабочая частота (f)</t>
  </si>
  <si>
    <t>Ка-диапазон</t>
  </si>
  <si>
    <t>Гц</t>
  </si>
  <si>
    <t>лингсат 1й столбец</t>
  </si>
  <si>
    <t>1,3,6 Процент эффективности антенны</t>
  </si>
  <si>
    <t>Диаметр антенны(d)</t>
  </si>
  <si>
    <t>Коэффициент усиления антенны(Ga)</t>
  </si>
  <si>
    <t>Шум конвертера(LNB)</t>
  </si>
  <si>
    <t>Шумовая температура конвертера(TLNB)</t>
  </si>
  <si>
    <t>К</t>
  </si>
  <si>
    <t>Общая величина вносимого затухания компонентов</t>
  </si>
  <si>
    <t>Тепловая температура переходных шумов</t>
  </si>
  <si>
    <t>Шумовая температура антенны(TANT)</t>
  </si>
  <si>
    <t>Эквивалентная шумовая температура(сигма TANT)</t>
  </si>
  <si>
    <t>Шумовая температура галактики</t>
  </si>
  <si>
    <t>Температура среды для небольшой облачности</t>
  </si>
  <si>
    <t>Ослабление сигнала из-за поглощения газами (Aatm)</t>
  </si>
  <si>
    <t>Шумовая температура поглощения в чистой атмосфере(Tclear sky)</t>
  </si>
  <si>
    <t>Ослабление сигнала в дожде</t>
  </si>
  <si>
    <t>Температура среды в условиях дождя</t>
  </si>
  <si>
    <t>Шумовая температура поглощения в дожде(Train)</t>
  </si>
  <si>
    <t>Общая шумовая температура  системы при чистом небе(Tsys_clear sky)</t>
  </si>
  <si>
    <t>Общая шумовая температура  системы при дожде(Tsys_rain)</t>
  </si>
  <si>
    <t>Cнижение эффективности линии связи вниз (DND)</t>
  </si>
  <si>
    <t xml:space="preserve">Коэффициент добротности (G/Tnom) </t>
  </si>
  <si>
    <t>Потери из-за неточного наведения антенны</t>
  </si>
  <si>
    <t xml:space="preserve">Минимальный коэффициент добротности (G/Tusable) </t>
  </si>
  <si>
    <t>Полоса пропускания приемника (ширина радиоканала)(B)</t>
  </si>
  <si>
    <t>МГц</t>
  </si>
  <si>
    <t>25или 36 или72</t>
  </si>
  <si>
    <t>EIRP(эквивалентная изотропная излучаемая мощность)</t>
  </si>
  <si>
    <t>Из зоны покрытия спутника</t>
  </si>
  <si>
    <t>Отношение несущая/шум в плохих условиях (C/N_rain)</t>
  </si>
  <si>
    <t>Отношение несущая/шум в хороших условиях (C/N_clear_sky)</t>
  </si>
  <si>
    <t>Максимальная скорость потока (бит/с)</t>
  </si>
  <si>
    <t>бит/с</t>
  </si>
  <si>
    <t>лингсат 6ой столбец</t>
  </si>
  <si>
    <t>Отношение кол-ва энергии бита к мощности шумов для плохих(Eb/N0)</t>
  </si>
  <si>
    <t>Отношение кол-ва энергии бита к мощности шумов для хороших (Eb/N0)</t>
  </si>
  <si>
    <t>координаты города</t>
  </si>
  <si>
    <t>Расчет энергетики спутникового канала связи VSAT-системы в С-диапазоне</t>
  </si>
  <si>
    <t>Широта места нахождения земной станции (А)</t>
  </si>
  <si>
    <t>Благовещенск Амурской области</t>
  </si>
  <si>
    <t xml:space="preserve">Амурская область, Благовещенск </t>
  </si>
  <si>
    <t>222-250</t>
  </si>
  <si>
    <t>50°17′26″N</t>
  </si>
  <si>
    <t xml:space="preserve">127°31′38″E </t>
  </si>
  <si>
    <t>Yamal 401</t>
  </si>
  <si>
    <t>Для низких углов</t>
  </si>
  <si>
    <t>Азимут</t>
  </si>
  <si>
    <t>Магнитное склонение</t>
  </si>
  <si>
    <t>Магнитный азимут</t>
  </si>
  <si>
    <t>Наклонная дальность (D)</t>
  </si>
  <si>
    <t>Длина волны (лямбда)</t>
  </si>
  <si>
    <t>С-диапазон</t>
  </si>
  <si>
    <t>Процент эффективности антенны</t>
  </si>
  <si>
    <t>не меняем</t>
  </si>
  <si>
    <t xml:space="preserve">Коэффициент добротности (G/Tном) 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</si>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</sst>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8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3" xfId="0" applyBorder="1"/>
    <xf numFmtId="0" fontId="0" fillId="0" borderId="0" xfId="0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7" fillId="0" borderId="0" xfId="0" applyFont="1"/>
    <xf numFmtId="0" fontId="0" fillId="2" borderId="0" xfId="0" applyFill="1"/>
    <xf numFmtId="2" fontId="3" fillId="0" borderId="0" xfId="0" applyNumberFormat="1" applyFont="1"/>
    <xf numFmtId="164" fontId="0" fillId="2" borderId="0" xfId="0" applyNumberFormat="1" applyFill="1"/>
    <xf numFmtId="2" fontId="0" fillId="4" borderId="0" xfId="0" applyNumberFormat="1" applyFill="1"/>
    <xf numFmtId="0" fontId="4" fillId="4" borderId="0" xfId="0" applyFont="1" applyFill="1" applyAlignment="1">
      <alignment horizontal="right" vertical="center"/>
    </xf>
    <xf numFmtId="0" fontId="0" fillId="4" borderId="0" xfId="0" applyFill="1"/>
    <xf numFmtId="0" fontId="0" fillId="4" borderId="6" xfId="0" applyFill="1" applyBorder="1"/>
    <xf numFmtId="2" fontId="0" fillId="4" borderId="6" xfId="0" applyNumberFormat="1" applyFill="1" applyBorder="1"/>
    <xf numFmtId="2" fontId="0" fillId="3" borderId="6" xfId="0" applyNumberFormat="1" applyFill="1" applyBorder="1"/>
    <xf numFmtId="0" fontId="0" fillId="3" borderId="6" xfId="0" applyFill="1" applyBorder="1"/>
    <xf numFmtId="3" fontId="0" fillId="4" borderId="6" xfId="0" applyNumberFormat="1" applyFill="1" applyBorder="1"/>
    <xf numFmtId="2" fontId="0" fillId="3" borderId="7" xfId="0" applyNumberFormat="1" applyFill="1" applyBorder="1"/>
    <xf numFmtId="0" fontId="0" fillId="4" borderId="8" xfId="0" applyFill="1" applyBorder="1"/>
    <xf numFmtId="2" fontId="0" fillId="3" borderId="8" xfId="0" applyNumberFormat="1" applyFill="1" applyBorder="1"/>
    <xf numFmtId="0" fontId="0" fillId="4" borderId="6" xfId="0" applyFon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0" fontId="0" fillId="3" borderId="7" xfId="0" applyFill="1" applyBorder="1"/>
    <xf numFmtId="0" fontId="8" fillId="4" borderId="0" xfId="0" applyFont="1" applyFill="1"/>
    <xf numFmtId="164" fontId="0" fillId="4" borderId="0" xfId="0" applyNumberFormat="1" applyFill="1"/>
    <xf numFmtId="3" fontId="0" fillId="2" borderId="0" xfId="0" applyNumberFormat="1" applyFill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2" fillId="5" borderId="0" xfId="0" applyFont="1" applyFill="1"/>
    <xf numFmtId="0" fontId="0" fillId="5" borderId="4" xfId="0" applyFill="1" applyBorder="1"/>
    <xf numFmtId="0" fontId="0" fillId="5" borderId="5" xfId="0" applyFill="1" applyBorder="1"/>
    <xf numFmtId="0" fontId="1" fillId="5" borderId="0" xfId="0" applyFont="1" applyFill="1"/>
    <xf numFmtId="0" fontId="2" fillId="6" borderId="0" xfId="0" applyFont="1" applyFill="1"/>
    <xf numFmtId="0" fontId="9" fillId="6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2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"/>
  <sheetViews>
    <sheetView tabSelected="1" topLeftCell="A16" zoomScale="70" zoomScaleNormal="70" workbookViewId="0">
      <selection activeCell="G52" sqref="G52"/>
    </sheetView>
  </sheetViews>
  <sheetFormatPr defaultRowHeight="15" x14ac:dyDescent="0.25"/>
  <cols>
    <col min="6" max="6" width="16.28515625" customWidth="1"/>
    <col min="7" max="7" width="13.42578125" bestFit="1" customWidth="1"/>
    <col min="8" max="8" width="6.85546875" customWidth="1"/>
    <col min="9" max="9" width="8.42578125" customWidth="1"/>
    <col min="10" max="10" width="14.5703125" customWidth="1"/>
    <col min="11" max="11" width="7.7109375" customWidth="1"/>
    <col min="12" max="12" width="7" customWidth="1"/>
    <col min="13" max="13" width="7.5703125" customWidth="1"/>
    <col min="14" max="14" width="7.28515625" customWidth="1"/>
    <col min="15" max="15" width="7.42578125" customWidth="1"/>
  </cols>
  <sheetData>
    <row r="2" spans="1:12" x14ac:dyDescent="0.25">
      <c r="A2" s="45" t="s">
        <v>69</v>
      </c>
      <c r="B2" s="45"/>
      <c r="C2" s="45"/>
      <c r="D2" s="45"/>
      <c r="E2" s="45"/>
      <c r="F2" s="45"/>
      <c r="G2" s="45"/>
      <c r="H2" s="45"/>
      <c r="I2" s="45"/>
      <c r="J2" s="45"/>
    </row>
    <row r="3" spans="1:12" x14ac:dyDescent="0.25">
      <c r="G3" s="11"/>
      <c r="H3" s="11"/>
    </row>
    <row r="4" spans="1:12" x14ac:dyDescent="0.25">
      <c r="A4" s="34" t="s">
        <v>70</v>
      </c>
      <c r="B4" s="34"/>
      <c r="C4" s="34"/>
      <c r="D4" s="34"/>
      <c r="E4" s="34"/>
      <c r="F4" s="34"/>
      <c r="G4" s="20">
        <v>50</v>
      </c>
      <c r="H4" s="20" t="s">
        <v>3</v>
      </c>
      <c r="J4" s="11"/>
    </row>
    <row r="5" spans="1:12" ht="18.75" x14ac:dyDescent="0.3">
      <c r="A5" s="34" t="s">
        <v>4</v>
      </c>
      <c r="B5" s="34"/>
      <c r="C5" s="34"/>
      <c r="D5" s="34"/>
      <c r="E5" s="34"/>
      <c r="F5" s="34"/>
      <c r="G5" s="20">
        <v>127</v>
      </c>
      <c r="H5" s="20" t="s">
        <v>3</v>
      </c>
      <c r="J5" s="1" t="s">
        <v>71</v>
      </c>
    </row>
    <row r="6" spans="1:12" ht="18.75" x14ac:dyDescent="0.3">
      <c r="A6" s="34" t="s">
        <v>7</v>
      </c>
      <c r="B6" s="34"/>
      <c r="C6" s="34"/>
      <c r="D6" s="34"/>
      <c r="E6" s="34"/>
      <c r="F6" s="34"/>
      <c r="G6" s="20">
        <v>90</v>
      </c>
      <c r="H6" s="20" t="s">
        <v>3</v>
      </c>
      <c r="J6" s="1" t="s">
        <v>72</v>
      </c>
    </row>
    <row r="7" spans="1:12" ht="18.75" x14ac:dyDescent="0.3">
      <c r="A7" s="34" t="s">
        <v>9</v>
      </c>
      <c r="B7" s="34"/>
      <c r="C7" s="34"/>
      <c r="D7" s="34"/>
      <c r="E7" s="34"/>
      <c r="F7" s="34"/>
      <c r="G7" s="32">
        <f>G5-G6</f>
        <v>37</v>
      </c>
      <c r="H7" s="20" t="s">
        <v>3</v>
      </c>
      <c r="J7" s="1" t="s">
        <v>73</v>
      </c>
      <c r="L7" s="1" t="s">
        <v>74</v>
      </c>
    </row>
    <row r="8" spans="1:12" ht="18.75" x14ac:dyDescent="0.3">
      <c r="A8" s="34" t="s">
        <v>10</v>
      </c>
      <c r="B8" s="34"/>
      <c r="C8" s="34"/>
      <c r="D8" s="34"/>
      <c r="E8" s="34"/>
      <c r="F8" s="34"/>
      <c r="G8" s="17">
        <v>6.61</v>
      </c>
      <c r="H8" s="17"/>
      <c r="J8">
        <v>225</v>
      </c>
      <c r="L8" s="1" t="s">
        <v>75</v>
      </c>
    </row>
    <row r="9" spans="1:12" x14ac:dyDescent="0.25">
      <c r="A9" s="34" t="s">
        <v>11</v>
      </c>
      <c r="B9" s="34"/>
      <c r="C9" s="34"/>
      <c r="D9" s="34"/>
      <c r="E9" s="34"/>
      <c r="F9" s="34"/>
      <c r="G9" s="19">
        <f>COS(RADIANS(G4))</f>
        <v>0.64278760968653936</v>
      </c>
      <c r="H9" s="20"/>
      <c r="J9">
        <v>75</v>
      </c>
    </row>
    <row r="10" spans="1:12" ht="18.75" x14ac:dyDescent="0.3">
      <c r="A10" s="34" t="s">
        <v>13</v>
      </c>
      <c r="B10" s="34"/>
      <c r="C10" s="34"/>
      <c r="D10" s="34"/>
      <c r="E10" s="34"/>
      <c r="F10" s="34"/>
      <c r="G10" s="19">
        <f>COS(RADIANS(G7))</f>
        <v>0.79863551004729283</v>
      </c>
      <c r="H10" s="20"/>
      <c r="J10" s="12"/>
    </row>
    <row r="11" spans="1:12" ht="23.25" x14ac:dyDescent="0.35">
      <c r="A11" s="34" t="s">
        <v>14</v>
      </c>
      <c r="B11" s="34"/>
      <c r="C11" s="34"/>
      <c r="D11" s="34"/>
      <c r="E11" s="34"/>
      <c r="F11" s="34"/>
      <c r="G11" s="19">
        <f>COS(RADIANS(2*G4))</f>
        <v>-0.1736481776669303</v>
      </c>
      <c r="H11" s="20"/>
      <c r="J11" s="29" t="s">
        <v>76</v>
      </c>
      <c r="K11" s="16"/>
      <c r="L11" s="16">
        <v>90</v>
      </c>
    </row>
    <row r="12" spans="1:12" x14ac:dyDescent="0.25">
      <c r="A12" s="34" t="s">
        <v>15</v>
      </c>
      <c r="B12" s="34"/>
      <c r="C12" s="34"/>
      <c r="D12" s="34"/>
      <c r="E12" s="34"/>
      <c r="F12" s="34"/>
      <c r="G12" s="19">
        <f>COS(RADIANS(2*G7))</f>
        <v>0.27563735581699916</v>
      </c>
      <c r="H12" s="20"/>
    </row>
    <row r="13" spans="1:12" x14ac:dyDescent="0.25">
      <c r="A13" s="34" t="s">
        <v>16</v>
      </c>
      <c r="B13" s="34"/>
      <c r="C13" s="34"/>
      <c r="D13" s="34"/>
      <c r="E13" s="34"/>
      <c r="F13" s="34"/>
      <c r="G13" s="19">
        <f>SQRT(1-G11*G12)</f>
        <v>1.0236522478530261</v>
      </c>
      <c r="H13" s="20"/>
    </row>
    <row r="14" spans="1:12" x14ac:dyDescent="0.25">
      <c r="A14" s="34" t="s">
        <v>17</v>
      </c>
      <c r="B14" s="34"/>
      <c r="C14" s="34"/>
      <c r="D14" s="34"/>
      <c r="E14" s="34"/>
      <c r="F14" s="34"/>
      <c r="G14" s="19">
        <f>G8*G9*G10-1</f>
        <v>2.393263399498132</v>
      </c>
      <c r="H14" s="20"/>
    </row>
    <row r="15" spans="1:12" x14ac:dyDescent="0.25">
      <c r="A15" s="34" t="s">
        <v>18</v>
      </c>
      <c r="B15" s="34"/>
      <c r="C15" s="34"/>
      <c r="D15" s="34"/>
      <c r="E15" s="34"/>
      <c r="F15" s="34"/>
      <c r="G15" s="19">
        <f>G8*SQRT(1-G11*G12)</f>
        <v>6.7663413583085026</v>
      </c>
      <c r="H15" s="20"/>
    </row>
    <row r="16" spans="1:12" x14ac:dyDescent="0.25">
      <c r="A16" s="34" t="s">
        <v>19</v>
      </c>
      <c r="B16" s="34"/>
      <c r="C16" s="34"/>
      <c r="D16" s="34"/>
      <c r="E16" s="34"/>
      <c r="F16" s="34"/>
      <c r="G16" s="19">
        <f>(ATAN(G14/G15))</f>
        <v>0.33996833434228607</v>
      </c>
      <c r="H16" s="20"/>
      <c r="J16" s="8"/>
    </row>
    <row r="17" spans="1:17" x14ac:dyDescent="0.25">
      <c r="A17" s="39" t="s">
        <v>20</v>
      </c>
      <c r="B17" s="39"/>
      <c r="C17" s="39"/>
      <c r="D17" s="34"/>
      <c r="E17" s="34"/>
      <c r="F17" s="34"/>
      <c r="G17" s="33">
        <f>DEGREES(G16)</f>
        <v>19.478750725905474</v>
      </c>
      <c r="H17" s="20" t="s">
        <v>3</v>
      </c>
      <c r="J17" s="8"/>
    </row>
    <row r="18" spans="1:17" x14ac:dyDescent="0.25">
      <c r="J18" s="11"/>
    </row>
    <row r="19" spans="1:17" x14ac:dyDescent="0.25">
      <c r="A19" s="34" t="s">
        <v>77</v>
      </c>
      <c r="B19" s="34"/>
      <c r="C19" s="34"/>
      <c r="D19" s="34"/>
      <c r="E19" s="34"/>
      <c r="F19" s="34"/>
      <c r="G19" s="33">
        <f>(G17+SQRT(G17*G17+4.132))/2</f>
        <v>19.53163927179888</v>
      </c>
      <c r="H19" s="20" t="s">
        <v>3</v>
      </c>
      <c r="J19" s="8"/>
    </row>
    <row r="20" spans="1:17" x14ac:dyDescent="0.25">
      <c r="A20" s="34" t="s">
        <v>78</v>
      </c>
      <c r="B20" s="34"/>
      <c r="C20" s="34"/>
      <c r="D20" s="34"/>
      <c r="E20" s="34"/>
      <c r="F20" s="34"/>
      <c r="G20" s="33">
        <f>180+DEGREES(ATAN(TAN(RADIANS(G7))/SIN(RADIANS(G4))))</f>
        <v>224.52906593972943</v>
      </c>
      <c r="H20" s="20" t="s">
        <v>3</v>
      </c>
      <c r="J20" s="8"/>
    </row>
    <row r="21" spans="1:17" x14ac:dyDescent="0.25">
      <c r="A21" s="34" t="s">
        <v>79</v>
      </c>
      <c r="B21" s="34"/>
      <c r="C21" s="34"/>
      <c r="D21" s="34"/>
      <c r="E21" s="34"/>
      <c r="F21" s="34"/>
      <c r="G21" s="18">
        <v>11.99</v>
      </c>
      <c r="H21" s="17" t="s">
        <v>3</v>
      </c>
      <c r="J21" s="8"/>
    </row>
    <row r="22" spans="1:17" x14ac:dyDescent="0.25">
      <c r="A22" s="34" t="s">
        <v>80</v>
      </c>
      <c r="B22" s="34"/>
      <c r="C22" s="34"/>
      <c r="D22" s="34"/>
      <c r="E22" s="34"/>
      <c r="F22" s="34"/>
      <c r="G22" s="33">
        <f>G20+G21</f>
        <v>236.51906593972944</v>
      </c>
      <c r="H22" s="20" t="s">
        <v>3</v>
      </c>
      <c r="J22" s="8"/>
    </row>
    <row r="23" spans="1:17" x14ac:dyDescent="0.25">
      <c r="A23" s="34" t="s">
        <v>81</v>
      </c>
      <c r="B23" s="34"/>
      <c r="C23" s="34"/>
      <c r="D23" s="34"/>
      <c r="E23" s="34"/>
      <c r="F23" s="34"/>
      <c r="G23" s="33">
        <f>6378.16*SQRT(G8*G8+1-2*G8*COS(RADIANS(G4))*COS(RADIANS(G7)))</f>
        <v>39268.737946694986</v>
      </c>
      <c r="H23" s="20" t="s">
        <v>25</v>
      </c>
      <c r="J23" s="8"/>
    </row>
    <row r="24" spans="1:17" x14ac:dyDescent="0.25">
      <c r="A24" s="34" t="s">
        <v>82</v>
      </c>
      <c r="B24" s="34"/>
      <c r="C24" s="34"/>
      <c r="D24" s="34"/>
      <c r="E24" s="34"/>
      <c r="F24" s="34"/>
      <c r="G24" s="19">
        <f>300000000/G26</f>
        <v>7.4999999999999997E-2</v>
      </c>
      <c r="H24" s="20" t="s">
        <v>25</v>
      </c>
      <c r="J24" s="8"/>
    </row>
    <row r="25" spans="1:17" x14ac:dyDescent="0.25">
      <c r="A25" s="34" t="s">
        <v>27</v>
      </c>
      <c r="B25" s="34"/>
      <c r="C25" s="34"/>
      <c r="D25" s="34"/>
      <c r="E25" s="34"/>
      <c r="G25" s="19">
        <f>20*LOG((4000*3.14*G23)/G24)</f>
        <v>196.35950639530819</v>
      </c>
      <c r="H25" s="20" t="s">
        <v>28</v>
      </c>
      <c r="J25" s="8"/>
    </row>
    <row r="26" spans="1:17" x14ac:dyDescent="0.25">
      <c r="A26" s="34" t="s">
        <v>29</v>
      </c>
      <c r="B26" s="34"/>
      <c r="C26" s="34"/>
      <c r="D26" s="34"/>
      <c r="E26" s="34"/>
      <c r="F26" s="17" t="s">
        <v>83</v>
      </c>
      <c r="G26" s="21">
        <v>4000000000</v>
      </c>
      <c r="H26" s="17" t="s">
        <v>31</v>
      </c>
      <c r="J26" s="31"/>
    </row>
    <row r="27" spans="1:17" x14ac:dyDescent="0.25">
      <c r="J27" s="11"/>
    </row>
    <row r="28" spans="1:17" x14ac:dyDescent="0.25">
      <c r="A28" s="34" t="s">
        <v>84</v>
      </c>
      <c r="B28" s="34"/>
      <c r="C28" s="34"/>
      <c r="D28" s="34"/>
      <c r="E28" s="34"/>
      <c r="F28" s="34"/>
      <c r="G28" s="18">
        <v>80</v>
      </c>
      <c r="J28" s="11"/>
    </row>
    <row r="29" spans="1:17" x14ac:dyDescent="0.25">
      <c r="A29" s="34" t="s">
        <v>34</v>
      </c>
      <c r="B29" s="34"/>
      <c r="C29" s="34"/>
      <c r="D29" s="34"/>
      <c r="E29" s="34"/>
      <c r="F29" s="42"/>
      <c r="G29" s="17">
        <v>0.5</v>
      </c>
      <c r="H29" s="23">
        <v>0.6</v>
      </c>
      <c r="I29" s="17">
        <v>0.8</v>
      </c>
      <c r="J29" s="17">
        <v>1</v>
      </c>
      <c r="K29" s="18">
        <v>1.2</v>
      </c>
      <c r="L29" s="17">
        <v>1.4</v>
      </c>
      <c r="M29" s="17">
        <v>1.8</v>
      </c>
      <c r="N29" s="17">
        <v>2</v>
      </c>
      <c r="O29" s="17">
        <v>2.5</v>
      </c>
    </row>
    <row r="30" spans="1:17" x14ac:dyDescent="0.25">
      <c r="A30" s="34" t="s">
        <v>35</v>
      </c>
      <c r="B30" s="34"/>
      <c r="C30" s="34"/>
      <c r="D30" s="34"/>
      <c r="E30" s="34"/>
      <c r="F30" s="34"/>
      <c r="G30" s="19">
        <f>10*LOG10((3.14*G29)*(3.14*G29)*$G$28/(100*$G$24*$G$24))</f>
        <v>25.447667650270112</v>
      </c>
      <c r="H30" s="24">
        <f>10*LOG10((3.14*H29)*(3.14*H29)*$G$28/(100*$G$24*$G$24))</f>
        <v>27.031292571222604</v>
      </c>
      <c r="I30" s="19">
        <f t="shared" ref="I30:O30" si="0">10*LOG10((3.14*I29)*(3.14*I29)*$G$28/(100*$G$24*$G$24))</f>
        <v>29.530067303388606</v>
      </c>
      <c r="J30" s="19">
        <f t="shared" si="0"/>
        <v>31.46826756354973</v>
      </c>
      <c r="K30" s="19">
        <f t="shared" si="0"/>
        <v>33.051892484502233</v>
      </c>
      <c r="L30" s="19">
        <f t="shared" si="0"/>
        <v>34.390828277114494</v>
      </c>
      <c r="M30" s="19">
        <f t="shared" si="0"/>
        <v>36.57371766561586</v>
      </c>
      <c r="N30" s="19">
        <f t="shared" si="0"/>
        <v>37.488867476829355</v>
      </c>
      <c r="O30" s="19">
        <f t="shared" si="0"/>
        <v>39.427067736990487</v>
      </c>
      <c r="P30" s="7"/>
      <c r="Q30" s="7"/>
    </row>
    <row r="32" spans="1:17" x14ac:dyDescent="0.25">
      <c r="A32" s="34" t="s">
        <v>36</v>
      </c>
      <c r="B32" s="34"/>
      <c r="C32" s="34"/>
      <c r="D32" s="34"/>
      <c r="E32" s="34"/>
      <c r="F32" s="17" t="s">
        <v>85</v>
      </c>
      <c r="G32" s="27">
        <v>1.5</v>
      </c>
      <c r="H32" s="17" t="s">
        <v>28</v>
      </c>
      <c r="J32" s="11"/>
    </row>
    <row r="33" spans="1:17" x14ac:dyDescent="0.25">
      <c r="A33" s="34" t="s">
        <v>37</v>
      </c>
      <c r="B33" s="34"/>
      <c r="C33" s="34"/>
      <c r="D33" s="34"/>
      <c r="E33" s="34"/>
      <c r="G33" s="26">
        <f>290*(POWER(10,(G32/10))-1)</f>
        <v>119.63588794059876</v>
      </c>
      <c r="H33" s="20" t="s">
        <v>38</v>
      </c>
      <c r="J33" s="11"/>
    </row>
    <row r="34" spans="1:17" x14ac:dyDescent="0.25">
      <c r="A34" s="34" t="s">
        <v>39</v>
      </c>
      <c r="B34" s="34"/>
      <c r="C34" s="34"/>
      <c r="D34" s="34"/>
      <c r="E34" s="34"/>
      <c r="F34" s="17" t="s">
        <v>85</v>
      </c>
      <c r="G34" s="27">
        <v>0.5</v>
      </c>
      <c r="H34" s="17" t="s">
        <v>28</v>
      </c>
      <c r="J34" s="11"/>
    </row>
    <row r="35" spans="1:17" x14ac:dyDescent="0.25">
      <c r="J35" s="11"/>
    </row>
    <row r="36" spans="1:17" x14ac:dyDescent="0.25">
      <c r="J36" s="11"/>
    </row>
    <row r="37" spans="1:17" x14ac:dyDescent="0.25">
      <c r="A37" s="34" t="s">
        <v>40</v>
      </c>
      <c r="B37" s="34"/>
      <c r="C37" s="34"/>
      <c r="D37" s="34"/>
      <c r="E37" s="34"/>
      <c r="F37" s="34"/>
      <c r="G37" s="26">
        <f>290*(1-POWER(10,(-0.1*G34)))</f>
        <v>31.537227941213818</v>
      </c>
      <c r="H37" s="20" t="s">
        <v>38</v>
      </c>
      <c r="J37" s="11"/>
    </row>
    <row r="39" spans="1:17" x14ac:dyDescent="0.25">
      <c r="A39" s="34" t="s">
        <v>41</v>
      </c>
      <c r="B39" s="34"/>
      <c r="C39" s="34"/>
      <c r="D39" s="34"/>
      <c r="E39" s="34"/>
      <c r="F39" s="34"/>
      <c r="G39" s="19">
        <f>15+30/G29+190/$G$17</f>
        <v>84.754218978084268</v>
      </c>
      <c r="H39" s="19">
        <f t="shared" ref="H39:O39" si="1">15+30/H29+190/$G$17</f>
        <v>74.754218978084268</v>
      </c>
      <c r="I39" s="19">
        <f t="shared" si="1"/>
        <v>62.254218978084275</v>
      </c>
      <c r="J39" s="19">
        <f>15+30/J29+190/$G$17</f>
        <v>54.754218978084275</v>
      </c>
      <c r="K39" s="19">
        <f t="shared" si="1"/>
        <v>49.754218978084275</v>
      </c>
      <c r="L39" s="19">
        <f t="shared" si="1"/>
        <v>46.182790406655705</v>
      </c>
      <c r="M39" s="19">
        <f t="shared" si="1"/>
        <v>41.420885644750939</v>
      </c>
      <c r="N39" s="19">
        <f t="shared" si="1"/>
        <v>39.754218978084275</v>
      </c>
      <c r="O39" s="19">
        <f t="shared" si="1"/>
        <v>36.754218978084275</v>
      </c>
      <c r="P39" s="7"/>
      <c r="Q39" s="7"/>
    </row>
    <row r="40" spans="1:17" x14ac:dyDescent="0.25">
      <c r="A40" s="34" t="s">
        <v>42</v>
      </c>
      <c r="B40" s="34"/>
      <c r="C40" s="34"/>
      <c r="D40" s="34"/>
      <c r="E40" s="34"/>
      <c r="F40" s="34"/>
      <c r="G40" s="19">
        <f>POWER(10,(-0.1*$G$34))*G39</f>
        <v>75.537277175010502</v>
      </c>
      <c r="H40" s="19">
        <f t="shared" ref="H40:O40" si="2">POWER(10,(-0.1*$G$34))*H39</f>
        <v>66.624767793673044</v>
      </c>
      <c r="I40" s="19">
        <f t="shared" si="2"/>
        <v>55.484131067001229</v>
      </c>
      <c r="J40" s="19">
        <f t="shared" si="2"/>
        <v>48.799749030998136</v>
      </c>
      <c r="K40" s="19">
        <f t="shared" si="2"/>
        <v>44.343494340329414</v>
      </c>
      <c r="L40" s="19">
        <f t="shared" si="2"/>
        <v>41.160455275566036</v>
      </c>
      <c r="M40" s="19">
        <f t="shared" si="2"/>
        <v>36.916403189214861</v>
      </c>
      <c r="N40" s="19">
        <f t="shared" si="2"/>
        <v>35.430984958991957</v>
      </c>
      <c r="O40" s="19">
        <f t="shared" si="2"/>
        <v>32.757232144590724</v>
      </c>
      <c r="P40" s="7"/>
      <c r="Q40" s="7"/>
    </row>
    <row r="41" spans="1:17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34" t="s">
        <v>43</v>
      </c>
      <c r="B42" s="34"/>
      <c r="C42" s="34"/>
      <c r="D42" s="34"/>
      <c r="E42" s="34"/>
      <c r="F42" s="34"/>
      <c r="G42" s="14">
        <v>2.7</v>
      </c>
      <c r="H42" s="14" t="s">
        <v>38</v>
      </c>
      <c r="I42" s="7"/>
      <c r="J42" s="8"/>
      <c r="K42" s="7"/>
      <c r="L42" s="7"/>
      <c r="M42" s="7"/>
      <c r="N42" s="7"/>
      <c r="O42" s="7"/>
      <c r="P42" s="7"/>
      <c r="Q42" s="7"/>
    </row>
    <row r="44" spans="1:17" x14ac:dyDescent="0.25">
      <c r="A44" s="34" t="s">
        <v>50</v>
      </c>
      <c r="B44" s="34"/>
      <c r="C44" s="34"/>
      <c r="D44" s="34"/>
      <c r="E44" s="34"/>
      <c r="F44" s="34"/>
      <c r="G44" s="26">
        <f>$G$33+$G$37+POWER(10,(-0.1*$G$34))*(G40)</f>
        <v>218.49578502810942</v>
      </c>
      <c r="H44" s="26">
        <f t="shared" ref="H44:O44" si="3">$G$33+$G$37+POWER(10,(-0.1*$G$34))*(H40)</f>
        <v>210.55250268086664</v>
      </c>
      <c r="I44" s="26">
        <f t="shared" si="3"/>
        <v>200.62339974681311</v>
      </c>
      <c r="J44" s="26">
        <f t="shared" si="3"/>
        <v>194.66593798638101</v>
      </c>
      <c r="K44" s="26">
        <f t="shared" si="3"/>
        <v>190.6942968127596</v>
      </c>
      <c r="L44" s="26">
        <f t="shared" si="3"/>
        <v>187.85741026017288</v>
      </c>
      <c r="M44" s="26">
        <f t="shared" si="3"/>
        <v>184.07489485672392</v>
      </c>
      <c r="N44" s="26">
        <f t="shared" si="3"/>
        <v>182.75101446551679</v>
      </c>
      <c r="O44" s="26">
        <f t="shared" si="3"/>
        <v>180.36802976134393</v>
      </c>
      <c r="P44" s="9"/>
      <c r="Q44" s="9"/>
    </row>
    <row r="45" spans="1:17" x14ac:dyDescent="0.25">
      <c r="A45" s="34" t="s">
        <v>54</v>
      </c>
      <c r="B45" s="34"/>
      <c r="C45" s="34"/>
      <c r="D45" s="34"/>
      <c r="E45" s="34"/>
      <c r="F45" s="42"/>
      <c r="G45" s="30">
        <v>0.6</v>
      </c>
      <c r="H45" s="9"/>
      <c r="I45" s="9"/>
      <c r="J45" s="9">
        <v>0.6</v>
      </c>
      <c r="K45" s="9"/>
      <c r="L45" s="9"/>
      <c r="M45" s="9"/>
      <c r="N45" s="9"/>
      <c r="O45" s="9"/>
      <c r="P45" s="9"/>
      <c r="Q45" s="9"/>
    </row>
    <row r="46" spans="1:17" x14ac:dyDescent="0.25">
      <c r="A46" s="34" t="s">
        <v>86</v>
      </c>
      <c r="B46" s="34"/>
      <c r="C46" s="34"/>
      <c r="D46" s="34"/>
      <c r="E46" s="34"/>
      <c r="F46" s="34"/>
      <c r="G46" s="26">
        <f>10*LOG(POWER(10,(0.1*(G30-$G$34+$G$45)))/G44)</f>
        <v>2.1532370155439091</v>
      </c>
      <c r="H46" s="26">
        <f t="shared" ref="H46:O46" si="4">10*LOG(POWER(10,(0.1*(H30-$G$34+$G$45)))/H44)</f>
        <v>3.8976884920007482</v>
      </c>
      <c r="I46" s="26">
        <f t="shared" si="4"/>
        <v>6.6062514468412159</v>
      </c>
      <c r="J46" s="26">
        <f t="shared" si="4"/>
        <v>8.6753678962534995</v>
      </c>
      <c r="K46" s="26">
        <f t="shared" si="4"/>
        <v>10.348515438666501</v>
      </c>
      <c r="L46" s="26">
        <f t="shared" si="4"/>
        <v>11.752544967090222</v>
      </c>
      <c r="M46" s="26">
        <f t="shared" si="4"/>
        <v>14.023772054810678</v>
      </c>
      <c r="N46" s="26">
        <f t="shared" si="4"/>
        <v>14.970269512428978</v>
      </c>
      <c r="O46" s="26">
        <f>10*LOG(POWER(10,(0.1*(O30-$G$34+$G$45)))/O44)</f>
        <v>16.965472123815665</v>
      </c>
      <c r="P46" s="9"/>
      <c r="Q46" s="9"/>
    </row>
    <row r="47" spans="1:17" x14ac:dyDescent="0.25">
      <c r="A47" s="34" t="s">
        <v>56</v>
      </c>
      <c r="B47" s="34"/>
      <c r="C47" s="34"/>
      <c r="D47" s="34"/>
      <c r="E47" s="34"/>
      <c r="F47" s="34"/>
      <c r="G47" s="14">
        <v>72000000</v>
      </c>
      <c r="H47" s="16" t="s">
        <v>57</v>
      </c>
      <c r="J47" s="8"/>
    </row>
    <row r="48" spans="1:17" x14ac:dyDescent="0.25">
      <c r="A48" s="34" t="s">
        <v>59</v>
      </c>
      <c r="B48" s="34"/>
      <c r="C48" s="34"/>
      <c r="D48" s="34"/>
      <c r="E48" s="34"/>
      <c r="F48" s="34"/>
      <c r="G48" s="16">
        <v>45</v>
      </c>
      <c r="H48" s="16" t="s">
        <v>28</v>
      </c>
      <c r="J48" s="11"/>
    </row>
    <row r="49" spans="1:17" x14ac:dyDescent="0.25">
      <c r="A49" s="34" t="s">
        <v>62</v>
      </c>
      <c r="B49" s="34"/>
      <c r="C49" s="34"/>
      <c r="D49" s="34"/>
      <c r="E49" s="34"/>
      <c r="F49" s="34"/>
      <c r="G49" s="26">
        <f>$G$48-$G$25+G46-10*LOG(1.38*(POWER(10,-23))*$G$47)</f>
        <v>0.8216147919106902</v>
      </c>
      <c r="H49" s="26">
        <f t="shared" ref="H49:O49" si="5">$G$48-$G$25+H46-10*LOG(1.38*(POWER(10,-23))*$G$47)</f>
        <v>2.5660662683675355</v>
      </c>
      <c r="I49" s="26">
        <f t="shared" si="5"/>
        <v>5.2746292232079952</v>
      </c>
      <c r="J49" s="26">
        <f t="shared" si="5"/>
        <v>7.3437456726202868</v>
      </c>
      <c r="K49" s="26">
        <f t="shared" si="5"/>
        <v>9.0168932150332921</v>
      </c>
      <c r="L49" s="26">
        <f t="shared" si="5"/>
        <v>10.420922743456998</v>
      </c>
      <c r="M49" s="26">
        <f t="shared" si="5"/>
        <v>12.69214983117746</v>
      </c>
      <c r="N49" s="26">
        <f t="shared" si="5"/>
        <v>13.638647288795767</v>
      </c>
      <c r="O49" s="26">
        <f t="shared" si="5"/>
        <v>15.63384990018244</v>
      </c>
      <c r="P49" s="9"/>
      <c r="Q49" s="9"/>
    </row>
    <row r="51" spans="1:17" x14ac:dyDescent="0.25">
      <c r="A51" s="34" t="s">
        <v>63</v>
      </c>
      <c r="B51" s="34"/>
      <c r="C51" s="34"/>
      <c r="D51" s="34"/>
      <c r="E51" s="34"/>
      <c r="F51" s="34"/>
      <c r="G51" s="16">
        <v>20000000</v>
      </c>
      <c r="H51" s="16" t="s">
        <v>64</v>
      </c>
      <c r="J51" s="11"/>
    </row>
    <row r="52" spans="1:17" x14ac:dyDescent="0.25">
      <c r="A52" s="34" t="s">
        <v>67</v>
      </c>
      <c r="B52" s="34"/>
      <c r="C52" s="34"/>
      <c r="D52" s="34"/>
      <c r="E52" s="34"/>
      <c r="F52" s="34"/>
      <c r="G52" s="26">
        <f>G49+10*LOG(1/$G$51)+10*LOG($G$47)</f>
        <v>6.3846397995835531</v>
      </c>
      <c r="H52" s="26">
        <f t="shared" ref="G52:O52" si="6">H49+10*LOG(1/$G$51)+10*LOG($G$47)</f>
        <v>8.1290912760403984</v>
      </c>
      <c r="I52" s="26">
        <f t="shared" si="6"/>
        <v>10.837654230880858</v>
      </c>
      <c r="J52" s="26">
        <f t="shared" si="6"/>
        <v>12.90677068029315</v>
      </c>
      <c r="K52" s="26">
        <f t="shared" si="6"/>
        <v>14.579918222706155</v>
      </c>
      <c r="L52" s="26">
        <f t="shared" si="6"/>
        <v>15.983947751129861</v>
      </c>
      <c r="M52" s="26">
        <f t="shared" si="6"/>
        <v>18.255174838850323</v>
      </c>
      <c r="N52" s="26">
        <f t="shared" si="6"/>
        <v>19.201672296468629</v>
      </c>
      <c r="O52" s="26">
        <f t="shared" si="6"/>
        <v>21.196874907855303</v>
      </c>
      <c r="P52" s="9"/>
      <c r="Q52" s="9"/>
    </row>
    <row r="55" spans="1:17" x14ac:dyDescent="0.25">
      <c r="G55">
        <v>2200</v>
      </c>
    </row>
    <row r="56" spans="1:17" x14ac:dyDescent="0.25">
      <c r="G56">
        <v>320</v>
      </c>
    </row>
    <row r="57" spans="1:17" x14ac:dyDescent="0.25">
      <c r="G57" s="7">
        <v>2600</v>
      </c>
      <c r="H57" s="7"/>
      <c r="I57" s="7"/>
      <c r="J57" s="7"/>
      <c r="K57" s="7"/>
      <c r="L57" s="7"/>
      <c r="M57" s="7"/>
      <c r="N57" s="7"/>
      <c r="O57" s="7"/>
    </row>
    <row r="58" spans="1:17" x14ac:dyDescent="0.25">
      <c r="G58" s="7">
        <f>SUM(G55:G57)</f>
        <v>5120</v>
      </c>
      <c r="H58" s="7"/>
      <c r="I58" s="7"/>
      <c r="J58" s="7"/>
      <c r="K58" s="7"/>
      <c r="L58" s="7"/>
      <c r="M58" s="7"/>
      <c r="N58" s="7"/>
      <c r="O58" s="7"/>
    </row>
    <row r="59" spans="1:17" x14ac:dyDescent="0.25">
      <c r="G59" s="7"/>
      <c r="H59" s="7"/>
      <c r="I59" s="7"/>
      <c r="J59" s="8"/>
      <c r="K59" s="7"/>
      <c r="L59" s="7"/>
      <c r="M59" s="7"/>
      <c r="N59" s="7"/>
      <c r="O59" s="7"/>
    </row>
    <row r="60" spans="1:17" x14ac:dyDescent="0.25">
      <c r="G60" s="7"/>
      <c r="H60" s="7"/>
      <c r="I60" s="7"/>
      <c r="J60" s="8"/>
      <c r="K60" s="7"/>
      <c r="L60" s="7"/>
      <c r="M60" s="7"/>
      <c r="N60" s="7"/>
      <c r="O60" s="7"/>
    </row>
    <row r="61" spans="1:17" x14ac:dyDescent="0.25">
      <c r="G61" s="7"/>
      <c r="H61" s="7"/>
      <c r="I61" s="7"/>
      <c r="J61" s="8"/>
      <c r="K61" s="7"/>
      <c r="L61" s="7"/>
      <c r="M61" s="7"/>
      <c r="N61" s="7"/>
      <c r="O61" s="7"/>
    </row>
    <row r="62" spans="1:17" x14ac:dyDescent="0.25">
      <c r="G62" s="7"/>
      <c r="H62" s="7"/>
      <c r="I62" s="7"/>
      <c r="J62" s="8"/>
      <c r="K62" s="7"/>
      <c r="L62" s="7"/>
      <c r="M62" s="7"/>
      <c r="N62" s="7"/>
      <c r="O62" s="7"/>
    </row>
    <row r="63" spans="1:17" x14ac:dyDescent="0.25">
      <c r="G63" s="9"/>
      <c r="H63" s="9"/>
      <c r="I63" s="9"/>
      <c r="J63" s="13"/>
      <c r="K63" s="9"/>
      <c r="L63" s="9"/>
      <c r="M63" s="9"/>
      <c r="N63" s="9"/>
      <c r="O63" s="9"/>
    </row>
    <row r="64" spans="1:17" x14ac:dyDescent="0.25">
      <c r="G64" s="7"/>
      <c r="H64" s="7"/>
      <c r="I64" s="7"/>
      <c r="J64" s="7"/>
      <c r="K64" s="7"/>
      <c r="L64" s="7"/>
      <c r="M64" s="7"/>
      <c r="N64" s="7"/>
      <c r="O64" s="7"/>
    </row>
    <row r="65" spans="7:15" x14ac:dyDescent="0.25">
      <c r="G65" s="7"/>
      <c r="H65" s="7"/>
      <c r="I65" s="7"/>
      <c r="J65" s="7"/>
      <c r="K65" s="7"/>
      <c r="L65" s="7"/>
      <c r="M65" s="7"/>
      <c r="N65" s="7"/>
      <c r="O65" s="7"/>
    </row>
    <row r="66" spans="7:15" x14ac:dyDescent="0.25">
      <c r="G66" s="9"/>
      <c r="H66" s="9"/>
      <c r="I66" s="9"/>
      <c r="J66" s="9"/>
      <c r="K66" s="9"/>
      <c r="L66" s="9"/>
      <c r="M66" s="9"/>
      <c r="N66" s="9"/>
      <c r="O66" s="9"/>
    </row>
    <row r="67" spans="7:15" x14ac:dyDescent="0.25">
      <c r="G67" s="9"/>
      <c r="H67" s="9"/>
      <c r="I67" s="9"/>
      <c r="J67" s="9"/>
      <c r="K67" s="9"/>
      <c r="L67" s="9"/>
      <c r="M67" s="9"/>
      <c r="N67" s="9"/>
      <c r="O67" s="9"/>
    </row>
    <row r="68" spans="7:15" x14ac:dyDescent="0.25">
      <c r="G68" s="9"/>
      <c r="H68" s="9"/>
      <c r="I68" s="9"/>
      <c r="J68" s="9"/>
      <c r="K68" s="9"/>
      <c r="L68" s="9"/>
      <c r="M68" s="9"/>
      <c r="N68" s="9"/>
      <c r="O68" s="9"/>
    </row>
    <row r="69" spans="7:15" x14ac:dyDescent="0.25">
      <c r="G69" s="9"/>
      <c r="H69" s="9"/>
      <c r="I69" s="9"/>
      <c r="J69" s="9"/>
      <c r="K69" s="9"/>
      <c r="L69" s="9"/>
      <c r="M69" s="9"/>
      <c r="N69" s="9"/>
      <c r="O69" s="9"/>
    </row>
    <row r="70" spans="7:15" x14ac:dyDescent="0.25">
      <c r="G70" s="9"/>
      <c r="H70" s="9"/>
      <c r="I70" s="9"/>
      <c r="J70" s="9"/>
      <c r="K70" s="9"/>
      <c r="L70" s="9"/>
      <c r="M70" s="9"/>
      <c r="N70" s="9"/>
      <c r="O70" s="9"/>
    </row>
  </sheetData>
  <mergeCells count="1">
    <mergeCell ref="A2:J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opLeftCell="A24" zoomScale="70" zoomScaleNormal="70" workbookViewId="0">
      <selection activeCell="G58" sqref="G58"/>
    </sheetView>
  </sheetViews>
  <sheetFormatPr defaultRowHeight="15" x14ac:dyDescent="0.25"/>
  <cols>
    <col min="6" max="6" width="23" customWidth="1"/>
    <col min="7" max="7" width="14.42578125" bestFit="1" customWidth="1"/>
    <col min="8" max="8" width="6.85546875" customWidth="1"/>
    <col min="9" max="9" width="6.5703125" customWidth="1"/>
    <col min="10" max="11" width="6.42578125" customWidth="1"/>
    <col min="12" max="12" width="6.140625" customWidth="1"/>
    <col min="13" max="13" width="6.7109375" customWidth="1"/>
    <col min="14" max="14" width="6.28515625" customWidth="1"/>
    <col min="15" max="15" width="6.42578125" customWidth="1"/>
  </cols>
  <sheetData>
    <row r="2" spans="1:16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</row>
    <row r="3" spans="1:16" ht="18.75" x14ac:dyDescent="0.3">
      <c r="J3" s="1" t="s">
        <v>1</v>
      </c>
      <c r="K3" s="2"/>
      <c r="L3" s="2"/>
      <c r="M3" s="2"/>
    </row>
    <row r="4" spans="1:16" ht="18.75" x14ac:dyDescent="0.3">
      <c r="A4" s="35" t="s">
        <v>2</v>
      </c>
      <c r="B4" s="36"/>
      <c r="C4" s="36"/>
      <c r="D4" s="36"/>
      <c r="E4" s="36"/>
      <c r="F4" s="36"/>
      <c r="G4" s="20">
        <v>43</v>
      </c>
      <c r="H4" s="20" t="s">
        <v>3</v>
      </c>
      <c r="J4" s="1"/>
      <c r="K4" s="2"/>
      <c r="L4" s="2" t="s">
        <v>68</v>
      </c>
      <c r="M4" s="2"/>
    </row>
    <row r="5" spans="1:16" ht="18.75" x14ac:dyDescent="0.3">
      <c r="A5" s="37" t="s">
        <v>4</v>
      </c>
      <c r="B5" s="38"/>
      <c r="C5" s="38"/>
      <c r="D5" s="38"/>
      <c r="E5" s="38"/>
      <c r="F5" s="38"/>
      <c r="G5" s="20">
        <v>44</v>
      </c>
      <c r="H5" s="20" t="s">
        <v>3</v>
      </c>
      <c r="L5" s="1" t="s">
        <v>6</v>
      </c>
      <c r="M5" s="5"/>
      <c r="P5" s="1" t="s">
        <v>5</v>
      </c>
    </row>
    <row r="6" spans="1:16" ht="18.75" x14ac:dyDescent="0.3">
      <c r="A6" s="37" t="s">
        <v>7</v>
      </c>
      <c r="B6" s="38"/>
      <c r="C6" s="38"/>
      <c r="D6" s="38"/>
      <c r="E6" s="38"/>
      <c r="F6" s="38"/>
      <c r="G6" s="20">
        <v>56</v>
      </c>
      <c r="H6" s="20" t="s">
        <v>3</v>
      </c>
      <c r="K6" s="1"/>
      <c r="L6" s="1" t="s">
        <v>8</v>
      </c>
      <c r="M6" s="5"/>
      <c r="P6" s="1">
        <v>250</v>
      </c>
    </row>
    <row r="7" spans="1:16" ht="18.75" x14ac:dyDescent="0.3">
      <c r="A7" s="37" t="s">
        <v>9</v>
      </c>
      <c r="B7" s="38"/>
      <c r="C7" s="38"/>
      <c r="D7" s="38"/>
      <c r="E7" s="38"/>
      <c r="F7" s="38"/>
      <c r="G7" s="20">
        <f>G5-G6</f>
        <v>-12</v>
      </c>
      <c r="H7" s="20" t="s">
        <v>3</v>
      </c>
      <c r="K7" s="1"/>
      <c r="L7" s="1"/>
      <c r="M7" s="1"/>
      <c r="P7" s="1">
        <v>30</v>
      </c>
    </row>
    <row r="8" spans="1:16" ht="18.75" x14ac:dyDescent="0.3">
      <c r="A8" s="37" t="s">
        <v>10</v>
      </c>
      <c r="B8" s="38"/>
      <c r="C8" s="38"/>
      <c r="D8" s="38"/>
      <c r="E8" s="38"/>
      <c r="F8" s="38"/>
      <c r="G8" s="17">
        <v>6.61</v>
      </c>
      <c r="H8" s="20"/>
      <c r="K8" s="1"/>
      <c r="L8" s="1"/>
      <c r="M8" s="1"/>
      <c r="P8" s="6"/>
    </row>
    <row r="9" spans="1:16" ht="18.75" x14ac:dyDescent="0.25">
      <c r="A9" s="37" t="s">
        <v>11</v>
      </c>
      <c r="B9" s="38"/>
      <c r="C9" s="38"/>
      <c r="D9" s="38"/>
      <c r="E9" s="38"/>
      <c r="F9" s="38"/>
      <c r="G9" s="19">
        <f>COS(RADIANS(G4))</f>
        <v>0.73135370161917046</v>
      </c>
      <c r="H9" s="20"/>
      <c r="J9" s="46" t="s">
        <v>12</v>
      </c>
      <c r="K9" s="46"/>
      <c r="L9" s="46"/>
      <c r="M9" s="15">
        <v>56</v>
      </c>
    </row>
    <row r="10" spans="1:16" x14ac:dyDescent="0.25">
      <c r="A10" s="37" t="s">
        <v>13</v>
      </c>
      <c r="B10" s="38"/>
      <c r="C10" s="38"/>
      <c r="D10" s="38"/>
      <c r="E10" s="38"/>
      <c r="F10" s="38"/>
      <c r="G10" s="19">
        <f>COS(RADIANS(G7))</f>
        <v>0.97814760073380569</v>
      </c>
      <c r="H10" s="20"/>
    </row>
    <row r="11" spans="1:16" x14ac:dyDescent="0.25">
      <c r="A11" s="37" t="s">
        <v>14</v>
      </c>
      <c r="B11" s="38"/>
      <c r="C11" s="38"/>
      <c r="D11" s="38"/>
      <c r="E11" s="38"/>
      <c r="F11" s="38"/>
      <c r="G11" s="19">
        <f>COS(RADIANS(2*G4))</f>
        <v>6.9756473744125233E-2</v>
      </c>
      <c r="H11" s="20"/>
    </row>
    <row r="12" spans="1:16" x14ac:dyDescent="0.25">
      <c r="A12" s="37" t="s">
        <v>15</v>
      </c>
      <c r="B12" s="38"/>
      <c r="C12" s="38"/>
      <c r="D12" s="38"/>
      <c r="E12" s="38"/>
      <c r="F12" s="38"/>
      <c r="G12" s="19">
        <f>COS(RADIANS(2*G7))</f>
        <v>0.91354545764260087</v>
      </c>
      <c r="H12" s="20"/>
    </row>
    <row r="13" spans="1:16" x14ac:dyDescent="0.25">
      <c r="A13" s="37" t="s">
        <v>16</v>
      </c>
      <c r="B13" s="38"/>
      <c r="C13" s="38"/>
      <c r="D13" s="38"/>
      <c r="E13" s="38"/>
      <c r="F13" s="38"/>
      <c r="G13" s="19">
        <f>SQRT(1-G11*G12)</f>
        <v>0.96761267574887067</v>
      </c>
      <c r="H13" s="20"/>
    </row>
    <row r="14" spans="1:16" x14ac:dyDescent="0.25">
      <c r="A14" s="37" t="s">
        <v>17</v>
      </c>
      <c r="B14" s="38"/>
      <c r="C14" s="38"/>
      <c r="D14" s="38"/>
      <c r="E14" s="38"/>
      <c r="F14" s="38"/>
      <c r="G14" s="19">
        <f>G8*G9*G10-1</f>
        <v>3.7286080509606885</v>
      </c>
      <c r="H14" s="20"/>
    </row>
    <row r="15" spans="1:16" x14ac:dyDescent="0.25">
      <c r="A15" s="37" t="s">
        <v>18</v>
      </c>
      <c r="B15" s="38"/>
      <c r="C15" s="38"/>
      <c r="D15" s="38"/>
      <c r="E15" s="38"/>
      <c r="F15" s="38"/>
      <c r="G15" s="19">
        <f>G8*SQRT(1-G11*G12)</f>
        <v>6.395919786700035</v>
      </c>
      <c r="H15" s="20"/>
    </row>
    <row r="16" spans="1:16" x14ac:dyDescent="0.25">
      <c r="A16" s="37" t="s">
        <v>19</v>
      </c>
      <c r="B16" s="38"/>
      <c r="C16" s="38"/>
      <c r="D16" s="38"/>
      <c r="E16" s="38"/>
      <c r="F16" s="38"/>
      <c r="G16" s="19">
        <f>(ATAN(G14/G15))</f>
        <v>0.52780083111314247</v>
      </c>
      <c r="H16" s="20"/>
    </row>
    <row r="17" spans="1:17" x14ac:dyDescent="0.25">
      <c r="A17" s="37" t="s">
        <v>20</v>
      </c>
      <c r="B17" s="38"/>
      <c r="C17" s="38"/>
      <c r="D17" s="38"/>
      <c r="E17" s="38"/>
      <c r="F17" s="38"/>
      <c r="G17" s="19">
        <f>DEGREES(G16)</f>
        <v>30.240760046280212</v>
      </c>
      <c r="H17" s="20" t="s">
        <v>3</v>
      </c>
    </row>
    <row r="18" spans="1:17" x14ac:dyDescent="0.25">
      <c r="A18" s="3"/>
      <c r="B18" s="4"/>
      <c r="C18" s="4"/>
      <c r="D18" s="4"/>
      <c r="E18" s="4"/>
      <c r="F18" s="4"/>
      <c r="G18" s="20"/>
      <c r="H18" s="20"/>
    </row>
    <row r="19" spans="1:17" x14ac:dyDescent="0.25">
      <c r="A19" s="40" t="s">
        <v>21</v>
      </c>
      <c r="B19" s="41"/>
      <c r="C19" s="41"/>
      <c r="D19" s="41"/>
      <c r="E19" s="41"/>
      <c r="F19" s="41"/>
      <c r="G19" s="19">
        <f>(G17+SQRT(G17*G17+4.132))/2</f>
        <v>30.274880742206186</v>
      </c>
      <c r="H19" s="20" t="s">
        <v>3</v>
      </c>
    </row>
    <row r="20" spans="1:17" x14ac:dyDescent="0.25">
      <c r="A20" s="34" t="s">
        <v>22</v>
      </c>
      <c r="B20" s="34"/>
      <c r="C20" s="34"/>
      <c r="D20" s="34"/>
      <c r="E20" s="34"/>
      <c r="F20" s="34"/>
      <c r="G20" s="19">
        <f>180+DEGREES(ATAN(TAN(RADIANS(G7))/SIN(RADIANS(G4))))</f>
        <v>162.68945315513301</v>
      </c>
      <c r="H20" s="20" t="s">
        <v>3</v>
      </c>
    </row>
    <row r="21" spans="1:17" x14ac:dyDescent="0.25">
      <c r="A21" s="34" t="s">
        <v>23</v>
      </c>
      <c r="B21" s="34"/>
      <c r="C21" s="34"/>
      <c r="D21" s="34"/>
      <c r="E21" s="34"/>
      <c r="F21" s="34"/>
      <c r="G21" s="18">
        <v>6.86</v>
      </c>
      <c r="H21" s="19">
        <f>G20+G21</f>
        <v>169.54945315513302</v>
      </c>
    </row>
    <row r="22" spans="1:17" x14ac:dyDescent="0.25">
      <c r="A22" s="34" t="s">
        <v>24</v>
      </c>
      <c r="B22" s="34"/>
      <c r="C22" s="34"/>
      <c r="D22" s="34"/>
      <c r="E22" s="34"/>
      <c r="F22" s="34"/>
      <c r="G22" s="19">
        <f>6378.16*SQRT(G8*G8+1-2*G8*COS(RADIANS(G4))*COS(RADIANS(G7)))</f>
        <v>37860.106559993488</v>
      </c>
      <c r="H22" s="20" t="s">
        <v>25</v>
      </c>
    </row>
    <row r="23" spans="1:17" x14ac:dyDescent="0.25">
      <c r="A23" s="34" t="s">
        <v>26</v>
      </c>
      <c r="B23" s="34"/>
      <c r="C23" s="34"/>
      <c r="D23" s="34"/>
      <c r="E23" s="34"/>
      <c r="F23" s="34"/>
      <c r="G23" s="19">
        <f>300000000/G25</f>
        <v>2.5000000000000001E-2</v>
      </c>
      <c r="H23" s="20" t="s">
        <v>25</v>
      </c>
    </row>
    <row r="24" spans="1:17" x14ac:dyDescent="0.25">
      <c r="A24" s="34" t="s">
        <v>27</v>
      </c>
      <c r="B24" s="34"/>
      <c r="C24" s="34"/>
      <c r="D24" s="34"/>
      <c r="E24" s="34"/>
      <c r="F24" s="34"/>
      <c r="G24" s="22">
        <f>20*LOG((4000*3.14*G22)/G23)</f>
        <v>205.58462925423399</v>
      </c>
      <c r="H24" s="28" t="s">
        <v>28</v>
      </c>
    </row>
    <row r="25" spans="1:17" x14ac:dyDescent="0.25">
      <c r="A25" s="34" t="s">
        <v>29</v>
      </c>
      <c r="B25" s="34"/>
      <c r="C25" s="34"/>
      <c r="D25" s="34"/>
      <c r="E25" s="34"/>
      <c r="F25" t="s">
        <v>30</v>
      </c>
      <c r="G25" s="21">
        <v>12000000000</v>
      </c>
      <c r="H25" s="17" t="s">
        <v>31</v>
      </c>
      <c r="I25" s="17" t="s">
        <v>32</v>
      </c>
      <c r="J25" s="17"/>
      <c r="K25" s="17"/>
    </row>
    <row r="27" spans="1:17" x14ac:dyDescent="0.25">
      <c r="A27" s="34" t="s">
        <v>33</v>
      </c>
      <c r="B27" s="34"/>
      <c r="C27" s="34"/>
      <c r="D27" s="34"/>
      <c r="E27" s="34"/>
      <c r="F27" s="34"/>
      <c r="G27" s="17">
        <v>80</v>
      </c>
    </row>
    <row r="28" spans="1:17" x14ac:dyDescent="0.25">
      <c r="A28" s="34" t="s">
        <v>34</v>
      </c>
      <c r="B28" s="34"/>
      <c r="C28" s="34"/>
      <c r="D28" s="34"/>
      <c r="E28" s="34"/>
      <c r="F28" s="34"/>
      <c r="G28" s="17">
        <v>0.5</v>
      </c>
      <c r="H28" s="23">
        <v>0.6</v>
      </c>
      <c r="I28" s="17">
        <v>0.8</v>
      </c>
      <c r="J28" s="17">
        <v>1</v>
      </c>
      <c r="K28" s="18">
        <v>1.2</v>
      </c>
      <c r="L28" s="17">
        <v>1.4</v>
      </c>
      <c r="M28" s="17">
        <v>1.8</v>
      </c>
      <c r="N28" s="17">
        <v>2</v>
      </c>
      <c r="O28" s="17">
        <v>2.5</v>
      </c>
    </row>
    <row r="29" spans="1:17" x14ac:dyDescent="0.25">
      <c r="A29" s="34" t="s">
        <v>35</v>
      </c>
      <c r="B29" s="34"/>
      <c r="C29" s="34"/>
      <c r="D29" s="34"/>
      <c r="E29" s="34"/>
      <c r="F29" s="34"/>
      <c r="G29" s="19">
        <f>10*LOG10((3.14*G28)*(3.14*G28)*$G$27/(100*$G$23*$G$23))</f>
        <v>34.990092744663357</v>
      </c>
      <c r="H29" s="24">
        <f t="shared" ref="H29:O29" si="0">10*LOG10((3.14*H28)*(3.14*H28)*$G$27/(100*$G$23*$G$23))</f>
        <v>36.57371766561586</v>
      </c>
      <c r="I29" s="19">
        <f t="shared" si="0"/>
        <v>39.072492397781858</v>
      </c>
      <c r="J29" s="19">
        <f t="shared" si="0"/>
        <v>41.010692657942982</v>
      </c>
      <c r="K29" s="19">
        <f t="shared" si="0"/>
        <v>42.594317578895478</v>
      </c>
      <c r="L29" s="19">
        <f t="shared" si="0"/>
        <v>43.933253371507739</v>
      </c>
      <c r="M29" s="19">
        <f t="shared" si="0"/>
        <v>46.116142760009105</v>
      </c>
      <c r="N29" s="19">
        <f t="shared" si="0"/>
        <v>47.031292571222608</v>
      </c>
      <c r="O29" s="19">
        <f t="shared" si="0"/>
        <v>48.969492831383732</v>
      </c>
      <c r="P29" s="7"/>
      <c r="Q29" s="7"/>
    </row>
    <row r="31" spans="1:17" x14ac:dyDescent="0.25">
      <c r="A31" s="34" t="s">
        <v>36</v>
      </c>
      <c r="B31" s="34"/>
      <c r="C31" s="34"/>
      <c r="D31" s="34"/>
      <c r="E31" s="34"/>
      <c r="F31" s="34"/>
      <c r="G31" s="17">
        <v>1.5</v>
      </c>
      <c r="H31" s="17" t="s">
        <v>28</v>
      </c>
    </row>
    <row r="32" spans="1:17" x14ac:dyDescent="0.25">
      <c r="A32" s="34" t="s">
        <v>37</v>
      </c>
      <c r="B32" s="34"/>
      <c r="C32" s="34"/>
      <c r="D32" s="34"/>
      <c r="E32" s="34"/>
      <c r="F32" s="34"/>
      <c r="G32" s="20">
        <f>290*(POWER(10,(G31/10))-1)</f>
        <v>119.63588794059876</v>
      </c>
      <c r="H32" s="20" t="s">
        <v>38</v>
      </c>
    </row>
    <row r="33" spans="1:17" x14ac:dyDescent="0.25">
      <c r="A33" s="34" t="s">
        <v>39</v>
      </c>
      <c r="B33" s="34"/>
      <c r="C33" s="34"/>
      <c r="D33" s="34"/>
      <c r="E33" s="34"/>
      <c r="F33" s="34"/>
      <c r="G33" s="17">
        <v>0.5</v>
      </c>
      <c r="H33" s="17" t="s">
        <v>28</v>
      </c>
    </row>
    <row r="36" spans="1:17" x14ac:dyDescent="0.25">
      <c r="A36" s="34" t="s">
        <v>40</v>
      </c>
      <c r="B36" s="34"/>
      <c r="C36" s="34"/>
      <c r="D36" s="34"/>
      <c r="E36" s="34"/>
      <c r="F36" s="34"/>
      <c r="G36" s="20">
        <f>290*(1-POWER(10,(-0.1*G33)))</f>
        <v>31.537227941213818</v>
      </c>
      <c r="H36" s="20" t="s">
        <v>38</v>
      </c>
    </row>
    <row r="38" spans="1:17" x14ac:dyDescent="0.25">
      <c r="A38" s="34" t="s">
        <v>41</v>
      </c>
      <c r="B38" s="34"/>
      <c r="C38" s="34"/>
      <c r="D38" s="34"/>
      <c r="E38" s="34"/>
      <c r="F38" s="34"/>
      <c r="G38" s="19">
        <f t="shared" ref="G38:O38" si="1">15+30/G28+190/$G$17</f>
        <v>81.282910869608614</v>
      </c>
      <c r="H38" s="19">
        <f t="shared" si="1"/>
        <v>71.282910869608614</v>
      </c>
      <c r="I38" s="19">
        <f t="shared" si="1"/>
        <v>58.782910869608621</v>
      </c>
      <c r="J38" s="19">
        <f t="shared" si="1"/>
        <v>51.282910869608621</v>
      </c>
      <c r="K38" s="19">
        <f t="shared" si="1"/>
        <v>46.282910869608621</v>
      </c>
      <c r="L38" s="19">
        <f t="shared" si="1"/>
        <v>42.711482298180051</v>
      </c>
      <c r="M38" s="19">
        <f t="shared" si="1"/>
        <v>37.949577536275285</v>
      </c>
      <c r="N38" s="19">
        <f t="shared" si="1"/>
        <v>36.282910869608621</v>
      </c>
      <c r="O38" s="19">
        <f t="shared" si="1"/>
        <v>33.282910869608621</v>
      </c>
      <c r="P38" s="7"/>
      <c r="Q38" s="7"/>
    </row>
    <row r="39" spans="1:17" x14ac:dyDescent="0.25">
      <c r="A39" s="34" t="s">
        <v>42</v>
      </c>
      <c r="B39" s="34"/>
      <c r="C39" s="34"/>
      <c r="D39" s="34"/>
      <c r="E39" s="34"/>
      <c r="F39" s="34"/>
      <c r="G39" s="19">
        <f>POWER(10,(-0.1*$G$33))*G38</f>
        <v>72.443470566780292</v>
      </c>
      <c r="H39" s="19">
        <f t="shared" ref="H39:O39" si="2">POWER(10,(-0.1*$G$33))*H38</f>
        <v>63.530961185442841</v>
      </c>
      <c r="I39" s="19">
        <f t="shared" si="2"/>
        <v>52.390324458771026</v>
      </c>
      <c r="J39" s="19">
        <f t="shared" si="2"/>
        <v>45.705942422767933</v>
      </c>
      <c r="K39" s="19">
        <f t="shared" si="2"/>
        <v>41.249687732099211</v>
      </c>
      <c r="L39" s="19">
        <f t="shared" si="2"/>
        <v>38.066648667335834</v>
      </c>
      <c r="M39" s="19">
        <f t="shared" si="2"/>
        <v>33.822596580984658</v>
      </c>
      <c r="N39" s="19">
        <f t="shared" si="2"/>
        <v>32.337178350761754</v>
      </c>
      <c r="O39" s="19">
        <f t="shared" si="2"/>
        <v>29.663425536360517</v>
      </c>
      <c r="P39" s="7"/>
      <c r="Q39" s="7"/>
    </row>
    <row r="40" spans="1:17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5">
      <c r="A41" s="34" t="s">
        <v>43</v>
      </c>
      <c r="B41" s="34"/>
      <c r="C41" s="34"/>
      <c r="D41" s="34"/>
      <c r="E41" s="34"/>
      <c r="F41" s="34"/>
      <c r="G41" s="18">
        <v>2.7</v>
      </c>
      <c r="H41" s="18" t="s">
        <v>38</v>
      </c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43" t="s">
        <v>44</v>
      </c>
      <c r="B42" s="43"/>
      <c r="C42" s="43"/>
      <c r="D42" s="43"/>
      <c r="E42" s="43"/>
      <c r="F42" s="43"/>
      <c r="G42" s="17">
        <v>280</v>
      </c>
      <c r="H42" s="17" t="s">
        <v>38</v>
      </c>
      <c r="Q42" t="s">
        <v>87</v>
      </c>
    </row>
    <row r="43" spans="1:17" x14ac:dyDescent="0.25">
      <c r="A43" s="43" t="s">
        <v>45</v>
      </c>
      <c r="B43" s="43"/>
      <c r="C43" s="43"/>
      <c r="D43" s="43"/>
      <c r="E43" s="43"/>
      <c r="F43" s="44"/>
      <c r="G43" s="17">
        <v>0.2</v>
      </c>
      <c r="H43" s="17" t="s">
        <v>28</v>
      </c>
    </row>
    <row r="44" spans="1:17" x14ac:dyDescent="0.25">
      <c r="A44" s="43" t="s">
        <v>46</v>
      </c>
      <c r="B44" s="43"/>
      <c r="C44" s="43"/>
      <c r="D44" s="43"/>
      <c r="E44" s="43"/>
      <c r="F44" s="43"/>
      <c r="G44" s="19">
        <f>(1-POWER(10,(-0.1*G43)))*G42+POWER(10,(-0.1*G43))*G41</f>
        <v>15.180555896255829</v>
      </c>
      <c r="H44" s="19" t="s">
        <v>38</v>
      </c>
    </row>
    <row r="45" spans="1:17" x14ac:dyDescent="0.25">
      <c r="A45" s="43" t="s">
        <v>47</v>
      </c>
      <c r="B45" s="43"/>
      <c r="C45" s="43"/>
      <c r="D45" s="43"/>
      <c r="E45" s="43"/>
      <c r="F45" s="44"/>
      <c r="G45" s="25">
        <v>0.8</v>
      </c>
      <c r="H45" s="17" t="s">
        <v>28</v>
      </c>
    </row>
    <row r="46" spans="1:17" x14ac:dyDescent="0.25">
      <c r="A46" s="43" t="s">
        <v>48</v>
      </c>
      <c r="B46" s="43"/>
      <c r="C46" s="43"/>
      <c r="D46" s="43"/>
      <c r="E46" s="43"/>
      <c r="F46" s="43"/>
      <c r="G46" s="17">
        <v>260</v>
      </c>
      <c r="H46" s="17" t="s">
        <v>38</v>
      </c>
    </row>
    <row r="47" spans="1:17" x14ac:dyDescent="0.25">
      <c r="A47" s="47" t="s">
        <v>49</v>
      </c>
      <c r="B47" s="47"/>
      <c r="C47" s="47"/>
      <c r="D47" s="47"/>
      <c r="E47" s="47"/>
      <c r="F47" s="47"/>
      <c r="G47" s="19">
        <f>(1-POWER(10,(-0.1*(G43+G45))))*G46+POWER(10,(-0.1*(G43+G45)))*G41</f>
        <v>55.619345205442372</v>
      </c>
      <c r="H47" s="20" t="s">
        <v>38</v>
      </c>
    </row>
    <row r="49" spans="1:17" x14ac:dyDescent="0.25">
      <c r="A49" s="34" t="s">
        <v>50</v>
      </c>
      <c r="B49" s="34"/>
      <c r="C49" s="34"/>
      <c r="D49" s="34"/>
      <c r="E49" s="34"/>
      <c r="F49" s="34"/>
      <c r="G49" s="26">
        <f>$G$32+$G$36+POWER(10,(-0.1*$G$33))*(G39+$G$44)</f>
        <v>229.26811167004965</v>
      </c>
      <c r="H49" s="26">
        <f t="shared" ref="H49:O49" si="3">$G$32+$G$36+POWER(10,(-0.1*$G$33))*(H39+$G$44)</f>
        <v>221.32482932280686</v>
      </c>
      <c r="I49" s="26">
        <f t="shared" si="3"/>
        <v>211.39572638875333</v>
      </c>
      <c r="J49" s="26">
        <f t="shared" si="3"/>
        <v>205.43826462832124</v>
      </c>
      <c r="K49" s="26">
        <f t="shared" si="3"/>
        <v>201.46662345469983</v>
      </c>
      <c r="L49" s="26">
        <f t="shared" si="3"/>
        <v>198.62973690211311</v>
      </c>
      <c r="M49" s="26">
        <f t="shared" si="3"/>
        <v>194.84722149866414</v>
      </c>
      <c r="N49" s="26">
        <f t="shared" si="3"/>
        <v>193.52334110745701</v>
      </c>
      <c r="O49" s="26">
        <f t="shared" si="3"/>
        <v>191.14035640328416</v>
      </c>
      <c r="P49" s="9"/>
      <c r="Q49" s="9"/>
    </row>
    <row r="50" spans="1:17" x14ac:dyDescent="0.25">
      <c r="A50" s="47" t="s">
        <v>51</v>
      </c>
      <c r="B50" s="47"/>
      <c r="C50" s="47"/>
      <c r="D50" s="47"/>
      <c r="E50" s="47"/>
      <c r="F50" s="47"/>
      <c r="G50" s="26">
        <f>$G$32+$G$36+POWER(10,(-0.1*$G$33))*(G39+$G$47)</f>
        <v>265.30922057885505</v>
      </c>
      <c r="H50" s="26">
        <f t="shared" ref="H50:O50" si="4">$G$32+$G$36+POWER(10,(-0.1*$G$33))*(H39+$G$47)</f>
        <v>257.36593823161223</v>
      </c>
      <c r="I50" s="26">
        <f t="shared" si="4"/>
        <v>247.43683529755873</v>
      </c>
      <c r="J50" s="26">
        <f t="shared" si="4"/>
        <v>241.47937353712661</v>
      </c>
      <c r="K50" s="26">
        <f t="shared" si="4"/>
        <v>237.50773236350523</v>
      </c>
      <c r="L50" s="26">
        <f t="shared" si="4"/>
        <v>234.67084581091848</v>
      </c>
      <c r="M50" s="26">
        <f t="shared" si="4"/>
        <v>230.88833040746954</v>
      </c>
      <c r="N50" s="26">
        <f t="shared" si="4"/>
        <v>229.56445001626241</v>
      </c>
      <c r="O50" s="26">
        <f t="shared" si="4"/>
        <v>227.18146531208953</v>
      </c>
      <c r="P50" s="9"/>
      <c r="Q50" s="9"/>
    </row>
    <row r="51" spans="1:17" x14ac:dyDescent="0.25">
      <c r="A51" s="47" t="s">
        <v>52</v>
      </c>
      <c r="B51" s="47"/>
      <c r="C51" s="47"/>
      <c r="D51" s="47"/>
      <c r="E51" s="47"/>
      <c r="F51" s="47"/>
      <c r="G51" s="26">
        <f>$G$45+10*LOG(G50/G49)</f>
        <v>1.4340868975758281</v>
      </c>
      <c r="H51" s="26">
        <f t="shared" ref="H51:O51" si="5">$G$45+10*LOG(H50/H49)</f>
        <v>1.455209305516056</v>
      </c>
      <c r="I51" s="26">
        <f t="shared" si="5"/>
        <v>1.4836814913948495</v>
      </c>
      <c r="J51" s="26">
        <f t="shared" si="5"/>
        <v>1.5019870265992983</v>
      </c>
      <c r="K51" s="26">
        <f t="shared" si="5"/>
        <v>1.5147464539832476</v>
      </c>
      <c r="L51" s="26">
        <f t="shared" si="5"/>
        <v>1.5241487128998608</v>
      </c>
      <c r="M51" s="26">
        <f t="shared" si="5"/>
        <v>1.5370776611697279</v>
      </c>
      <c r="N51" s="26">
        <f t="shared" si="5"/>
        <v>1.5417128143475345</v>
      </c>
      <c r="O51" s="26">
        <f t="shared" si="5"/>
        <v>1.5502050493487551</v>
      </c>
      <c r="P51" s="9"/>
      <c r="Q51" s="9"/>
    </row>
    <row r="52" spans="1:17" x14ac:dyDescent="0.25">
      <c r="A52" s="34" t="s">
        <v>53</v>
      </c>
      <c r="B52" s="34"/>
      <c r="C52" s="34"/>
      <c r="D52" s="34"/>
      <c r="E52" s="34"/>
      <c r="F52" s="34"/>
      <c r="G52" s="26">
        <f>10*LOG(POWER(10,(0.1*(G29-$G$33)))/G49)</f>
        <v>10.886656204725345</v>
      </c>
      <c r="H52" s="26">
        <f t="shared" ref="H52:O52" si="6">10*LOG(POWER(10,(0.1*(H29-$G$33)))/H49)</f>
        <v>12.623416285809935</v>
      </c>
      <c r="I52" s="26">
        <f t="shared" si="6"/>
        <v>15.321530364876814</v>
      </c>
      <c r="J52" s="26">
        <f t="shared" si="6"/>
        <v>17.383879279487996</v>
      </c>
      <c r="K52" s="26">
        <f t="shared" si="6"/>
        <v>19.052286500927234</v>
      </c>
      <c r="L52" s="26">
        <f t="shared" si="6"/>
        <v>20.452810698004424</v>
      </c>
      <c r="M52" s="26">
        <f t="shared" si="6"/>
        <v>22.719200588226855</v>
      </c>
      <c r="N52" s="26">
        <f t="shared" si="6"/>
        <v>23.663959037733669</v>
      </c>
      <c r="O52" s="26">
        <f t="shared" si="6"/>
        <v>25.655968916726295</v>
      </c>
      <c r="P52" s="9"/>
      <c r="Q52" s="9"/>
    </row>
    <row r="53" spans="1:17" x14ac:dyDescent="0.25">
      <c r="A53" s="34" t="s">
        <v>54</v>
      </c>
      <c r="B53" s="34"/>
      <c r="C53" s="34"/>
      <c r="D53" s="34"/>
      <c r="E53" s="34"/>
      <c r="F53" s="34"/>
      <c r="G53" s="27">
        <v>0.6</v>
      </c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5">
      <c r="A54" s="43" t="s">
        <v>55</v>
      </c>
      <c r="B54" s="43"/>
      <c r="C54" s="43"/>
      <c r="D54" s="43"/>
      <c r="E54" s="43"/>
      <c r="F54" s="43"/>
      <c r="G54" s="26">
        <f>10*LOG(POWER(10,(0.1*(G29-$G$33+$G$53)))/G50)</f>
        <v>10.852569307149517</v>
      </c>
      <c r="H54" s="26">
        <f t="shared" ref="H54:O54" si="7">10*LOG(POWER(10,(0.1*(H29-$G$33+$G$53)))/H50)</f>
        <v>12.568206980293876</v>
      </c>
      <c r="I54" s="26">
        <f t="shared" si="7"/>
        <v>15.237848873481962</v>
      </c>
      <c r="J54" s="26">
        <f t="shared" si="7"/>
        <v>17.281892252888692</v>
      </c>
      <c r="K54" s="26">
        <f t="shared" si="7"/>
        <v>18.93754004694399</v>
      </c>
      <c r="L54" s="26">
        <f t="shared" si="7"/>
        <v>20.328661985104567</v>
      </c>
      <c r="M54" s="26">
        <f t="shared" si="7"/>
        <v>22.582122927057135</v>
      </c>
      <c r="N54" s="26">
        <f t="shared" si="7"/>
        <v>23.522246223386123</v>
      </c>
      <c r="O54" s="26">
        <f t="shared" si="7"/>
        <v>25.505763867377542</v>
      </c>
      <c r="P54" s="9"/>
      <c r="Q54" s="9"/>
    </row>
    <row r="55" spans="1:17" x14ac:dyDescent="0.25">
      <c r="A55" s="34" t="s">
        <v>56</v>
      </c>
      <c r="B55" s="34"/>
      <c r="C55" s="34"/>
      <c r="D55" s="34"/>
      <c r="E55" s="34"/>
      <c r="F55" s="34"/>
      <c r="G55" s="18">
        <v>72000000</v>
      </c>
      <c r="H55" s="17" t="s">
        <v>57</v>
      </c>
      <c r="I55" s="17"/>
      <c r="J55" s="17" t="s">
        <v>58</v>
      </c>
      <c r="K55" s="17"/>
      <c r="L55" s="17"/>
    </row>
    <row r="56" spans="1:17" x14ac:dyDescent="0.25">
      <c r="A56" s="34" t="s">
        <v>59</v>
      </c>
      <c r="B56" s="34"/>
      <c r="C56" s="34"/>
      <c r="D56" s="34"/>
      <c r="E56" s="34"/>
      <c r="F56" s="34"/>
      <c r="G56" s="17">
        <v>52</v>
      </c>
      <c r="H56" s="17" t="s">
        <v>28</v>
      </c>
      <c r="I56" s="17" t="s">
        <v>60</v>
      </c>
      <c r="J56" s="17"/>
      <c r="K56" s="17"/>
      <c r="L56" s="17"/>
    </row>
    <row r="57" spans="1:17" x14ac:dyDescent="0.25">
      <c r="A57" s="43" t="s">
        <v>61</v>
      </c>
      <c r="B57" s="43"/>
      <c r="C57" s="43"/>
      <c r="D57" s="43"/>
      <c r="E57" s="43"/>
      <c r="F57" s="43"/>
      <c r="G57" s="26">
        <f>$G$56-$G$24+G54-10*LOG(1.38*(POWER(10,-23))*$G$55)-$G$45-$G$43</f>
        <v>6.2958242245904898</v>
      </c>
      <c r="H57" s="26">
        <f t="shared" ref="H57:O57" si="8">$G$56-$G$24+H54-10*LOG(1.38*(POWER(10,-23))*$G$55)-$G$45-$G$43</f>
        <v>8.0114618977348471</v>
      </c>
      <c r="I57" s="26">
        <f t="shared" si="8"/>
        <v>10.681103790922947</v>
      </c>
      <c r="J57" s="26">
        <f t="shared" si="8"/>
        <v>12.725147170329677</v>
      </c>
      <c r="K57" s="26">
        <f t="shared" si="8"/>
        <v>14.380794964384961</v>
      </c>
      <c r="L57" s="26">
        <f t="shared" si="8"/>
        <v>15.771916902545541</v>
      </c>
      <c r="M57" s="26">
        <f t="shared" si="8"/>
        <v>18.025377844498109</v>
      </c>
      <c r="N57" s="26">
        <f t="shared" si="8"/>
        <v>18.965501140827115</v>
      </c>
      <c r="O57" s="26">
        <f t="shared" si="8"/>
        <v>20.94901878481852</v>
      </c>
      <c r="P57" s="9"/>
      <c r="Q57" s="9"/>
    </row>
    <row r="58" spans="1:17" x14ac:dyDescent="0.25">
      <c r="A58" s="34" t="s">
        <v>62</v>
      </c>
      <c r="B58" s="34"/>
      <c r="C58" s="34"/>
      <c r="D58" s="34"/>
      <c r="E58" s="34"/>
      <c r="F58" s="34"/>
      <c r="G58" s="26">
        <f>$G$56-$G$24+G52-10*LOG(1.38*(POWER(10,-23))*$G$55)-$G$43</f>
        <v>7.1299111221663223</v>
      </c>
      <c r="H58" s="26">
        <f t="shared" ref="H58:O58" si="9">$G$56-$G$24+H52-10*LOG(1.38*(POWER(10,-23))*$G$55)-$G$43</f>
        <v>8.8666712032509061</v>
      </c>
      <c r="I58" s="26">
        <f t="shared" si="9"/>
        <v>11.564785282317803</v>
      </c>
      <c r="J58" s="26">
        <f t="shared" si="9"/>
        <v>13.627134196928967</v>
      </c>
      <c r="K58" s="26">
        <f t="shared" si="9"/>
        <v>15.29554141836822</v>
      </c>
      <c r="L58" s="26">
        <f t="shared" si="9"/>
        <v>16.696065615445395</v>
      </c>
      <c r="M58" s="26">
        <f t="shared" si="9"/>
        <v>18.962455505667851</v>
      </c>
      <c r="N58" s="26">
        <f t="shared" si="9"/>
        <v>19.907213955174644</v>
      </c>
      <c r="O58" s="26">
        <f t="shared" si="9"/>
        <v>21.899223834167277</v>
      </c>
      <c r="P58" s="9"/>
      <c r="Q58" s="9"/>
    </row>
    <row r="60" spans="1:17" x14ac:dyDescent="0.25">
      <c r="A60" s="34" t="s">
        <v>63</v>
      </c>
      <c r="B60" s="34"/>
      <c r="C60" s="34"/>
      <c r="D60" s="34"/>
      <c r="E60" s="34"/>
      <c r="F60" s="34"/>
      <c r="G60" s="17">
        <v>27500000</v>
      </c>
      <c r="H60" s="17" t="s">
        <v>64</v>
      </c>
      <c r="I60" s="17" t="s">
        <v>65</v>
      </c>
      <c r="J60" s="17"/>
      <c r="K60" s="17"/>
    </row>
    <row r="61" spans="1:17" x14ac:dyDescent="0.25">
      <c r="A61" s="43" t="s">
        <v>66</v>
      </c>
      <c r="B61" s="43"/>
      <c r="C61" s="43"/>
      <c r="D61" s="43"/>
      <c r="E61" s="43"/>
      <c r="F61" s="43"/>
      <c r="G61" s="26">
        <f>G57+10*LOG(1/$G$60)+10*LOG($G$55)</f>
        <v>10.47582225060053</v>
      </c>
      <c r="H61" s="26">
        <f t="shared" ref="H61:O62" si="10">H57+10*LOG(1/$G$60)+10*LOG($G$55)</f>
        <v>12.191459923744887</v>
      </c>
      <c r="I61" s="26">
        <f t="shared" si="10"/>
        <v>14.861101816932987</v>
      </c>
      <c r="J61" s="26">
        <f t="shared" si="10"/>
        <v>16.905145196339717</v>
      </c>
      <c r="K61" s="26">
        <f t="shared" si="10"/>
        <v>18.560792990395001</v>
      </c>
      <c r="L61" s="26">
        <f t="shared" si="10"/>
        <v>19.951914928555581</v>
      </c>
      <c r="M61" s="26">
        <f t="shared" si="10"/>
        <v>22.205375870508149</v>
      </c>
      <c r="N61" s="26">
        <f t="shared" si="10"/>
        <v>23.145499166837155</v>
      </c>
      <c r="O61" s="26">
        <f t="shared" si="10"/>
        <v>25.12901681082856</v>
      </c>
      <c r="P61" s="9"/>
      <c r="Q61" s="9"/>
    </row>
    <row r="62" spans="1:17" x14ac:dyDescent="0.25">
      <c r="A62" s="34" t="s">
        <v>67</v>
      </c>
      <c r="B62" s="34"/>
      <c r="C62" s="34"/>
      <c r="D62" s="34"/>
      <c r="E62" s="34"/>
      <c r="F62" s="34"/>
      <c r="G62" s="26">
        <f>G58+10*LOG(1/$G$60)+10*LOG($G$55)</f>
        <v>11.309909148176359</v>
      </c>
      <c r="H62" s="26">
        <f t="shared" si="10"/>
        <v>13.046669229260942</v>
      </c>
      <c r="I62" s="26">
        <f t="shared" si="10"/>
        <v>15.74478330832784</v>
      </c>
      <c r="J62" s="26">
        <f t="shared" si="10"/>
        <v>17.807132222939003</v>
      </c>
      <c r="K62" s="26">
        <f t="shared" si="10"/>
        <v>19.475539444378256</v>
      </c>
      <c r="L62" s="26">
        <f t="shared" si="10"/>
        <v>20.876063641455431</v>
      </c>
      <c r="M62" s="26">
        <f t="shared" si="10"/>
        <v>23.142453531677887</v>
      </c>
      <c r="N62" s="26">
        <f t="shared" si="10"/>
        <v>24.08721198118468</v>
      </c>
      <c r="O62" s="26">
        <f t="shared" si="10"/>
        <v>26.079221860177313</v>
      </c>
      <c r="P62" s="9"/>
      <c r="Q62" s="9"/>
    </row>
    <row r="66" spans="6:6" ht="15.75" x14ac:dyDescent="0.25">
      <c r="F66" s="10"/>
    </row>
    <row r="67" spans="6:6" ht="15.75" x14ac:dyDescent="0.25">
      <c r="F67" s="10"/>
    </row>
    <row r="68" spans="6:6" ht="15.75" x14ac:dyDescent="0.25">
      <c r="F68" s="10"/>
    </row>
  </sheetData>
  <mergeCells count="2">
    <mergeCell ref="A2:J2"/>
    <mergeCell ref="J9:L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-С 32</vt:lpstr>
      <vt:lpstr>--Ku 62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ddjanic</cp:lastModifiedBy>
  <dcterms:created xsi:type="dcterms:W3CDTF">2017-12-14T16:12:11Z</dcterms:created>
  <dcterms:modified xsi:type="dcterms:W3CDTF">2018-03-25T18:04:43Z</dcterms:modified>
</cp:coreProperties>
</file>