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autoCompressPictures="0"/>
  <bookViews>
    <workbookView xWindow="0" yWindow="0" windowWidth="25600" windowHeight="16060" firstSheet="3" activeTab="5"/>
  </bookViews>
  <sheets>
    <sheet name="Sample Size-Response (equal n)" sheetId="1" r:id="rId1"/>
    <sheet name="Sample Size-Response(unequal n)" sheetId="5" r:id="rId2"/>
    <sheet name="Sample size - Sales (equal n)" sheetId="8" r:id="rId3"/>
    <sheet name="Sample Size - Sales (unequal n)" sheetId="9" r:id="rId4"/>
    <sheet name="Confidence limits - response" sheetId="3" r:id="rId5"/>
    <sheet name="Confidence limits - sales" sheetId="10" r:id="rId6"/>
  </sheets>
  <definedNames>
    <definedName name="_xlnm.Print_Area" localSheetId="4">'Confidence limits - response'!$B$1:$K$19</definedName>
    <definedName name="_xlnm.Print_Area" localSheetId="5">'Confidence limits - sales'!$B$1:$M$20</definedName>
    <definedName name="_xlnm.Print_Area" localSheetId="2">'Sample size - Sales (equal n)'!$B$1:$G$23</definedName>
    <definedName name="_xlnm.Print_Area" localSheetId="3">'Sample Size - Sales (unequal n)'!$A$1:$G$16</definedName>
    <definedName name="_xlnm.Print_Area" localSheetId="0">'Sample Size-Response (equal n)'!$B$1:$G$16</definedName>
    <definedName name="_xlnm.Print_Area" localSheetId="1">'Sample Size-Response(unequal n)'!$A$1:$G$15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0" l="1"/>
  <c r="H17" i="10"/>
  <c r="F11" i="10"/>
  <c r="F12" i="10"/>
  <c r="K5" i="10"/>
  <c r="H10" i="10"/>
  <c r="D14" i="9"/>
  <c r="E14" i="9"/>
  <c r="D13" i="9"/>
  <c r="E13" i="9"/>
  <c r="B9" i="9"/>
  <c r="D10" i="9"/>
  <c r="E10" i="9"/>
  <c r="E12" i="8"/>
  <c r="D12" i="8"/>
  <c r="E11" i="8"/>
  <c r="D11" i="8"/>
  <c r="D8" i="8"/>
  <c r="D7" i="8"/>
  <c r="J5" i="3"/>
  <c r="E13" i="5"/>
  <c r="D13" i="5"/>
  <c r="E12" i="5"/>
  <c r="D12" i="5"/>
  <c r="B8" i="5"/>
  <c r="E9" i="5"/>
  <c r="D9" i="5"/>
  <c r="E9" i="3"/>
  <c r="F9" i="3"/>
  <c r="E10" i="3"/>
  <c r="D4" i="1"/>
  <c r="D5" i="1"/>
  <c r="D8" i="1"/>
  <c r="E8" i="1"/>
  <c r="D9" i="1"/>
  <c r="E9" i="1"/>
  <c r="I9" i="10"/>
  <c r="I10" i="10"/>
  <c r="C17" i="10"/>
  <c r="H9" i="10"/>
  <c r="D11" i="9"/>
  <c r="E11" i="9"/>
  <c r="E10" i="5"/>
  <c r="D10" i="5"/>
  <c r="F10" i="3"/>
  <c r="G10" i="3"/>
  <c r="F11" i="3"/>
  <c r="F12" i="3"/>
  <c r="C16" i="3"/>
  <c r="B16" i="3"/>
  <c r="J16" i="3"/>
  <c r="H9" i="3"/>
  <c r="G9" i="3"/>
  <c r="D17" i="10"/>
  <c r="I17" i="10"/>
  <c r="M17" i="10"/>
  <c r="F17" i="10"/>
  <c r="J17" i="10"/>
  <c r="H10" i="3"/>
  <c r="E16" i="3"/>
  <c r="H16" i="3"/>
  <c r="F16" i="3"/>
  <c r="D16" i="3"/>
  <c r="G16" i="3"/>
</calcChain>
</file>

<file path=xl/sharedStrings.xml><?xml version="1.0" encoding="utf-8"?>
<sst xmlns="http://schemas.openxmlformats.org/spreadsheetml/2006/main" count="137" uniqueCount="97">
  <si>
    <t>Response Rate</t>
  </si>
  <si>
    <t>80% chance of seeing this effect</t>
  </si>
  <si>
    <t xml:space="preserve">NOTE: </t>
  </si>
  <si>
    <t>Sample Size is calculated for the overall statistical test design</t>
  </si>
  <si>
    <t>Sample Size (N)</t>
  </si>
  <si>
    <r>
      <t>t</t>
    </r>
    <r>
      <rPr>
        <b/>
        <vertAlign val="subscript"/>
        <sz val="10"/>
        <rFont val="Arial"/>
        <family val="2"/>
      </rPr>
      <t>a/2</t>
    </r>
  </si>
  <si>
    <t>Recipe</t>
  </si>
  <si>
    <t>confidence limit (+)</t>
  </si>
  <si>
    <t>confidence limit (-)</t>
  </si>
  <si>
    <t>% Gain</t>
  </si>
  <si>
    <t>Test</t>
  </si>
  <si>
    <t>Control</t>
  </si>
  <si>
    <t>Confidence (1-a)</t>
  </si>
  <si>
    <t>Choice of t value</t>
  </si>
  <si>
    <t>Response
Rate</t>
  </si>
  <si>
    <t>standard
deviation</t>
  </si>
  <si>
    <t>Sample
Size</t>
  </si>
  <si>
    <t>Orders</t>
  </si>
  <si>
    <t>Test - control</t>
  </si>
  <si>
    <t>Max
difference (+)</t>
  </si>
  <si>
    <t>Min
difference (-)</t>
  </si>
  <si>
    <t>Confidence
Interval (±)</t>
  </si>
  <si>
    <t>= Confidence level</t>
  </si>
  <si>
    <r>
      <t xml:space="preserve">Smallest Effect
</t>
    </r>
    <r>
      <rPr>
        <sz val="10"/>
        <rFont val="Arial"/>
      </rPr>
      <t>(shown as % lift)</t>
    </r>
  </si>
  <si>
    <r>
      <t xml:space="preserve">Smallest Effect
</t>
    </r>
    <r>
      <rPr>
        <sz val="10"/>
        <rFont val="Arial"/>
      </rPr>
      <t>(in percentage points)</t>
    </r>
  </si>
  <si>
    <t xml:space="preserve">  For a 50/50 chance of seeing the "smallest effect"</t>
  </si>
  <si>
    <t xml:space="preserve">  For an 80% chance of seeing this effect</t>
  </si>
  <si>
    <t>Confidence based on t values: t(alpha) = 1.96, t(Beta) = 0 for 50-50 chance and 0.841 for 80% confidence</t>
  </si>
  <si>
    <t>For a split-run test, the sample size is evenly split between the test cell and control (each new test cell requires 1/2*N)</t>
  </si>
  <si>
    <t>50/50 chance of seeing this effect
(equals the "Line of Significance")</t>
  </si>
  <si>
    <r>
      <t xml:space="preserve">Smallest Effect
</t>
    </r>
    <r>
      <rPr>
        <sz val="10"/>
        <rFont val="Arial"/>
      </rPr>
      <t>How small a change you want to be significant
(as a percentage of the response rate)</t>
    </r>
  </si>
  <si>
    <r>
      <t>t values</t>
    </r>
    <r>
      <rPr>
        <b/>
        <sz val="10"/>
        <rFont val="Arial"/>
        <family val="2"/>
      </rPr>
      <t xml:space="preserve"> (t</t>
    </r>
    <r>
      <rPr>
        <b/>
        <vertAlign val="subscript"/>
        <sz val="10"/>
        <rFont val="Arial"/>
        <family val="2"/>
      </rPr>
      <t>a/2</t>
    </r>
    <r>
      <rPr>
        <b/>
        <sz val="10"/>
        <rFont val="Arial"/>
        <family val="2"/>
      </rPr>
      <t>)</t>
    </r>
  </si>
  <si>
    <r>
      <t xml:space="preserve">Smallest Significant Effect </t>
    </r>
    <r>
      <rPr>
        <sz val="10"/>
        <rFont val="Arial"/>
      </rPr>
      <t>(95% confidence)</t>
    </r>
  </si>
  <si>
    <t xml:space="preserve">Total population =  </t>
  </si>
  <si>
    <t xml:space="preserve">Choice of Test Sample =  </t>
  </si>
  <si>
    <r>
      <t xml:space="preserve">50/50 chance of seeing this effect
</t>
    </r>
    <r>
      <rPr>
        <sz val="9"/>
        <rFont val="Arial"/>
        <family val="2"/>
      </rPr>
      <t>(equals the "Line of Significance")</t>
    </r>
  </si>
  <si>
    <t>50% power</t>
  </si>
  <si>
    <t>80% power</t>
  </si>
  <si>
    <t xml:space="preserve">Response Rate (predicted) =  </t>
  </si>
  <si>
    <t>Percentage point change</t>
  </si>
  <si>
    <r>
      <t xml:space="preserve">% Lift
</t>
    </r>
    <r>
      <rPr>
        <sz val="9"/>
        <rFont val="Arial"/>
        <family val="2"/>
      </rPr>
      <t>(increase in test vs. control)</t>
    </r>
  </si>
  <si>
    <r>
      <t xml:space="preserve">Sample Size
</t>
    </r>
    <r>
      <rPr>
        <sz val="10"/>
        <rFont val="Arial"/>
      </rPr>
      <t>(per test group, n)</t>
    </r>
  </si>
  <si>
    <t>Choice of
t value</t>
  </si>
  <si>
    <t>= pooled standard deviation</t>
  </si>
  <si>
    <t>= standard deviation of (test - control)</t>
  </si>
  <si>
    <r>
      <t>Paired t-test</t>
    </r>
    <r>
      <rPr>
        <b/>
        <sz val="12"/>
        <color indexed="12"/>
        <rFont val="Arial"/>
        <family val="2"/>
      </rPr>
      <t xml:space="preserve">  </t>
    </r>
    <r>
      <rPr>
        <sz val="10"/>
        <color indexed="12"/>
        <rFont val="Arial"/>
        <family val="2"/>
      </rPr>
      <t>(test-control)</t>
    </r>
  </si>
  <si>
    <r>
      <rPr>
        <b/>
        <sz val="10"/>
        <rFont val="Arial"/>
        <family val="2"/>
      </rPr>
      <t>Max difference</t>
    </r>
    <r>
      <rPr>
        <sz val="10"/>
        <rFont val="Arial"/>
      </rPr>
      <t xml:space="preserve">
</t>
    </r>
    <r>
      <rPr>
        <sz val="9"/>
        <rFont val="Arial"/>
        <family val="2"/>
      </rPr>
      <t>(test-control)+2</t>
    </r>
    <r>
      <rPr>
        <sz val="9"/>
        <rFont val="Symbol"/>
        <family val="1"/>
        <charset val="2"/>
      </rPr>
      <t>s</t>
    </r>
  </si>
  <si>
    <r>
      <rPr>
        <b/>
        <sz val="10"/>
        <rFont val="Arial"/>
        <family val="2"/>
      </rPr>
      <t>Min difference</t>
    </r>
    <r>
      <rPr>
        <sz val="10"/>
        <rFont val="Arial"/>
      </rPr>
      <t xml:space="preserve">
</t>
    </r>
    <r>
      <rPr>
        <sz val="9"/>
        <rFont val="Arial"/>
        <family val="2"/>
      </rPr>
      <t>(test-control)-2</t>
    </r>
    <r>
      <rPr>
        <sz val="9"/>
        <rFont val="Symbol"/>
        <family val="1"/>
        <charset val="2"/>
      </rPr>
      <t>s</t>
    </r>
  </si>
  <si>
    <t>Confidence limits
for each group alone</t>
  </si>
  <si>
    <t>Confidence Limits for the
difference in response rate (t-c)</t>
  </si>
  <si>
    <t>Test Results</t>
  </si>
  <si>
    <r>
      <t xml:space="preserve">Significance for Test vs. Test
</t>
    </r>
    <r>
      <rPr>
        <sz val="10"/>
        <rFont val="Arial"/>
      </rPr>
      <t>(for multiple test cells of equal size)</t>
    </r>
  </si>
  <si>
    <t xml:space="preserve">Control (BAU) sample* =  </t>
  </si>
  <si>
    <t>* You may also adjust 
    the control sample size</t>
  </si>
  <si>
    <r>
      <t xml:space="preserve">(Input values into </t>
    </r>
    <r>
      <rPr>
        <i/>
        <u/>
        <sz val="9"/>
        <rFont val="Arial"/>
        <family val="2"/>
      </rPr>
      <t>green</t>
    </r>
    <r>
      <rPr>
        <i/>
        <sz val="9"/>
        <rFont val="Arial"/>
        <family val="2"/>
      </rPr>
      <t xml:space="preserve"> cells - confidence limits are shown in blue)</t>
    </r>
  </si>
  <si>
    <r>
      <t xml:space="preserve">Sample Size Calculator for Response Rate
</t>
    </r>
    <r>
      <rPr>
        <sz val="14"/>
        <color indexed="12"/>
        <rFont val="Arial"/>
        <family val="2"/>
      </rPr>
      <t>(A/B tests with unequal test and control groups)</t>
    </r>
  </si>
  <si>
    <r>
      <t xml:space="preserve">$ change
</t>
    </r>
    <r>
      <rPr>
        <sz val="10"/>
        <rFont val="Arial"/>
      </rPr>
      <t>(increase in test vs. BAU)</t>
    </r>
  </si>
  <si>
    <r>
      <t xml:space="preserve">(Input values in </t>
    </r>
    <r>
      <rPr>
        <i/>
        <u/>
        <sz val="9"/>
        <rFont val="Arial"/>
        <family val="2"/>
      </rPr>
      <t>green</t>
    </r>
    <r>
      <rPr>
        <i/>
        <sz val="9"/>
        <rFont val="Arial"/>
        <family val="2"/>
      </rPr>
      <t xml:space="preserve"> cells - results shown in blue)</t>
    </r>
  </si>
  <si>
    <t>Significant?</t>
  </si>
  <si>
    <t>Input numbers in GREEN cells, results shown in blue</t>
  </si>
  <si>
    <r>
      <t xml:space="preserve">Sample Size Calculator for Response Rate
</t>
    </r>
    <r>
      <rPr>
        <sz val="14"/>
        <color indexed="12"/>
        <rFont val="Arial"/>
        <family val="2"/>
      </rPr>
      <t>Multivariable "Mosaic" Tests
or equal A/B test and control groups (each equals N/2)</t>
    </r>
  </si>
  <si>
    <t>For a multivariable mosaic test, the sample size is split evenly among all test recipes</t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</si>
  <si>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Standard deviation =</t>
    </r>
  </si>
  <si>
    <r>
      <t xml:space="preserve">Smallest Effect
</t>
    </r>
    <r>
      <rPr>
        <sz val="10"/>
        <rFont val="Arial"/>
      </rPr>
      <t>How small a change you want to be significant
(as a percentage change in $ per unit)</t>
    </r>
  </si>
  <si>
    <t xml:space="preserve">  For 50% power
  (50/50 chance of seeing the "smallest effect" = the Line of Significance)</t>
  </si>
  <si>
    <t>(Input into green cells - answer calculated in blue)</t>
  </si>
  <si>
    <t xml:space="preserve">  For 80% power (80% chance of seeing this effect)</t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</si>
  <si>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Sample Size (N)</t>
    </r>
  </si>
  <si>
    <r>
      <t xml:space="preserve">Smallest Effect
</t>
    </r>
    <r>
      <rPr>
        <sz val="10"/>
        <rFont val="Arial"/>
      </rPr>
      <t>(as % change in $)</t>
    </r>
  </si>
  <si>
    <r>
      <t xml:space="preserve">Smallest Effect
</t>
    </r>
    <r>
      <rPr>
        <sz val="10"/>
        <rFont val="Arial"/>
      </rPr>
      <t>(as $ change)</t>
    </r>
  </si>
  <si>
    <t xml:space="preserve">   (outliers -- including extremely high-value transactions and zero values -- should be removed before calculating the average, 
    or you can use the Median value to reduce the impact of outliers)</t>
  </si>
  <si>
    <t>2. Standard deviation must be calculated using the same data as used to calculate the average (ie, without outliers to minimize variation).</t>
  </si>
  <si>
    <t>3. Sample Size is the number of "units" calculated for the overall statistical test design</t>
  </si>
  <si>
    <t xml:space="preserve">    (a) For a split-run test, the sample size is evenly split between the test cell and control (each new test cell requires 1/2*N)</t>
  </si>
  <si>
    <t xml:space="preserve">    (b) For a multivariable mosaic test, the sample size is split evenly among all test recipes</t>
  </si>
  <si>
    <t xml:space="preserve">    (c) Confidence based on t values: t(alpha) = 1.96, t(Beta) = 0 for 50-50 chance and 0.841 for 80% confidence
          All calculations are based on two-tailed tests (do not use 1-tailed tests).</t>
  </si>
  <si>
    <t xml:space="preserve">    (d) You can adjust confidence levels when analyzing results, but all sample size calculations should be based on 95% confidence
          (adjusting power (beta error) instead of confidence (alpha error)).</t>
  </si>
  <si>
    <r>
      <t xml:space="preserve">Sample Size Calculator for Financial Data
</t>
    </r>
    <r>
      <rPr>
        <sz val="14"/>
        <color indexed="12"/>
        <rFont val="Arial"/>
        <family val="2"/>
      </rPr>
      <t>A/B tests with unequal test and control groups</t>
    </r>
  </si>
  <si>
    <t xml:space="preserve">Average $ per unit =  </t>
  </si>
  <si>
    <t xml:space="preserve">     (Inputs in green cells - levels of confidence calculated in blue)</t>
  </si>
  <si>
    <t xml:space="preserve">Standard deviation =  </t>
  </si>
  <si>
    <t>Standard deviation</t>
  </si>
  <si>
    <r>
      <rPr>
        <b/>
        <u/>
        <sz val="10"/>
        <rFont val="Arial"/>
        <family val="2"/>
      </rPr>
      <t>Confidence Limits</t>
    </r>
    <r>
      <rPr>
        <sz val="10"/>
        <rFont val="Arial"/>
      </rPr>
      <t xml:space="preserve"> (%)</t>
    </r>
  </si>
  <si>
    <r>
      <rPr>
        <b/>
        <sz val="10"/>
        <rFont val="Arial"/>
        <family val="2"/>
      </rPr>
      <t>Max</t>
    </r>
    <r>
      <rPr>
        <sz val="10"/>
        <rFont val="Arial"/>
      </rPr>
      <t xml:space="preserve">
</t>
    </r>
    <r>
      <rPr>
        <sz val="9"/>
        <rFont val="Arial"/>
        <family val="2"/>
      </rPr>
      <t>(gain+2</t>
    </r>
    <r>
      <rPr>
        <sz val="9"/>
        <rFont val="Symbol"/>
        <family val="1"/>
        <charset val="2"/>
      </rPr>
      <t>s</t>
    </r>
    <r>
      <rPr>
        <sz val="9"/>
        <rFont val="Arial"/>
        <family val="2"/>
      </rPr>
      <t>)</t>
    </r>
  </si>
  <si>
    <r>
      <rPr>
        <b/>
        <sz val="10"/>
        <rFont val="Arial"/>
        <family val="2"/>
      </rPr>
      <t>Min</t>
    </r>
    <r>
      <rPr>
        <sz val="10"/>
        <rFont val="Arial"/>
      </rPr>
      <t xml:space="preserve">
</t>
    </r>
    <r>
      <rPr>
        <sz val="9"/>
        <rFont val="Arial"/>
        <family val="2"/>
      </rPr>
      <t>(gain-2</t>
    </r>
    <r>
      <rPr>
        <sz val="9"/>
        <rFont val="Symbol"/>
        <family val="1"/>
        <charset val="2"/>
      </rPr>
      <t>s</t>
    </r>
    <r>
      <rPr>
        <sz val="9"/>
        <rFont val="Arial"/>
        <family val="2"/>
      </rPr>
      <t>)</t>
    </r>
  </si>
  <si>
    <t>If the range from "Max" to "Min" includes zero -- if one value is positive and the other negative -- then the difference is not significant at that confidence level.</t>
  </si>
  <si>
    <t>(Input values into green cells - answer are calculated in blue)</t>
  </si>
  <si>
    <t>Sample Size Calculator for Financial Data ($ sales)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</si>
  <si>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Average $ sales =</t>
    </r>
  </si>
  <si>
    <t>1. Average $ sales (eg, average order value) should be calculated using data similar to the planned test period and segment.</t>
  </si>
  <si>
    <r>
      <t xml:space="preserve">% change
</t>
    </r>
    <r>
      <rPr>
        <sz val="10"/>
        <rFont val="Arial"/>
      </rPr>
      <t>(vs. average $)</t>
    </r>
  </si>
  <si>
    <t>Confidence Limits (t tests): A/B Test analyzing Financial Data</t>
  </si>
  <si>
    <t>Average
$ sales</t>
  </si>
  <si>
    <r>
      <rPr>
        <b/>
        <u/>
        <sz val="10"/>
        <rFont val="Arial"/>
        <family val="2"/>
      </rPr>
      <t>Confidence Limits</t>
    </r>
    <r>
      <rPr>
        <sz val="10"/>
        <rFont val="Arial"/>
      </rPr>
      <t xml:space="preserve"> ($ sales)</t>
    </r>
  </si>
  <si>
    <t>Max</t>
  </si>
  <si>
    <t>Min</t>
  </si>
  <si>
    <r>
      <t xml:space="preserve">Confidence Limits (t tests): Split-run Test
</t>
    </r>
    <r>
      <rPr>
        <sz val="14"/>
        <color indexed="12"/>
        <rFont val="Arial"/>
        <family val="2"/>
      </rPr>
      <t>(Response rate)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</si>
</sst>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.00_);[Red]\(&quot;$&quot;#,##0.00\)"/>
    <numFmt numFmtId="165" formatCode="0.0%"/>
    <numFmt numFmtId="166" formatCode="0.000000"/>
    <numFmt numFmtId="167" formatCode="0.00000"/>
    <numFmt numFmtId="168" formatCode="0.0000"/>
    <numFmt numFmtId="169" formatCode="#,##0.000"/>
    <numFmt numFmtId="170" formatCode="0.000%"/>
    <numFmt numFmtId="171" formatCode="0.000"/>
    <numFmt numFmtId="172" formatCode="#,##0.00000"/>
    <numFmt numFmtId="173" formatCode="&quot;$&quot;#,##0.00"/>
  </numFmts>
  <fonts count="32" x14ac:knownFonts="1">
    <font>
      <sz val="1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8"/>
      <color indexed="12"/>
      <name val="Arial"/>
      <family val="2"/>
    </font>
    <font>
      <b/>
      <sz val="12"/>
      <name val="Arial"/>
      <family val="2"/>
    </font>
    <font>
      <b/>
      <vertAlign val="subscript"/>
      <sz val="10"/>
      <name val="Arial"/>
      <family val="2"/>
    </font>
    <font>
      <i/>
      <sz val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2"/>
      <color indexed="12"/>
      <name val="Arial"/>
      <family val="2"/>
    </font>
    <font>
      <sz val="14"/>
      <color indexed="12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9"/>
      <name val="Symbol"/>
      <family val="1"/>
      <charset val="2"/>
    </font>
    <font>
      <i/>
      <u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4"/>
      <color rgb="FF0000FF"/>
      <name val="Arial"/>
      <family val="2"/>
    </font>
    <font>
      <sz val="10"/>
      <color theme="0" tint="-0.499984740745262"/>
      <name val="Arial"/>
      <family val="2"/>
    </font>
    <font>
      <i/>
      <sz val="9"/>
      <color theme="0" tint="-0.499984740745262"/>
      <name val="Arial"/>
      <family val="2"/>
    </font>
    <font>
      <b/>
      <u/>
      <sz val="11"/>
      <color rgb="FF0000FF"/>
      <name val="Arial"/>
      <family val="2"/>
    </font>
    <font>
      <i/>
      <sz val="9"/>
      <color rgb="FF003300"/>
      <name val="Arial"/>
      <family val="2"/>
    </font>
    <font>
      <b/>
      <sz val="14"/>
      <color rgb="FF0000FF"/>
      <name val="Arial"/>
      <family val="2"/>
    </font>
    <font>
      <vertAlign val="superscript"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29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 applyProtection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0" fontId="4" fillId="0" borderId="0" xfId="0" applyNumberFormat="1" applyFont="1"/>
    <xf numFmtId="10" fontId="4" fillId="3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/>
    <xf numFmtId="168" fontId="0" fillId="0" borderId="0" xfId="0" applyNumberFormat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0" xfId="0" applyBorder="1"/>
    <xf numFmtId="16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vertical="center"/>
    </xf>
    <xf numFmtId="168" fontId="2" fillId="0" borderId="3" xfId="0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7" fontId="0" fillId="0" borderId="0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0" borderId="0" xfId="2" applyFont="1"/>
    <xf numFmtId="0" fontId="11" fillId="0" borderId="0" xfId="2"/>
    <xf numFmtId="0" fontId="4" fillId="0" borderId="0" xfId="2" applyFont="1"/>
    <xf numFmtId="0" fontId="4" fillId="0" borderId="0" xfId="2" applyFont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/>
    </xf>
    <xf numFmtId="0" fontId="11" fillId="0" borderId="0" xfId="2" applyFont="1" applyAlignment="1">
      <alignment horizontal="right" vertical="center"/>
    </xf>
    <xf numFmtId="0" fontId="4" fillId="0" borderId="0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left" vertical="center" wrapText="1"/>
    </xf>
    <xf numFmtId="165" fontId="4" fillId="2" borderId="1" xfId="2" applyNumberFormat="1" applyFont="1" applyFill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0" xfId="2" applyAlignment="1">
      <alignment vertical="center"/>
    </xf>
    <xf numFmtId="3" fontId="0" fillId="6" borderId="1" xfId="0" applyNumberFormat="1" applyFill="1" applyBorder="1" applyAlignment="1">
      <alignment horizontal="center" vertical="center"/>
    </xf>
    <xf numFmtId="0" fontId="4" fillId="0" borderId="0" xfId="2" applyFont="1" applyAlignment="1">
      <alignment horizontal="right" vertical="center"/>
    </xf>
    <xf numFmtId="0" fontId="11" fillId="3" borderId="1" xfId="2" applyFont="1" applyFill="1" applyBorder="1" applyAlignment="1">
      <alignment horizontal="center" vertical="center" wrapText="1"/>
    </xf>
    <xf numFmtId="170" fontId="11" fillId="5" borderId="1" xfId="2" applyNumberFormat="1" applyFont="1" applyFill="1" applyBorder="1" applyAlignment="1">
      <alignment horizontal="center" vertical="center" wrapText="1"/>
    </xf>
    <xf numFmtId="0" fontId="11" fillId="0" borderId="0" xfId="1" applyAlignment="1">
      <alignment horizontal="center"/>
    </xf>
    <xf numFmtId="0" fontId="25" fillId="0" borderId="0" xfId="1" applyFont="1"/>
    <xf numFmtId="167" fontId="25" fillId="0" borderId="0" xfId="1" applyNumberFormat="1" applyFont="1" applyAlignment="1">
      <alignment horizontal="center"/>
    </xf>
    <xf numFmtId="168" fontId="11" fillId="0" borderId="0" xfId="1" applyNumberFormat="1" applyAlignment="1">
      <alignment horizontal="center"/>
    </xf>
    <xf numFmtId="0" fontId="11" fillId="0" borderId="0" xfId="1"/>
    <xf numFmtId="167" fontId="11" fillId="0" borderId="0" xfId="1" applyNumberFormat="1" applyAlignment="1">
      <alignment horizontal="center"/>
    </xf>
    <xf numFmtId="0" fontId="9" fillId="0" borderId="0" xfId="1" applyFont="1" applyAlignment="1">
      <alignment horizontal="left" vertical="center"/>
    </xf>
    <xf numFmtId="3" fontId="11" fillId="0" borderId="0" xfId="1" applyNumberFormat="1" applyAlignment="1">
      <alignment horizontal="center" vertical="center"/>
    </xf>
    <xf numFmtId="0" fontId="11" fillId="0" borderId="0" xfId="1" applyAlignment="1">
      <alignment horizontal="center" vertical="center"/>
    </xf>
    <xf numFmtId="166" fontId="11" fillId="0" borderId="0" xfId="1" applyNumberForma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1" fillId="0" borderId="0" xfId="1" applyAlignment="1">
      <alignment vertical="center"/>
    </xf>
    <xf numFmtId="167" fontId="11" fillId="0" borderId="0" xfId="1" applyNumberFormat="1" applyAlignment="1">
      <alignment horizontal="center" vertical="center"/>
    </xf>
    <xf numFmtId="0" fontId="11" fillId="0" borderId="2" xfId="1" applyBorder="1" applyAlignment="1">
      <alignment horizontal="center" vertical="center"/>
    </xf>
    <xf numFmtId="9" fontId="11" fillId="0" borderId="1" xfId="1" applyNumberFormat="1" applyBorder="1" applyAlignment="1">
      <alignment horizontal="center" vertical="center"/>
    </xf>
    <xf numFmtId="9" fontId="11" fillId="0" borderId="0" xfId="1" applyNumberFormat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11" fillId="0" borderId="0" xfId="1" quotePrefix="1" applyAlignment="1">
      <alignment vertical="center"/>
    </xf>
    <xf numFmtId="9" fontId="11" fillId="0" borderId="0" xfId="1" applyNumberFormat="1" applyAlignment="1">
      <alignment vertical="center"/>
    </xf>
    <xf numFmtId="168" fontId="2" fillId="0" borderId="3" xfId="1" applyNumberFormat="1" applyFont="1" applyBorder="1" applyAlignment="1">
      <alignment horizontal="center" vertical="center"/>
    </xf>
    <xf numFmtId="169" fontId="11" fillId="0" borderId="1" xfId="1" applyNumberFormat="1" applyBorder="1" applyAlignment="1">
      <alignment horizontal="center" vertical="center"/>
    </xf>
    <xf numFmtId="0" fontId="11" fillId="0" borderId="1" xfId="1" applyBorder="1" applyAlignment="1">
      <alignment horizontal="center" vertical="center"/>
    </xf>
    <xf numFmtId="171" fontId="11" fillId="0" borderId="1" xfId="1" applyNumberFormat="1" applyBorder="1" applyAlignment="1">
      <alignment horizontal="center" vertical="center"/>
    </xf>
    <xf numFmtId="0" fontId="11" fillId="0" borderId="0" xfId="1" applyBorder="1" applyAlignment="1">
      <alignment horizontal="center" vertical="center"/>
    </xf>
    <xf numFmtId="168" fontId="2" fillId="0" borderId="0" xfId="1" applyNumberFormat="1" applyFont="1" applyBorder="1" applyAlignment="1">
      <alignment horizontal="center"/>
    </xf>
    <xf numFmtId="0" fontId="11" fillId="0" borderId="0" xfId="1" applyBorder="1" applyAlignment="1">
      <alignment horizontal="center"/>
    </xf>
    <xf numFmtId="166" fontId="11" fillId="0" borderId="0" xfId="1" applyNumberFormat="1"/>
    <xf numFmtId="166" fontId="11" fillId="0" borderId="0" xfId="1" applyNumberFormat="1" applyAlignment="1">
      <alignment horizontal="center"/>
    </xf>
    <xf numFmtId="0" fontId="2" fillId="0" borderId="1" xfId="1" applyFont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2" fillId="0" borderId="0" xfId="1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68" fontId="8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1" fillId="0" borderId="1" xfId="1" applyBorder="1" applyAlignment="1">
      <alignment horizontal="center"/>
    </xf>
    <xf numFmtId="3" fontId="11" fillId="6" borderId="1" xfId="1" applyNumberFormat="1" applyFill="1" applyBorder="1" applyAlignment="1">
      <alignment horizontal="center"/>
    </xf>
    <xf numFmtId="2" fontId="11" fillId="0" borderId="1" xfId="1" applyNumberFormat="1" applyBorder="1" applyAlignment="1">
      <alignment horizontal="center"/>
    </xf>
    <xf numFmtId="2" fontId="11" fillId="0" borderId="0" xfId="1" applyNumberFormat="1" applyBorder="1" applyAlignment="1">
      <alignment horizontal="center"/>
    </xf>
    <xf numFmtId="165" fontId="8" fillId="0" borderId="0" xfId="1" applyNumberFormat="1" applyFont="1" applyAlignment="1">
      <alignment horizontal="center"/>
    </xf>
    <xf numFmtId="3" fontId="11" fillId="0" borderId="0" xfId="1" applyNumberFormat="1" applyFill="1" applyBorder="1" applyAlignment="1">
      <alignment horizontal="center"/>
    </xf>
    <xf numFmtId="4" fontId="11" fillId="0" borderId="0" xfId="1" applyNumberFormat="1" applyFill="1" applyBorder="1" applyAlignment="1">
      <alignment horizontal="center"/>
    </xf>
    <xf numFmtId="2" fontId="13" fillId="0" borderId="0" xfId="1" quotePrefix="1" applyNumberFormat="1" applyFont="1" applyBorder="1" applyAlignment="1">
      <alignment horizontal="left"/>
    </xf>
    <xf numFmtId="3" fontId="11" fillId="0" borderId="0" xfId="1" applyNumberFormat="1" applyAlignment="1">
      <alignment horizontal="center"/>
    </xf>
    <xf numFmtId="3" fontId="14" fillId="0" borderId="0" xfId="1" applyNumberFormat="1" applyFont="1" applyBorder="1" applyAlignment="1">
      <alignment horizontal="left"/>
    </xf>
    <xf numFmtId="3" fontId="11" fillId="0" borderId="0" xfId="1" applyNumberFormat="1" applyBorder="1" applyAlignment="1">
      <alignment horizontal="center"/>
    </xf>
    <xf numFmtId="166" fontId="11" fillId="0" borderId="0" xfId="1" applyNumberFormat="1" applyBorder="1" applyAlignment="1">
      <alignment horizontal="center"/>
    </xf>
    <xf numFmtId="168" fontId="11" fillId="0" borderId="0" xfId="1" applyNumberFormat="1" applyBorder="1" applyAlignment="1">
      <alignment horizontal="center"/>
    </xf>
    <xf numFmtId="0" fontId="11" fillId="0" borderId="0" xfId="1" applyBorder="1"/>
    <xf numFmtId="167" fontId="11" fillId="0" borderId="0" xfId="1" applyNumberFormat="1" applyBorder="1" applyAlignment="1">
      <alignment horizontal="center"/>
    </xf>
    <xf numFmtId="3" fontId="2" fillId="0" borderId="0" xfId="1" applyNumberFormat="1" applyFont="1" applyBorder="1" applyAlignment="1">
      <alignment horizontal="left"/>
    </xf>
    <xf numFmtId="3" fontId="2" fillId="4" borderId="1" xfId="1" applyNumberFormat="1" applyFont="1" applyFill="1" applyBorder="1" applyAlignment="1">
      <alignment horizontal="center" vertical="center"/>
    </xf>
    <xf numFmtId="3" fontId="11" fillId="0" borderId="1" xfId="1" applyNumberFormat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167" fontId="11" fillId="0" borderId="0" xfId="1" applyNumberFormat="1" applyBorder="1" applyAlignment="1">
      <alignment horizontal="center" vertical="center"/>
    </xf>
    <xf numFmtId="0" fontId="11" fillId="0" borderId="0" xfId="1" applyBorder="1" applyAlignment="1">
      <alignment vertical="center"/>
    </xf>
    <xf numFmtId="2" fontId="11" fillId="0" borderId="1" xfId="1" applyNumberFormat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0" fontId="11" fillId="0" borderId="4" xfId="1" applyBorder="1" applyAlignment="1">
      <alignment vertical="center" wrapText="1"/>
    </xf>
    <xf numFmtId="3" fontId="14" fillId="0" borderId="0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0" fontId="0" fillId="0" borderId="1" xfId="0" applyNumberFormat="1" applyFill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72" fontId="26" fillId="0" borderId="1" xfId="1" applyNumberFormat="1" applyFont="1" applyFill="1" applyBorder="1" applyAlignment="1">
      <alignment horizontal="center" vertical="center"/>
    </xf>
    <xf numFmtId="2" fontId="27" fillId="0" borderId="0" xfId="1" quotePrefix="1" applyNumberFormat="1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165" fontId="8" fillId="0" borderId="0" xfId="0" applyNumberFormat="1" applyFont="1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 wrapText="1"/>
    </xf>
    <xf numFmtId="170" fontId="0" fillId="5" borderId="1" xfId="0" applyNumberFormat="1" applyFill="1" applyBorder="1" applyAlignment="1">
      <alignment horizontal="center" vertical="center"/>
    </xf>
    <xf numFmtId="168" fontId="28" fillId="0" borderId="0" xfId="0" applyNumberFormat="1" applyFont="1" applyBorder="1" applyAlignment="1">
      <alignment horizontal="left" vertical="center"/>
    </xf>
    <xf numFmtId="0" fontId="11" fillId="0" borderId="0" xfId="0" applyFont="1"/>
    <xf numFmtId="170" fontId="2" fillId="5" borderId="1" xfId="0" applyNumberFormat="1" applyFont="1" applyFill="1" applyBorder="1" applyAlignment="1">
      <alignment horizontal="center" vertical="center"/>
    </xf>
    <xf numFmtId="170" fontId="11" fillId="2" borderId="1" xfId="2" applyNumberFormat="1" applyFont="1" applyFill="1" applyBorder="1" applyAlignment="1">
      <alignment horizontal="center" vertical="center"/>
    </xf>
    <xf numFmtId="173" fontId="2" fillId="5" borderId="1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64" fontId="4" fillId="0" borderId="0" xfId="2" applyNumberFormat="1" applyFont="1" applyBorder="1" applyAlignment="1">
      <alignment vertical="center"/>
    </xf>
    <xf numFmtId="165" fontId="4" fillId="5" borderId="1" xfId="2" applyNumberFormat="1" applyFont="1" applyFill="1" applyBorder="1" applyAlignment="1">
      <alignment horizontal="center" vertical="center" wrapText="1"/>
    </xf>
    <xf numFmtId="166" fontId="24" fillId="0" borderId="0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68" fontId="11" fillId="0" borderId="0" xfId="1" applyNumberFormat="1" applyAlignment="1">
      <alignment horizontal="center" vertical="center"/>
    </xf>
    <xf numFmtId="0" fontId="25" fillId="0" borderId="0" xfId="0" applyFont="1" applyAlignment="1">
      <alignment vertical="center"/>
    </xf>
    <xf numFmtId="167" fontId="25" fillId="0" borderId="0" xfId="0" applyNumberFormat="1" applyFont="1" applyAlignment="1">
      <alignment horizontal="center" vertical="center"/>
    </xf>
    <xf numFmtId="165" fontId="11" fillId="0" borderId="0" xfId="1" applyNumberFormat="1" applyBorder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right" vertical="center"/>
    </xf>
    <xf numFmtId="164" fontId="4" fillId="6" borderId="1" xfId="1" applyNumberFormat="1" applyFont="1" applyFill="1" applyBorder="1" applyAlignment="1">
      <alignment horizontal="center" vertical="center"/>
    </xf>
    <xf numFmtId="0" fontId="11" fillId="0" borderId="0" xfId="1" applyFont="1"/>
    <xf numFmtId="0" fontId="4" fillId="3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3" fontId="4" fillId="2" borderId="1" xfId="1" applyNumberFormat="1" applyFont="1" applyFill="1" applyBorder="1" applyAlignment="1" applyProtection="1">
      <alignment horizontal="center" vertical="center"/>
    </xf>
    <xf numFmtId="0" fontId="4" fillId="0" borderId="0" xfId="1" applyFont="1" applyAlignment="1">
      <alignment vertical="center"/>
    </xf>
    <xf numFmtId="9" fontId="4" fillId="0" borderId="0" xfId="1" applyNumberFormat="1" applyFont="1" applyAlignment="1">
      <alignment vertical="center"/>
    </xf>
    <xf numFmtId="0" fontId="4" fillId="0" borderId="0" xfId="1" applyFont="1"/>
    <xf numFmtId="0" fontId="4" fillId="3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173" fontId="4" fillId="2" borderId="1" xfId="1" applyNumberFormat="1" applyFont="1" applyFill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top"/>
    </xf>
    <xf numFmtId="0" fontId="22" fillId="0" borderId="0" xfId="1" applyFont="1"/>
    <xf numFmtId="0" fontId="11" fillId="0" borderId="0" xfId="1" applyFont="1" applyAlignment="1">
      <alignment horizontal="right"/>
    </xf>
    <xf numFmtId="164" fontId="4" fillId="6" borderId="1" xfId="2" applyNumberFormat="1" applyFont="1" applyFill="1" applyBorder="1" applyAlignment="1">
      <alignment horizontal="center" vertical="center"/>
    </xf>
    <xf numFmtId="173" fontId="4" fillId="2" borderId="1" xfId="2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11" fillId="0" borderId="0" xfId="1" applyAlignment="1">
      <alignment horizontal="center" vertical="center" wrapText="1"/>
    </xf>
    <xf numFmtId="168" fontId="28" fillId="0" borderId="0" xfId="1" applyNumberFormat="1" applyFont="1" applyBorder="1" applyAlignment="1">
      <alignment horizontal="left" vertical="center"/>
    </xf>
    <xf numFmtId="0" fontId="1" fillId="0" borderId="0" xfId="1" quotePrefix="1" applyFont="1"/>
    <xf numFmtId="3" fontId="1" fillId="0" borderId="0" xfId="1" applyNumberFormat="1" applyFont="1"/>
    <xf numFmtId="166" fontId="24" fillId="0" borderId="0" xfId="1" applyNumberFormat="1" applyFont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11" fillId="0" borderId="5" xfId="1" applyBorder="1" applyAlignment="1">
      <alignment vertical="center" wrapText="1"/>
    </xf>
    <xf numFmtId="0" fontId="11" fillId="0" borderId="0" xfId="1" applyAlignment="1">
      <alignment wrapText="1"/>
    </xf>
    <xf numFmtId="0" fontId="11" fillId="0" borderId="0" xfId="1" applyAlignment="1">
      <alignment horizontal="right"/>
    </xf>
    <xf numFmtId="10" fontId="4" fillId="6" borderId="1" xfId="0" applyNumberFormat="1" applyFont="1" applyFill="1" applyBorder="1" applyAlignment="1" applyProtection="1">
      <alignment horizontal="center" vertical="center"/>
      <protection locked="0"/>
    </xf>
    <xf numFmtId="9" fontId="4" fillId="6" borderId="1" xfId="0" applyNumberFormat="1" applyFont="1" applyFill="1" applyBorder="1" applyAlignment="1" applyProtection="1">
      <alignment horizontal="center" vertical="center"/>
      <protection locked="0"/>
    </xf>
    <xf numFmtId="3" fontId="4" fillId="6" borderId="1" xfId="0" applyNumberFormat="1" applyFont="1" applyFill="1" applyBorder="1" applyAlignment="1" applyProtection="1">
      <alignment horizontal="center" vertical="center"/>
      <protection locked="0"/>
    </xf>
    <xf numFmtId="10" fontId="4" fillId="6" borderId="1" xfId="2" applyNumberFormat="1" applyFont="1" applyFill="1" applyBorder="1" applyAlignment="1">
      <alignment horizontal="center" vertical="center"/>
    </xf>
    <xf numFmtId="10" fontId="10" fillId="0" borderId="5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3" fontId="4" fillId="6" borderId="1" xfId="2" applyNumberFormat="1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4" fillId="0" borderId="7" xfId="2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5" fillId="0" borderId="0" xfId="2" applyFont="1" applyAlignment="1">
      <alignment horizontal="center" wrapText="1"/>
    </xf>
    <xf numFmtId="0" fontId="0" fillId="0" borderId="0" xfId="0" applyAlignment="1"/>
    <xf numFmtId="10" fontId="13" fillId="0" borderId="4" xfId="2" applyNumberFormat="1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2" applyFont="1" applyBorder="1" applyAlignment="1">
      <alignment horizontal="left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/>
    </xf>
    <xf numFmtId="3" fontId="4" fillId="0" borderId="1" xfId="2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29" fillId="0" borderId="0" xfId="2" applyFont="1" applyAlignment="1">
      <alignment horizontal="left" vertical="top" wrapText="1"/>
    </xf>
    <xf numFmtId="0" fontId="22" fillId="0" borderId="0" xfId="1" applyFont="1" applyAlignment="1">
      <alignment wrapText="1"/>
    </xf>
    <xf numFmtId="0" fontId="11" fillId="0" borderId="0" xfId="1" applyAlignment="1">
      <alignment wrapText="1"/>
    </xf>
    <xf numFmtId="0" fontId="4" fillId="3" borderId="3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3" fontId="4" fillId="6" borderId="3" xfId="1" applyNumberFormat="1" applyFont="1" applyFill="1" applyBorder="1" applyAlignment="1" applyProtection="1">
      <alignment horizontal="center" vertical="center"/>
      <protection locked="0"/>
    </xf>
    <xf numFmtId="3" fontId="4" fillId="6" borderId="8" xfId="1" applyNumberFormat="1" applyFont="1" applyFill="1" applyBorder="1" applyAlignment="1" applyProtection="1">
      <alignment horizontal="center" vertical="center"/>
      <protection locked="0"/>
    </xf>
    <xf numFmtId="10" fontId="13" fillId="0" borderId="5" xfId="1" applyNumberFormat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" fillId="0" borderId="0" xfId="1" applyAlignment="1">
      <alignment horizont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9" fontId="4" fillId="6" borderId="3" xfId="1" applyNumberFormat="1" applyFont="1" applyFill="1" applyBorder="1" applyAlignment="1" applyProtection="1">
      <alignment horizontal="center" vertical="center"/>
      <protection locked="0"/>
    </xf>
    <xf numFmtId="9" fontId="4" fillId="6" borderId="8" xfId="1" applyNumberFormat="1" applyFont="1" applyFill="1" applyBorder="1" applyAlignment="1" applyProtection="1">
      <alignment horizontal="center" vertical="center"/>
      <protection locked="0"/>
    </xf>
    <xf numFmtId="0" fontId="11" fillId="0" borderId="4" xfId="1" applyFont="1" applyBorder="1" applyAlignment="1">
      <alignment horizontal="left" vertical="center" wrapText="1"/>
    </xf>
    <xf numFmtId="0" fontId="11" fillId="0" borderId="0" xfId="1" applyAlignment="1">
      <alignment vertical="center" wrapText="1"/>
    </xf>
    <xf numFmtId="3" fontId="11" fillId="6" borderId="1" xfId="1" applyNumberFormat="1" applyFill="1" applyBorder="1" applyAlignment="1">
      <alignment horizontal="center" vertical="center"/>
    </xf>
    <xf numFmtId="0" fontId="11" fillId="0" borderId="7" xfId="1" applyBorder="1" applyAlignment="1">
      <alignment horizontal="center" wrapText="1"/>
    </xf>
    <xf numFmtId="0" fontId="11" fillId="0" borderId="0" xfId="1" applyAlignment="1"/>
    <xf numFmtId="0" fontId="11" fillId="0" borderId="0" xfId="1" applyAlignment="1">
      <alignment horizontal="left" vertical="center" wrapText="1"/>
    </xf>
    <xf numFmtId="0" fontId="4" fillId="3" borderId="3" xfId="2" applyFont="1" applyFill="1" applyBorder="1" applyAlignment="1">
      <alignment horizontal="center" vertical="center"/>
    </xf>
    <xf numFmtId="3" fontId="11" fillId="0" borderId="1" xfId="1" applyNumberFormat="1" applyFill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11" fillId="0" borderId="9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6" fontId="10" fillId="0" borderId="0" xfId="1" applyNumberFormat="1" applyFont="1" applyBorder="1" applyAlignment="1">
      <alignment vertical="top" wrapText="1"/>
    </xf>
    <xf numFmtId="0" fontId="11" fillId="0" borderId="0" xfId="1" applyAlignment="1">
      <alignment vertical="top" wrapText="1"/>
    </xf>
    <xf numFmtId="3" fontId="11" fillId="4" borderId="3" xfId="1" applyNumberFormat="1" applyFont="1" applyFill="1" applyBorder="1" applyAlignment="1">
      <alignment horizontal="center" vertical="center" wrapText="1"/>
    </xf>
    <xf numFmtId="3" fontId="11" fillId="4" borderId="8" xfId="1" applyNumberFormat="1" applyFont="1" applyFill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11" fillId="4" borderId="8" xfId="1" applyFont="1" applyFill="1" applyBorder="1" applyAlignment="1">
      <alignment horizontal="center" vertical="center" wrapText="1"/>
    </xf>
    <xf numFmtId="0" fontId="11" fillId="0" borderId="8" xfId="1" applyBorder="1" applyAlignment="1">
      <alignment horizontal="center" vertical="center"/>
    </xf>
    <xf numFmtId="173" fontId="2" fillId="7" borderId="3" xfId="1" applyNumberFormat="1" applyFont="1" applyFill="1" applyBorder="1" applyAlignment="1">
      <alignment horizontal="center" vertical="center"/>
    </xf>
    <xf numFmtId="173" fontId="2" fillId="7" borderId="8" xfId="1" applyNumberFormat="1" applyFont="1" applyFill="1" applyBorder="1" applyAlignment="1">
      <alignment horizontal="center" vertical="center"/>
    </xf>
    <xf numFmtId="165" fontId="2" fillId="5" borderId="3" xfId="1" applyNumberFormat="1" applyFont="1" applyFill="1" applyBorder="1" applyAlignment="1">
      <alignment horizontal="center" vertical="center"/>
    </xf>
    <xf numFmtId="173" fontId="11" fillId="6" borderId="3" xfId="1" applyNumberFormat="1" applyFill="1" applyBorder="1" applyAlignment="1">
      <alignment horizontal="center"/>
    </xf>
    <xf numFmtId="173" fontId="11" fillId="6" borderId="8" xfId="1" applyNumberFormat="1" applyFill="1" applyBorder="1" applyAlignment="1">
      <alignment horizontal="center"/>
    </xf>
    <xf numFmtId="4" fontId="11" fillId="0" borderId="3" xfId="1" applyNumberFormat="1" applyFill="1" applyBorder="1" applyAlignment="1">
      <alignment horizontal="center"/>
    </xf>
    <xf numFmtId="0" fontId="11" fillId="0" borderId="8" xfId="1" applyFill="1" applyBorder="1" applyAlignment="1">
      <alignment horizontal="center"/>
    </xf>
    <xf numFmtId="3" fontId="11" fillId="0" borderId="9" xfId="1" applyNumberFormat="1" applyBorder="1" applyAlignment="1">
      <alignment horizontal="center" vertical="center" wrapText="1"/>
    </xf>
    <xf numFmtId="0" fontId="11" fillId="0" borderId="9" xfId="1" applyBorder="1" applyAlignment="1">
      <alignment horizontal="center" vertical="center" wrapText="1"/>
    </xf>
    <xf numFmtId="166" fontId="11" fillId="0" borderId="9" xfId="1" applyNumberFormat="1" applyBorder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13" fillId="0" borderId="9" xfId="1" applyFont="1" applyBorder="1" applyAlignment="1">
      <alignment vertical="center" wrapText="1"/>
    </xf>
    <xf numFmtId="0" fontId="10" fillId="0" borderId="9" xfId="1" applyFont="1" applyBorder="1" applyAlignment="1">
      <alignment vertical="center" wrapText="1"/>
    </xf>
    <xf numFmtId="0" fontId="11" fillId="0" borderId="9" xfId="1" applyBorder="1" applyAlignment="1">
      <alignment vertical="center" wrapText="1"/>
    </xf>
    <xf numFmtId="166" fontId="11" fillId="0" borderId="9" xfId="1" applyNumberFormat="1" applyFont="1" applyBorder="1" applyAlignment="1">
      <alignment horizontal="center" vertical="center" wrapText="1"/>
    </xf>
    <xf numFmtId="0" fontId="11" fillId="0" borderId="9" xfId="1" applyBorder="1" applyAlignment="1">
      <alignment horizontal="center" wrapText="1"/>
    </xf>
    <xf numFmtId="3" fontId="2" fillId="4" borderId="3" xfId="1" applyNumberFormat="1" applyFont="1" applyFill="1" applyBorder="1" applyAlignment="1">
      <alignment horizontal="center" vertical="center" wrapText="1"/>
    </xf>
    <xf numFmtId="3" fontId="2" fillId="4" borderId="8" xfId="1" applyNumberFormat="1" applyFont="1" applyFill="1" applyBorder="1" applyAlignment="1">
      <alignment horizontal="center" vertical="center" wrapText="1"/>
    </xf>
    <xf numFmtId="0" fontId="2" fillId="8" borderId="3" xfId="1" applyFont="1" applyFill="1" applyBorder="1" applyAlignment="1">
      <alignment horizontal="center" vertical="center" wrapText="1"/>
    </xf>
    <xf numFmtId="0" fontId="2" fillId="8" borderId="8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6</xdr:row>
      <xdr:rowOff>66675</xdr:rowOff>
    </xdr:from>
    <xdr:to>
      <xdr:col>3</xdr:col>
      <xdr:colOff>781050</xdr:colOff>
      <xdr:row>7</xdr:row>
      <xdr:rowOff>257175</xdr:rowOff>
    </xdr:to>
    <xdr:cxnSp macro="">
      <xdr:nvCxnSpPr>
        <xdr:cNvPr id="3" name="Straight Arrow Connector 2"/>
        <xdr:cNvCxnSpPr/>
      </xdr:nvCxnSpPr>
      <xdr:spPr>
        <a:xfrm>
          <a:off x="3800475" y="2609850"/>
          <a:ext cx="0" cy="495300"/>
        </a:xfrm>
        <a:prstGeom prst="straightConnector1">
          <a:avLst/>
        </a:prstGeom>
        <a:ln w="38100">
          <a:solidFill>
            <a:srgbClr val="6699FF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6</xdr:row>
      <xdr:rowOff>76200</xdr:rowOff>
    </xdr:from>
    <xdr:to>
      <xdr:col>4</xdr:col>
      <xdr:colOff>561975</xdr:colOff>
      <xdr:row>7</xdr:row>
      <xdr:rowOff>266700</xdr:rowOff>
    </xdr:to>
    <xdr:cxnSp macro="">
      <xdr:nvCxnSpPr>
        <xdr:cNvPr id="4" name="Straight Arrow Connector 3"/>
        <xdr:cNvCxnSpPr/>
      </xdr:nvCxnSpPr>
      <xdr:spPr>
        <a:xfrm>
          <a:off x="5105400" y="2619375"/>
          <a:ext cx="0" cy="495300"/>
        </a:xfrm>
        <a:prstGeom prst="straightConnector1">
          <a:avLst/>
        </a:prstGeom>
        <a:ln w="38100">
          <a:solidFill>
            <a:srgbClr val="6699FF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7</xdr:row>
      <xdr:rowOff>66675</xdr:rowOff>
    </xdr:from>
    <xdr:to>
      <xdr:col>3</xdr:col>
      <xdr:colOff>771525</xdr:colOff>
      <xdr:row>8</xdr:row>
      <xdr:rowOff>257175</xdr:rowOff>
    </xdr:to>
    <xdr:cxnSp macro="">
      <xdr:nvCxnSpPr>
        <xdr:cNvPr id="2" name="Straight Arrow Connector 1"/>
        <xdr:cNvCxnSpPr/>
      </xdr:nvCxnSpPr>
      <xdr:spPr>
        <a:xfrm>
          <a:off x="3790950" y="2943225"/>
          <a:ext cx="0" cy="495300"/>
        </a:xfrm>
        <a:prstGeom prst="straightConnector1">
          <a:avLst/>
        </a:prstGeom>
        <a:ln w="38100">
          <a:solidFill>
            <a:srgbClr val="6699FF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7</xdr:row>
      <xdr:rowOff>76200</xdr:rowOff>
    </xdr:from>
    <xdr:to>
      <xdr:col>4</xdr:col>
      <xdr:colOff>514350</xdr:colOff>
      <xdr:row>8</xdr:row>
      <xdr:rowOff>266700</xdr:rowOff>
    </xdr:to>
    <xdr:cxnSp macro="">
      <xdr:nvCxnSpPr>
        <xdr:cNvPr id="3" name="Straight Arrow Connector 2"/>
        <xdr:cNvCxnSpPr/>
      </xdr:nvCxnSpPr>
      <xdr:spPr>
        <a:xfrm>
          <a:off x="5057775" y="2952750"/>
          <a:ext cx="0" cy="495300"/>
        </a:xfrm>
        <a:prstGeom prst="straightConnector1">
          <a:avLst/>
        </a:prstGeom>
        <a:ln w="38100">
          <a:solidFill>
            <a:srgbClr val="6699FF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H16"/>
  <sheetViews>
    <sheetView showGridLines="0" topLeftCell="A11" workbookViewId="0">
      <selection activeCell="B16" sqref="B16"/>
    </sheetView>
  </sheetViews>
  <sheetFormatPr baseColWidth="10" defaultColWidth="8.83203125" defaultRowHeight="12" x14ac:dyDescent="0"/>
  <cols>
    <col min="1" max="1" width="4.1640625" customWidth="1"/>
    <col min="2" max="2" width="17.1640625" customWidth="1"/>
    <col min="3" max="3" width="39.33203125" customWidth="1"/>
    <col min="4" max="4" width="18.33203125" customWidth="1"/>
    <col min="5" max="5" width="19.5" customWidth="1"/>
    <col min="6" max="6" width="2" customWidth="1"/>
    <col min="7" max="7" width="29.33203125" bestFit="1" customWidth="1"/>
    <col min="8" max="8" width="5.5" customWidth="1"/>
    <col min="9" max="9" width="8.5" customWidth="1"/>
  </cols>
  <sheetData>
    <row r="1" spans="2:8" s="1" customFormat="1" ht="72" customHeight="1">
      <c r="B1" s="214" t="s">
        <v>60</v>
      </c>
      <c r="C1" s="215"/>
      <c r="D1" s="215"/>
      <c r="E1" s="215"/>
      <c r="F1" s="215"/>
      <c r="G1" s="215"/>
    </row>
    <row r="2" spans="2:8" ht="48" customHeight="1"/>
    <row r="3" spans="2:8" s="3" customFormat="1" ht="67.25" customHeight="1">
      <c r="B3" s="12" t="s">
        <v>0</v>
      </c>
      <c r="C3" s="13" t="s">
        <v>30</v>
      </c>
      <c r="D3" s="12" t="s">
        <v>4</v>
      </c>
      <c r="E3" s="51"/>
      <c r="F3" s="6"/>
    </row>
    <row r="4" spans="2:8" s="4" customFormat="1" ht="26.25" customHeight="1">
      <c r="B4" s="208">
        <v>0.01</v>
      </c>
      <c r="C4" s="209">
        <v>0.1</v>
      </c>
      <c r="D4" s="9">
        <f>(4*(1.96*1.96)*B4*(1-B4))/((C4*B4)*(C4*B4))</f>
        <v>152127.35999999999</v>
      </c>
      <c r="E4" s="53" t="s">
        <v>25</v>
      </c>
      <c r="F4" s="7"/>
    </row>
    <row r="5" spans="2:8" s="4" customFormat="1" ht="26.25" customHeight="1">
      <c r="B5" s="212" t="s">
        <v>86</v>
      </c>
      <c r="C5" s="213"/>
      <c r="D5" s="9">
        <f>(4*(2.801*2.801)*B4*(1-B4))/((C4*B4)*(C4*B4))</f>
        <v>310685.79960000003</v>
      </c>
      <c r="E5" s="53" t="s">
        <v>26</v>
      </c>
      <c r="F5" s="7"/>
      <c r="H5" s="5"/>
    </row>
    <row r="6" spans="2:8" s="2" customFormat="1" ht="30" customHeight="1">
      <c r="B6" s="14"/>
    </row>
    <row r="7" spans="2:8" s="3" customFormat="1" ht="30" customHeight="1">
      <c r="B7" s="15" t="s">
        <v>0</v>
      </c>
      <c r="C7" s="12" t="s">
        <v>4</v>
      </c>
      <c r="D7" s="13" t="s">
        <v>23</v>
      </c>
      <c r="E7" s="13" t="s">
        <v>24</v>
      </c>
      <c r="F7" s="6"/>
    </row>
    <row r="8" spans="2:8" s="3" customFormat="1" ht="26.25" customHeight="1">
      <c r="B8" s="208">
        <v>0.01</v>
      </c>
      <c r="C8" s="210">
        <v>300000</v>
      </c>
      <c r="D8" s="10">
        <f>SQRT(4*(1.96*1.96)*B8*(1-B8)/C8)/B8</f>
        <v>7.1210336328372995E-2</v>
      </c>
      <c r="E8" s="50">
        <f>D8*B8</f>
        <v>7.1210336328372998E-4</v>
      </c>
      <c r="F8" s="8"/>
      <c r="G8" s="54" t="s">
        <v>29</v>
      </c>
    </row>
    <row r="9" spans="2:8" s="3" customFormat="1" ht="26.25" customHeight="1">
      <c r="B9" s="212"/>
      <c r="C9" s="213"/>
      <c r="D9" s="10">
        <f>SQRT(4*(2.801*2.801)*B8*(1-B8)/C8)/B8</f>
        <v>0.10176538370192489</v>
      </c>
      <c r="E9" s="50">
        <f>D9*B8</f>
        <v>1.0176538370192489E-3</v>
      </c>
      <c r="F9" s="8"/>
      <c r="G9" s="53" t="s">
        <v>1</v>
      </c>
    </row>
    <row r="10" spans="2:8" ht="30" customHeight="1"/>
    <row r="11" spans="2:8">
      <c r="B11" s="11" t="s">
        <v>2</v>
      </c>
      <c r="C11" t="s">
        <v>3</v>
      </c>
    </row>
    <row r="12" spans="2:8">
      <c r="C12" s="52" t="s">
        <v>28</v>
      </c>
    </row>
    <row r="13" spans="2:8">
      <c r="C13" t="s">
        <v>61</v>
      </c>
    </row>
    <row r="14" spans="2:8">
      <c r="C14" t="s">
        <v>27</v>
      </c>
    </row>
    <row r="15" spans="2:8" ht="22.5" customHeight="1"/>
    <row r="16" spans="2:8" ht="61.5" customHeight="1">
      <c r="B16" s="160"/>
    </row>
  </sheetData>
  <mergeCells count="3">
    <mergeCell ref="B5:C5"/>
    <mergeCell ref="B9:C9"/>
    <mergeCell ref="B1:G1"/>
  </mergeCells>
  <phoneticPr fontId="0" type="noConversion"/>
  <printOptions horizontalCentered="1"/>
  <pageMargins left="0.25" right="0.25" top="0.5" bottom="0.5" header="0.5" footer="0.5"/>
  <pageSetup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G23" sqref="G23"/>
    </sheetView>
  </sheetViews>
  <sheetFormatPr baseColWidth="10" defaultColWidth="8.83203125" defaultRowHeight="12" x14ac:dyDescent="0"/>
  <cols>
    <col min="1" max="1" width="23" style="61" customWidth="1"/>
    <col min="2" max="2" width="3.83203125" style="61" customWidth="1"/>
    <col min="3" max="3" width="18.5" style="61" customWidth="1"/>
    <col min="4" max="4" width="22.83203125" style="61" bestFit="1" customWidth="1"/>
    <col min="5" max="5" width="16.6640625" style="61" customWidth="1"/>
    <col min="6" max="6" width="2" style="61" customWidth="1"/>
    <col min="7" max="7" width="33" style="61" customWidth="1"/>
    <col min="8" max="8" width="5.5" style="61" customWidth="1"/>
    <col min="9" max="9" width="8.5" style="61" customWidth="1"/>
    <col min="10" max="16384" width="8.83203125" style="61"/>
  </cols>
  <sheetData>
    <row r="1" spans="1:256" ht="47.25" customHeight="1">
      <c r="A1" s="220" t="s">
        <v>55</v>
      </c>
      <c r="B1" s="221"/>
      <c r="C1" s="221"/>
      <c r="D1" s="221"/>
      <c r="E1" s="221"/>
      <c r="F1" s="221"/>
      <c r="G1" s="221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</row>
    <row r="2" spans="1:256" ht="48" customHeight="1"/>
    <row r="3" spans="1:256" ht="24" customHeight="1">
      <c r="A3" s="72"/>
      <c r="B3" s="72"/>
      <c r="C3" s="74" t="s">
        <v>38</v>
      </c>
      <c r="D3" s="211">
        <v>0.01</v>
      </c>
      <c r="E3" s="222" t="s">
        <v>79</v>
      </c>
      <c r="F3" s="223"/>
      <c r="G3" s="224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</row>
    <row r="4" spans="1:256" ht="24" customHeight="1"/>
    <row r="5" spans="1:256" ht="24" customHeight="1">
      <c r="A5" s="62"/>
      <c r="B5" s="62"/>
      <c r="C5" s="62"/>
      <c r="D5" s="225" t="s">
        <v>32</v>
      </c>
      <c r="E5" s="225"/>
      <c r="F5" s="221"/>
      <c r="G5" s="221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</row>
    <row r="6" spans="1:256" ht="36" customHeight="1">
      <c r="A6" s="63"/>
      <c r="B6" s="226" t="s">
        <v>41</v>
      </c>
      <c r="C6" s="227"/>
      <c r="D6" s="64" t="s">
        <v>40</v>
      </c>
      <c r="E6" s="75" t="s">
        <v>39</v>
      </c>
      <c r="F6" s="65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/>
      <c r="HM6" s="63"/>
      <c r="HN6" s="63"/>
      <c r="HO6" s="63"/>
      <c r="HP6" s="63"/>
      <c r="HQ6" s="63"/>
      <c r="HR6" s="63"/>
      <c r="HS6" s="63"/>
      <c r="HT6" s="63"/>
      <c r="HU6" s="63"/>
      <c r="HV6" s="63"/>
      <c r="HW6" s="63"/>
      <c r="HX6" s="63"/>
      <c r="HY6" s="63"/>
      <c r="HZ6" s="63"/>
      <c r="IA6" s="63"/>
      <c r="IB6" s="63"/>
      <c r="IC6" s="63"/>
      <c r="ID6" s="63"/>
      <c r="IE6" s="63"/>
      <c r="IF6" s="63"/>
      <c r="IG6" s="63"/>
      <c r="IH6" s="63"/>
      <c r="II6" s="63"/>
      <c r="IJ6" s="63"/>
      <c r="IK6" s="63"/>
      <c r="IL6" s="63"/>
      <c r="IM6" s="63"/>
      <c r="IN6" s="63"/>
      <c r="IO6" s="63"/>
      <c r="IP6" s="63"/>
      <c r="IQ6" s="63"/>
      <c r="IR6" s="63"/>
      <c r="IS6" s="63"/>
      <c r="IT6" s="63"/>
      <c r="IU6" s="63"/>
      <c r="IV6" s="63"/>
    </row>
    <row r="7" spans="1:256" ht="24" customHeight="1">
      <c r="A7" s="66" t="s">
        <v>33</v>
      </c>
      <c r="B7" s="228">
        <v>300000</v>
      </c>
      <c r="C7" s="229"/>
      <c r="D7" s="67"/>
      <c r="E7" s="67"/>
      <c r="F7" s="65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</row>
    <row r="8" spans="1:256" ht="24" customHeight="1">
      <c r="A8" s="66" t="s">
        <v>52</v>
      </c>
      <c r="B8" s="228">
        <f>B7-B9</f>
        <v>200000</v>
      </c>
      <c r="C8" s="229"/>
      <c r="D8" s="67"/>
      <c r="E8" s="67"/>
      <c r="F8" s="65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  <c r="IT8" s="63"/>
      <c r="IU8" s="63"/>
      <c r="IV8" s="63"/>
    </row>
    <row r="9" spans="1:256" ht="24" customHeight="1">
      <c r="A9" s="66" t="s">
        <v>34</v>
      </c>
      <c r="B9" s="216">
        <v>100000</v>
      </c>
      <c r="C9" s="217"/>
      <c r="D9" s="69">
        <f>E9/D3</f>
        <v>7.5529967562550968E-2</v>
      </c>
      <c r="E9" s="76">
        <f>1.96*SQRT((1/B9)+(1/B8))*SQRT((((B9-1)*(D3*(1-D3)))+((B8-1)*(D3*(1-D3))))/(B8+B9-2))</f>
        <v>7.5529967562550971E-4</v>
      </c>
      <c r="F9" s="65"/>
      <c r="G9" s="68" t="s">
        <v>35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</row>
    <row r="10" spans="1:256" ht="24" customHeight="1">
      <c r="A10" s="63"/>
      <c r="B10" s="63"/>
      <c r="C10" s="63"/>
      <c r="D10" s="69">
        <f>E10/D3</f>
        <v>0.1079384893585231</v>
      </c>
      <c r="E10" s="162">
        <f>2.801*SQRT((1/B9)+(1/B8))*SQRT((((B9-1)*(D3*(1-D3)))+((B8-1)*(D3*(1-D3))))/(B8+B9-2))</f>
        <v>1.0793848935852311E-3</v>
      </c>
      <c r="F10" s="70"/>
      <c r="G10" s="71" t="s">
        <v>1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</row>
    <row r="11" spans="1:256" ht="45" customHeight="1">
      <c r="A11" s="63"/>
      <c r="B11" s="230" t="s">
        <v>53</v>
      </c>
      <c r="C11" s="215"/>
      <c r="D11" s="218" t="s">
        <v>51</v>
      </c>
      <c r="E11" s="219"/>
      <c r="F11" s="70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</row>
    <row r="12" spans="1:256" ht="24" customHeight="1">
      <c r="D12" s="69">
        <f>E12/D3</f>
        <v>8.7214494208244994E-2</v>
      </c>
      <c r="E12" s="76">
        <f>SQRT(4*(1.96*1.96)*D3*(1-D3)/(B9*2))</f>
        <v>8.7214494208244996E-4</v>
      </c>
      <c r="G12" s="72" t="s">
        <v>36</v>
      </c>
    </row>
    <row r="13" spans="1:256" ht="24" customHeight="1">
      <c r="D13" s="69">
        <f>E13/D3</f>
        <v>0.1246366317741297</v>
      </c>
      <c r="E13" s="162">
        <f>SQRT(4*(2.801*2.801)*D3*(1-D3)/(B9*2))</f>
        <v>1.2463663177412971E-3</v>
      </c>
      <c r="G13" s="72" t="s">
        <v>37</v>
      </c>
    </row>
    <row r="14" spans="1:256" ht="16.5" customHeight="1"/>
    <row r="15" spans="1:256" ht="82.5" customHeight="1">
      <c r="G15" s="195"/>
    </row>
  </sheetData>
  <mergeCells count="9">
    <mergeCell ref="B9:C9"/>
    <mergeCell ref="D11:E11"/>
    <mergeCell ref="A1:G1"/>
    <mergeCell ref="E3:G3"/>
    <mergeCell ref="D5:G5"/>
    <mergeCell ref="B6:C6"/>
    <mergeCell ref="B7:C7"/>
    <mergeCell ref="B8:C8"/>
    <mergeCell ref="B11:C11"/>
  </mergeCells>
  <printOptions horizontalCentered="1"/>
  <pageMargins left="0.5" right="0.5" top="0.75" bottom="0.75" header="0.3" footer="0.3"/>
  <pageSetup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H22"/>
  <sheetViews>
    <sheetView showGridLines="0" workbookViewId="0">
      <selection activeCell="G22" sqref="G22"/>
    </sheetView>
  </sheetViews>
  <sheetFormatPr baseColWidth="10" defaultColWidth="8.83203125" defaultRowHeight="12" x14ac:dyDescent="0"/>
  <cols>
    <col min="1" max="1" width="4.6640625" style="81" customWidth="1"/>
    <col min="2" max="2" width="8.83203125" style="81" customWidth="1"/>
    <col min="3" max="3" width="33.6640625" style="81" customWidth="1"/>
    <col min="4" max="4" width="19" style="81" customWidth="1"/>
    <col min="5" max="5" width="17.5" style="81" customWidth="1"/>
    <col min="6" max="6" width="2" style="81" customWidth="1"/>
    <col min="7" max="7" width="42.33203125" style="81" customWidth="1"/>
    <col min="8" max="8" width="5.5" style="81" customWidth="1"/>
    <col min="9" max="9" width="8.5" style="81" customWidth="1"/>
    <col min="10" max="16384" width="8.83203125" style="81"/>
  </cols>
  <sheetData>
    <row r="1" spans="2:8" s="176" customFormat="1" ht="21">
      <c r="B1" s="239" t="s">
        <v>87</v>
      </c>
      <c r="C1" s="240"/>
      <c r="D1" s="240"/>
      <c r="E1" s="240"/>
      <c r="F1" s="240"/>
      <c r="G1" s="240"/>
    </row>
    <row r="2" spans="2:8" ht="45" customHeight="1"/>
    <row r="3" spans="2:8" ht="24.5" customHeight="1">
      <c r="C3" s="177" t="s">
        <v>88</v>
      </c>
      <c r="D3" s="178">
        <v>50</v>
      </c>
    </row>
    <row r="4" spans="2:8" ht="24.5" customHeight="1">
      <c r="C4" s="177" t="s">
        <v>62</v>
      </c>
      <c r="D4" s="178">
        <v>25</v>
      </c>
      <c r="G4" s="179"/>
    </row>
    <row r="5" spans="2:8" ht="24" customHeight="1"/>
    <row r="6" spans="2:8" s="182" customFormat="1" ht="45" customHeight="1">
      <c r="B6" s="241" t="s">
        <v>63</v>
      </c>
      <c r="C6" s="242"/>
      <c r="D6" s="180" t="s">
        <v>4</v>
      </c>
      <c r="E6" s="181"/>
      <c r="F6" s="181"/>
    </row>
    <row r="7" spans="2:8" s="184" customFormat="1" ht="26.25" customHeight="1">
      <c r="B7" s="243">
        <v>0.1</v>
      </c>
      <c r="C7" s="244"/>
      <c r="D7" s="183">
        <f>(4*1.96*1.96*D4*D4)/((B7*D3)*(B7*D3))</f>
        <v>384.16</v>
      </c>
      <c r="E7" s="245" t="s">
        <v>64</v>
      </c>
      <c r="F7" s="246"/>
      <c r="G7" s="246"/>
    </row>
    <row r="8" spans="2:8" s="184" customFormat="1" ht="26.25" customHeight="1">
      <c r="B8" s="237" t="s">
        <v>65</v>
      </c>
      <c r="C8" s="238"/>
      <c r="D8" s="183">
        <f>(4*(2.801*2.801)*D4*D4)/((B7*D3)*(B7*D3))</f>
        <v>784.56010000000015</v>
      </c>
      <c r="E8" s="245" t="s">
        <v>66</v>
      </c>
      <c r="F8" s="246"/>
      <c r="G8" s="246"/>
      <c r="H8" s="185"/>
    </row>
    <row r="9" spans="2:8" s="186" customFormat="1" ht="24" customHeight="1"/>
    <row r="10" spans="2:8" s="182" customFormat="1" ht="36" customHeight="1">
      <c r="B10" s="233" t="s">
        <v>67</v>
      </c>
      <c r="C10" s="234"/>
      <c r="D10" s="187" t="s">
        <v>68</v>
      </c>
      <c r="E10" s="187" t="s">
        <v>69</v>
      </c>
      <c r="F10" s="181"/>
    </row>
    <row r="11" spans="2:8" s="182" customFormat="1" ht="26.25" customHeight="1">
      <c r="B11" s="235">
        <v>1000</v>
      </c>
      <c r="C11" s="236"/>
      <c r="D11" s="188">
        <f>SQRT(4*1.96*1.96*D4*D4/B11)/D3</f>
        <v>6.1980642139300234E-2</v>
      </c>
      <c r="E11" s="189">
        <f>SQRT(4*1.96*1.96*D4*D4/B11)</f>
        <v>3.0990321069650117</v>
      </c>
      <c r="F11" s="190"/>
      <c r="G11" s="191" t="s">
        <v>36</v>
      </c>
    </row>
    <row r="12" spans="2:8" s="182" customFormat="1" ht="26.25" customHeight="1">
      <c r="B12" s="237" t="s">
        <v>65</v>
      </c>
      <c r="C12" s="238"/>
      <c r="D12" s="188">
        <f>SQRT(4*(2.801*2.801)*D4*D4/B11)/D3</f>
        <v>8.8575397261316302E-2</v>
      </c>
      <c r="E12" s="189">
        <f>SQRT(4*(2.801*2.801)*D4*D4/B11)</f>
        <v>4.4287698630658152</v>
      </c>
      <c r="F12" s="190"/>
      <c r="G12" s="192" t="s">
        <v>37</v>
      </c>
    </row>
    <row r="13" spans="2:8" ht="45.75" customHeight="1"/>
    <row r="14" spans="2:8" s="194" customFormat="1" ht="10">
      <c r="B14" s="193" t="s">
        <v>2</v>
      </c>
      <c r="C14" s="231" t="s">
        <v>89</v>
      </c>
      <c r="D14" s="231"/>
      <c r="E14" s="231"/>
      <c r="F14" s="231"/>
      <c r="G14" s="231"/>
    </row>
    <row r="15" spans="2:8" s="194" customFormat="1" ht="21.75" customHeight="1">
      <c r="C15" s="231" t="s">
        <v>70</v>
      </c>
      <c r="D15" s="231"/>
      <c r="E15" s="231"/>
      <c r="F15" s="231"/>
      <c r="G15" s="231"/>
    </row>
    <row r="16" spans="2:8" s="194" customFormat="1" ht="10">
      <c r="C16" s="231" t="s">
        <v>71</v>
      </c>
      <c r="D16" s="231"/>
      <c r="E16" s="231"/>
      <c r="F16" s="231"/>
      <c r="G16" s="231"/>
    </row>
    <row r="17" spans="3:7" s="194" customFormat="1" ht="10">
      <c r="C17" s="194" t="s">
        <v>72</v>
      </c>
    </row>
    <row r="18" spans="3:7" s="194" customFormat="1" ht="10">
      <c r="C18" s="194" t="s">
        <v>73</v>
      </c>
    </row>
    <row r="19" spans="3:7" s="194" customFormat="1" ht="10">
      <c r="C19" s="194" t="s">
        <v>74</v>
      </c>
    </row>
    <row r="20" spans="3:7" s="194" customFormat="1" ht="21.75" customHeight="1">
      <c r="C20" s="231" t="s">
        <v>75</v>
      </c>
      <c r="D20" s="232"/>
      <c r="E20" s="232"/>
      <c r="F20" s="232"/>
      <c r="G20" s="232"/>
    </row>
    <row r="21" spans="3:7" s="194" customFormat="1" ht="21.75" customHeight="1">
      <c r="C21" s="231" t="s">
        <v>76</v>
      </c>
      <c r="D21" s="232"/>
      <c r="E21" s="232"/>
      <c r="F21" s="232"/>
      <c r="G21" s="232"/>
    </row>
    <row r="22" spans="3:7" ht="26.25" customHeight="1">
      <c r="G22" s="195"/>
    </row>
  </sheetData>
  <mergeCells count="14">
    <mergeCell ref="B1:G1"/>
    <mergeCell ref="B6:C6"/>
    <mergeCell ref="B7:C7"/>
    <mergeCell ref="E7:G7"/>
    <mergeCell ref="B8:C8"/>
    <mergeCell ref="E8:G8"/>
    <mergeCell ref="C20:G20"/>
    <mergeCell ref="C21:G21"/>
    <mergeCell ref="B10:C10"/>
    <mergeCell ref="B11:C11"/>
    <mergeCell ref="B12:C12"/>
    <mergeCell ref="C14:G14"/>
    <mergeCell ref="C15:G15"/>
    <mergeCell ref="C16:G16"/>
  </mergeCells>
  <printOptions horizontalCentered="1"/>
  <pageMargins left="0.25" right="0.25" top="0.5" bottom="0.25" header="0.5" footer="0.25"/>
  <pageSetup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V18"/>
  <sheetViews>
    <sheetView showGridLines="0" workbookViewId="0">
      <selection activeCell="G16" sqref="G16"/>
    </sheetView>
  </sheetViews>
  <sheetFormatPr baseColWidth="10" defaultColWidth="8.83203125" defaultRowHeight="12" x14ac:dyDescent="0"/>
  <cols>
    <col min="1" max="1" width="23" style="61" bestFit="1" customWidth="1"/>
    <col min="2" max="2" width="3.83203125" style="61" customWidth="1"/>
    <col min="3" max="3" width="18.5" style="61" customWidth="1"/>
    <col min="4" max="4" width="22.83203125" style="61" bestFit="1" customWidth="1"/>
    <col min="5" max="5" width="16.6640625" style="61" bestFit="1" customWidth="1"/>
    <col min="6" max="6" width="2" style="61" customWidth="1"/>
    <col min="7" max="7" width="33" style="61" customWidth="1"/>
    <col min="8" max="8" width="5.5" style="61" customWidth="1"/>
    <col min="9" max="9" width="8.5" style="61" customWidth="1"/>
    <col min="10" max="16384" width="8.83203125" style="61"/>
  </cols>
  <sheetData>
    <row r="1" spans="1:256" ht="49.5" customHeight="1">
      <c r="A1" s="220" t="s">
        <v>77</v>
      </c>
      <c r="B1" s="249"/>
      <c r="C1" s="249"/>
      <c r="D1" s="249"/>
      <c r="E1" s="249"/>
      <c r="F1" s="249"/>
      <c r="G1" s="249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</row>
    <row r="2" spans="1:256" ht="45" customHeight="1"/>
    <row r="3" spans="1:256" ht="24" customHeight="1">
      <c r="A3" s="72"/>
      <c r="B3" s="72"/>
      <c r="C3" s="74" t="s">
        <v>78</v>
      </c>
      <c r="D3" s="196">
        <v>50</v>
      </c>
      <c r="E3" s="222" t="s">
        <v>79</v>
      </c>
      <c r="F3" s="223"/>
      <c r="G3" s="250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</row>
    <row r="4" spans="1:256" ht="24" customHeight="1">
      <c r="A4" s="72"/>
      <c r="B4" s="72"/>
      <c r="C4" s="74" t="s">
        <v>80</v>
      </c>
      <c r="D4" s="196">
        <v>25</v>
      </c>
      <c r="E4" s="165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  <c r="IR4" s="72"/>
      <c r="IS4" s="72"/>
      <c r="IT4" s="72"/>
      <c r="IU4" s="72"/>
      <c r="IV4" s="72"/>
    </row>
    <row r="5" spans="1:256" ht="24" customHeight="1"/>
    <row r="6" spans="1:256" ht="24" customHeight="1">
      <c r="A6" s="62"/>
      <c r="B6" s="62"/>
      <c r="C6" s="62"/>
      <c r="D6" s="225" t="s">
        <v>32</v>
      </c>
      <c r="E6" s="225"/>
      <c r="F6" s="249"/>
      <c r="G6" s="249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</row>
    <row r="7" spans="1:256" ht="36" customHeight="1">
      <c r="A7" s="63"/>
      <c r="B7" s="251" t="s">
        <v>4</v>
      </c>
      <c r="C7" s="227"/>
      <c r="D7" s="64" t="s">
        <v>56</v>
      </c>
      <c r="E7" s="64" t="s">
        <v>90</v>
      </c>
      <c r="F7" s="65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</row>
    <row r="8" spans="1:256" ht="24" customHeight="1">
      <c r="A8" s="66" t="s">
        <v>33</v>
      </c>
      <c r="B8" s="228">
        <v>2500</v>
      </c>
      <c r="C8" s="252"/>
      <c r="D8" s="67"/>
      <c r="E8" s="67"/>
      <c r="F8" s="65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  <c r="IT8" s="63"/>
      <c r="IU8" s="63"/>
      <c r="IV8" s="63"/>
    </row>
    <row r="9" spans="1:256" ht="24" customHeight="1">
      <c r="A9" s="66" t="s">
        <v>52</v>
      </c>
      <c r="B9" s="228">
        <f>B8-B10</f>
        <v>1500</v>
      </c>
      <c r="C9" s="252"/>
      <c r="D9" s="67"/>
      <c r="E9" s="67"/>
      <c r="F9" s="65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</row>
    <row r="10" spans="1:256" ht="24" customHeight="1">
      <c r="A10" s="66" t="s">
        <v>34</v>
      </c>
      <c r="B10" s="216">
        <v>1000</v>
      </c>
      <c r="C10" s="247"/>
      <c r="D10" s="197">
        <f>1.96*SQRT((1/B10)+(1/B9))*SQRT((((B10-1)*D4*D4)+((B9-1)*D4*D4))/(B9+B10-2))</f>
        <v>2.0004166232729284</v>
      </c>
      <c r="E10" s="166">
        <f>D10/D3</f>
        <v>4.0008332465458568E-2</v>
      </c>
      <c r="F10" s="65"/>
      <c r="G10" s="68" t="s">
        <v>35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</row>
    <row r="11" spans="1:256" ht="24" customHeight="1">
      <c r="A11" s="63"/>
      <c r="B11" s="63"/>
      <c r="C11" s="63"/>
      <c r="D11" s="197">
        <f>2.801*SQRT((1/B10)+(1/B9))*SQRT((((B10-1)*D4*D4)+((B9-1)*D4*D4))/(B9+B10-2))</f>
        <v>2.8587586539732008</v>
      </c>
      <c r="E11" s="69">
        <f>D11/D3</f>
        <v>5.7175173079464015E-2</v>
      </c>
      <c r="F11" s="70"/>
      <c r="G11" s="71" t="s">
        <v>1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</row>
    <row r="12" spans="1:256" ht="45" customHeight="1">
      <c r="A12" s="63"/>
      <c r="B12" s="230" t="s">
        <v>53</v>
      </c>
      <c r="C12" s="232"/>
      <c r="D12" s="218" t="s">
        <v>51</v>
      </c>
      <c r="E12" s="248"/>
      <c r="F12" s="70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</row>
    <row r="13" spans="1:256" ht="24" customHeight="1">
      <c r="D13" s="197">
        <f>SQRT(4*(1.96*1.96)*D4*D4/(B10*2))</f>
        <v>2.1913466179497938</v>
      </c>
      <c r="E13" s="166">
        <f>D13/D3</f>
        <v>4.3826932358995874E-2</v>
      </c>
      <c r="G13" s="72" t="s">
        <v>36</v>
      </c>
    </row>
    <row r="14" spans="1:256" ht="24" customHeight="1">
      <c r="D14" s="197">
        <f>SQRT(4*(2.801*2.801)*D4*D4/(B10*2))</f>
        <v>3.1316132024884555</v>
      </c>
      <c r="E14" s="69">
        <f>D14/D3</f>
        <v>6.2632264049769112E-2</v>
      </c>
      <c r="G14" s="72" t="s">
        <v>37</v>
      </c>
    </row>
    <row r="15" spans="1:256" ht="16.5" customHeight="1"/>
    <row r="16" spans="1:256" ht="86.25" customHeight="1">
      <c r="G16" s="195"/>
    </row>
    <row r="17" ht="24" customHeight="1"/>
    <row r="18" ht="24" customHeight="1"/>
  </sheetData>
  <mergeCells count="9">
    <mergeCell ref="B10:C10"/>
    <mergeCell ref="B12:C12"/>
    <mergeCell ref="D12:E12"/>
    <mergeCell ref="A1:G1"/>
    <mergeCell ref="E3:G3"/>
    <mergeCell ref="D6:G6"/>
    <mergeCell ref="B7:C7"/>
    <mergeCell ref="B8:C8"/>
    <mergeCell ref="B9:C9"/>
  </mergeCells>
  <printOptions horizontalCentered="1"/>
  <pageMargins left="0.5" right="0.5" top="0.75" bottom="0.5" header="0.3" footer="0.3"/>
  <pageSetup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19"/>
  <sheetViews>
    <sheetView showGridLines="0" workbookViewId="0">
      <selection activeCell="J19" sqref="J19"/>
    </sheetView>
  </sheetViews>
  <sheetFormatPr baseColWidth="10" defaultColWidth="8.83203125" defaultRowHeight="12" x14ac:dyDescent="0"/>
  <cols>
    <col min="1" max="1" width="4.5" customWidth="1"/>
    <col min="2" max="2" width="15" style="17" bestFit="1" customWidth="1"/>
    <col min="3" max="3" width="10.1640625" style="16" bestFit="1" customWidth="1"/>
    <col min="4" max="4" width="11.6640625" style="16" bestFit="1" customWidth="1"/>
    <col min="5" max="5" width="11.1640625" style="17" bestFit="1" customWidth="1"/>
    <col min="6" max="6" width="8.5" style="17" customWidth="1"/>
    <col min="7" max="8" width="10.6640625" style="18" customWidth="1"/>
    <col min="9" max="9" width="4.83203125" style="21" customWidth="1"/>
    <col min="10" max="10" width="7" bestFit="1" customWidth="1"/>
    <col min="11" max="11" width="16.1640625" bestFit="1" customWidth="1"/>
    <col min="12" max="12" width="7.6640625" customWidth="1"/>
    <col min="13" max="14" width="10.6640625" style="19" customWidth="1"/>
  </cols>
  <sheetData>
    <row r="1" spans="2:14" s="173" customFormat="1" ht="54.75" customHeight="1">
      <c r="B1" s="259" t="s">
        <v>96</v>
      </c>
      <c r="C1" s="260"/>
      <c r="D1" s="260"/>
      <c r="E1" s="260"/>
      <c r="F1" s="260"/>
      <c r="G1" s="260"/>
      <c r="H1" s="260"/>
      <c r="I1" s="260"/>
      <c r="J1" s="260"/>
      <c r="K1" s="261"/>
      <c r="M1" s="174"/>
      <c r="N1" s="174"/>
    </row>
    <row r="2" spans="2:14" s="28" customFormat="1" ht="42" customHeight="1">
      <c r="B2" s="171" t="s">
        <v>59</v>
      </c>
      <c r="C2" s="24"/>
      <c r="D2" s="24"/>
      <c r="E2" s="25"/>
      <c r="F2" s="25"/>
      <c r="G2" s="26"/>
      <c r="H2" s="26"/>
      <c r="I2" s="27"/>
      <c r="M2" s="29"/>
      <c r="N2" s="29"/>
    </row>
    <row r="3" spans="2:14" s="28" customFormat="1" ht="32.25" customHeight="1">
      <c r="B3" s="59" t="s">
        <v>31</v>
      </c>
      <c r="C3" s="24"/>
      <c r="D3" s="24"/>
      <c r="E3" s="25"/>
      <c r="F3" s="25"/>
      <c r="G3" s="26"/>
      <c r="H3" s="26"/>
      <c r="I3" s="27"/>
      <c r="J3" s="30" t="s">
        <v>13</v>
      </c>
      <c r="M3" s="29"/>
    </row>
    <row r="4" spans="2:14" s="28" customFormat="1" ht="18" customHeight="1">
      <c r="B4" s="37" t="s">
        <v>12</v>
      </c>
      <c r="C4" s="38">
        <v>0.99</v>
      </c>
      <c r="D4" s="38">
        <v>0.95</v>
      </c>
      <c r="E4" s="38">
        <v>0.9</v>
      </c>
      <c r="F4" s="38">
        <v>0.8</v>
      </c>
      <c r="G4" s="38">
        <v>0.75</v>
      </c>
      <c r="H4" s="38">
        <v>0.7</v>
      </c>
      <c r="I4" s="27"/>
      <c r="J4" s="58">
        <v>0.95</v>
      </c>
      <c r="K4" s="39" t="s">
        <v>22</v>
      </c>
      <c r="M4" s="29"/>
    </row>
    <row r="5" spans="2:14" s="28" customFormat="1" ht="18" customHeight="1">
      <c r="B5" s="40" t="s">
        <v>5</v>
      </c>
      <c r="C5" s="41">
        <v>2.5760000000000001</v>
      </c>
      <c r="D5" s="42">
        <v>1.9610000000000001</v>
      </c>
      <c r="E5" s="42">
        <v>1.645</v>
      </c>
      <c r="F5" s="42">
        <v>1.282</v>
      </c>
      <c r="G5" s="42">
        <v>1.159</v>
      </c>
      <c r="H5" s="42">
        <v>1.036</v>
      </c>
      <c r="I5" s="43"/>
      <c r="J5" s="170">
        <f>IF(J4=D4,D5,IF(J4=C4,C5,IF(J4=E4,E5,IF(J4=F4,F5,IF(J4=G4,G5,IF(J4=H4,H5,"input value"))))))</f>
        <v>1.9610000000000001</v>
      </c>
      <c r="K5" s="44"/>
      <c r="L5" s="44"/>
      <c r="M5" s="29"/>
    </row>
    <row r="6" spans="2:14" ht="30" customHeight="1">
      <c r="B6" s="22"/>
      <c r="C6" s="23"/>
      <c r="D6" s="23"/>
      <c r="E6" s="23"/>
      <c r="G6" s="20"/>
      <c r="I6" s="22"/>
      <c r="J6" s="23"/>
      <c r="K6" s="23"/>
      <c r="L6" s="23"/>
      <c r="N6"/>
    </row>
    <row r="7" spans="2:14" ht="32.25" customHeight="1">
      <c r="B7" s="159" t="s">
        <v>50</v>
      </c>
      <c r="C7" s="253" t="s">
        <v>54</v>
      </c>
      <c r="D7" s="253"/>
      <c r="E7" s="254"/>
      <c r="G7" s="255" t="s">
        <v>48</v>
      </c>
      <c r="H7" s="256"/>
      <c r="I7" s="22"/>
      <c r="J7" s="23"/>
      <c r="K7" s="23"/>
      <c r="L7" s="23"/>
      <c r="N7"/>
    </row>
    <row r="8" spans="2:14" s="145" customFormat="1" ht="30" customHeight="1">
      <c r="B8" s="137" t="s">
        <v>6</v>
      </c>
      <c r="C8" s="138" t="s">
        <v>16</v>
      </c>
      <c r="D8" s="139" t="s">
        <v>17</v>
      </c>
      <c r="E8" s="140" t="s">
        <v>14</v>
      </c>
      <c r="F8" s="141" t="s">
        <v>15</v>
      </c>
      <c r="G8" s="157" t="s">
        <v>7</v>
      </c>
      <c r="H8" s="157" t="s">
        <v>8</v>
      </c>
      <c r="I8" s="142"/>
      <c r="J8" s="143"/>
      <c r="K8" s="142"/>
      <c r="L8" s="144"/>
      <c r="M8" s="144"/>
    </row>
    <row r="9" spans="2:14" s="28" customFormat="1">
      <c r="B9" s="42" t="s">
        <v>10</v>
      </c>
      <c r="C9" s="73">
        <v>100000</v>
      </c>
      <c r="D9" s="73">
        <v>1200</v>
      </c>
      <c r="E9" s="146">
        <f>D9/C9</f>
        <v>1.2E-2</v>
      </c>
      <c r="F9" s="147">
        <f>SQRT(E9*(1-E9))</f>
        <v>0.10888526071052959</v>
      </c>
      <c r="G9" s="158">
        <f>E9+(J5*F9/SQRT(C9))</f>
        <v>1.2675222163261841E-2</v>
      </c>
      <c r="H9" s="158">
        <f>E9-(J5*F9/SQRT(C9))</f>
        <v>1.1324777836738159E-2</v>
      </c>
      <c r="I9" s="148"/>
      <c r="J9" s="148"/>
      <c r="K9" s="148"/>
      <c r="L9" s="29"/>
      <c r="M9" s="29"/>
    </row>
    <row r="10" spans="2:14" s="28" customFormat="1">
      <c r="B10" s="42" t="s">
        <v>11</v>
      </c>
      <c r="C10" s="73">
        <v>100000</v>
      </c>
      <c r="D10" s="73">
        <v>1000</v>
      </c>
      <c r="E10" s="146">
        <f>D10/C10</f>
        <v>0.01</v>
      </c>
      <c r="F10" s="147">
        <f>SQRT(E10*(1-E10))</f>
        <v>9.9498743710662002E-2</v>
      </c>
      <c r="G10" s="158">
        <f>E10+(J5*F10/SQRT(C10))</f>
        <v>1.06170142453785E-2</v>
      </c>
      <c r="H10" s="158">
        <f>E10-(J5*F10/SQRT(C10))</f>
        <v>9.3829857546215006E-3</v>
      </c>
      <c r="I10" s="148"/>
      <c r="J10" s="148"/>
      <c r="K10" s="148"/>
      <c r="L10" s="29"/>
      <c r="M10" s="29"/>
    </row>
    <row r="11" spans="2:14" s="154" customFormat="1">
      <c r="B11" s="149"/>
      <c r="C11" s="150"/>
      <c r="D11" s="150"/>
      <c r="E11" s="151"/>
      <c r="F11" s="152">
        <f>SQRT((((C9-1)*(F9*F9))+((C10-1)*(F10*F10)))/(C9+C10-2))</f>
        <v>0.10429765098025937</v>
      </c>
      <c r="G11" s="153" t="s">
        <v>43</v>
      </c>
      <c r="I11" s="155"/>
      <c r="J11" s="155"/>
      <c r="K11" s="155"/>
      <c r="L11" s="156"/>
      <c r="M11" s="156"/>
    </row>
    <row r="12" spans="2:14" s="154" customFormat="1">
      <c r="B12" s="149"/>
      <c r="C12" s="150"/>
      <c r="D12" s="150"/>
      <c r="E12" s="151"/>
      <c r="F12" s="152">
        <f>F11*SQRT((1/C9)+(1/C10))</f>
        <v>4.6643327497081509E-4</v>
      </c>
      <c r="G12" s="153" t="s">
        <v>44</v>
      </c>
      <c r="I12" s="155"/>
      <c r="J12" s="155"/>
      <c r="K12" s="155"/>
      <c r="L12" s="156"/>
      <c r="M12" s="156"/>
    </row>
    <row r="13" spans="2:14" ht="24" customHeight="1"/>
    <row r="14" spans="2:14" s="35" customFormat="1" ht="29.25" customHeight="1">
      <c r="B14" s="136" t="s">
        <v>45</v>
      </c>
      <c r="C14" s="32"/>
      <c r="D14" s="32"/>
      <c r="E14" s="23"/>
      <c r="F14" s="257" t="s">
        <v>49</v>
      </c>
      <c r="G14" s="258"/>
      <c r="H14" s="258"/>
      <c r="I14" s="34"/>
      <c r="M14" s="36"/>
      <c r="N14" s="36"/>
    </row>
    <row r="15" spans="2:14" s="28" customFormat="1" ht="30" customHeight="1">
      <c r="B15" s="139" t="s">
        <v>18</v>
      </c>
      <c r="C15" s="45" t="s">
        <v>21</v>
      </c>
      <c r="D15" s="45" t="s">
        <v>19</v>
      </c>
      <c r="E15" s="46" t="s">
        <v>20</v>
      </c>
      <c r="F15" s="56" t="s">
        <v>9</v>
      </c>
      <c r="G15" s="56" t="s">
        <v>94</v>
      </c>
      <c r="H15" s="56" t="s">
        <v>95</v>
      </c>
      <c r="J15" s="167" t="s">
        <v>58</v>
      </c>
      <c r="L15" s="48"/>
      <c r="M15" s="48"/>
      <c r="N15" s="47"/>
    </row>
    <row r="16" spans="2:14" s="28" customFormat="1" ht="23.5" customHeight="1">
      <c r="B16" s="161">
        <f>E9-E10</f>
        <v>2E-3</v>
      </c>
      <c r="C16" s="49">
        <f>J5*F12</f>
        <v>9.1467565221776839E-4</v>
      </c>
      <c r="D16" s="49">
        <f>B16+C16</f>
        <v>2.9146756522177683E-3</v>
      </c>
      <c r="E16" s="49">
        <f>B16-C16</f>
        <v>1.0853243477822318E-3</v>
      </c>
      <c r="F16" s="57">
        <f>B16/E10</f>
        <v>0.2</v>
      </c>
      <c r="G16" s="57">
        <f>D16/E10</f>
        <v>0.2914675652217768</v>
      </c>
      <c r="H16" s="57">
        <f>E16/E10</f>
        <v>0.10853243477822318</v>
      </c>
      <c r="I16" s="55"/>
      <c r="J16" s="168" t="str">
        <f>IF(ABS(C16)&lt;ABS(B16),"Yes!","No")</f>
        <v>Yes!</v>
      </c>
      <c r="L16" s="48"/>
      <c r="M16" s="48"/>
      <c r="N16" s="47"/>
    </row>
    <row r="17" spans="2:18" ht="20.25" customHeight="1">
      <c r="B17" s="31"/>
      <c r="C17" s="32"/>
      <c r="D17" s="32"/>
      <c r="E17" s="23"/>
      <c r="F17" s="23"/>
      <c r="G17" s="33"/>
      <c r="H17" s="33"/>
      <c r="I17" s="34"/>
      <c r="J17" s="35"/>
      <c r="K17" s="35"/>
      <c r="L17" s="35"/>
      <c r="M17" s="36"/>
      <c r="N17" s="36"/>
      <c r="O17" s="35"/>
    </row>
    <row r="18" spans="2:18" s="81" customFormat="1" ht="28.5" customHeight="1">
      <c r="B18" s="262" t="s">
        <v>85</v>
      </c>
      <c r="C18" s="215"/>
      <c r="D18" s="215"/>
      <c r="E18" s="215"/>
      <c r="F18" s="215"/>
      <c r="G18" s="215"/>
      <c r="H18" s="215"/>
      <c r="I18" s="206"/>
      <c r="J18" s="206"/>
      <c r="K18" s="206"/>
      <c r="L18" s="124"/>
      <c r="M18" s="125"/>
      <c r="N18" s="125"/>
      <c r="O18" s="125"/>
      <c r="P18" s="126"/>
      <c r="Q18" s="126"/>
      <c r="R18" s="125"/>
    </row>
    <row r="19" spans="2:18" s="81" customFormat="1" ht="86.25" customHeight="1">
      <c r="B19" s="179"/>
      <c r="C19" s="206"/>
      <c r="D19" s="206"/>
      <c r="E19" s="206"/>
      <c r="F19" s="206"/>
      <c r="G19" s="206"/>
      <c r="H19" s="206"/>
      <c r="I19" s="206"/>
      <c r="J19" s="77"/>
      <c r="K19" s="206"/>
      <c r="L19" s="80"/>
      <c r="N19" s="207"/>
      <c r="P19" s="82"/>
      <c r="Q19" s="82"/>
    </row>
  </sheetData>
  <mergeCells count="5">
    <mergeCell ref="C7:E7"/>
    <mergeCell ref="G7:H7"/>
    <mergeCell ref="F14:H14"/>
    <mergeCell ref="B1:K1"/>
    <mergeCell ref="B18:H18"/>
  </mergeCells>
  <phoneticPr fontId="0" type="noConversion"/>
  <printOptions horizontalCentered="1"/>
  <pageMargins left="0.25" right="0.25" top="0.5" bottom="0.25" header="0.5" footer="0.25"/>
  <pageSetup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20"/>
  <sheetViews>
    <sheetView showGridLines="0" tabSelected="1" workbookViewId="0">
      <selection activeCell="P20" sqref="P20"/>
    </sheetView>
  </sheetViews>
  <sheetFormatPr baseColWidth="10" defaultColWidth="8.83203125" defaultRowHeight="12" x14ac:dyDescent="0"/>
  <cols>
    <col min="1" max="1" width="4.6640625" style="81" customWidth="1"/>
    <col min="2" max="2" width="15" style="77" bestFit="1" customWidth="1"/>
    <col min="3" max="3" width="11" style="120" customWidth="1"/>
    <col min="4" max="5" width="7.83203125" style="120" customWidth="1"/>
    <col min="6" max="7" width="7.83203125" style="77" customWidth="1"/>
    <col min="8" max="8" width="10.83203125" style="77" customWidth="1"/>
    <col min="9" max="9" width="10.83203125" style="104" customWidth="1"/>
    <col min="10" max="10" width="1.33203125" style="104" customWidth="1"/>
    <col min="11" max="11" width="9.5" style="104" bestFit="1" customWidth="1"/>
    <col min="12" max="12" width="1.5" style="80" customWidth="1"/>
    <col min="13" max="13" width="13.6640625" style="81" bestFit="1" customWidth="1"/>
    <col min="14" max="14" width="3" style="81" customWidth="1"/>
    <col min="15" max="15" width="7.6640625" style="81" customWidth="1"/>
    <col min="16" max="17" width="10.6640625" style="82" customWidth="1"/>
    <col min="18" max="16384" width="8.83203125" style="81"/>
  </cols>
  <sheetData>
    <row r="1" spans="2:17" s="78" customFormat="1" ht="46.5" customHeight="1">
      <c r="B1" s="279" t="s">
        <v>91</v>
      </c>
      <c r="C1" s="280"/>
      <c r="D1" s="280"/>
      <c r="E1" s="280"/>
      <c r="F1" s="280"/>
      <c r="G1" s="280"/>
      <c r="H1" s="280"/>
      <c r="I1" s="280"/>
      <c r="J1" s="280"/>
      <c r="K1" s="280"/>
      <c r="L1" s="240"/>
      <c r="M1" s="240"/>
      <c r="P1" s="79"/>
      <c r="Q1" s="79"/>
    </row>
    <row r="2" spans="2:17" s="88" customFormat="1" ht="42" customHeight="1">
      <c r="B2" s="198" t="s">
        <v>59</v>
      </c>
      <c r="C2" s="199"/>
      <c r="D2" s="199"/>
      <c r="E2" s="199"/>
      <c r="F2" s="199"/>
      <c r="G2" s="199"/>
      <c r="H2" s="199"/>
      <c r="I2" s="199"/>
      <c r="J2" s="199"/>
      <c r="K2" s="199"/>
      <c r="L2" s="172"/>
      <c r="P2" s="89"/>
      <c r="Q2" s="89"/>
    </row>
    <row r="3" spans="2:17" s="88" customFormat="1" ht="32.25" customHeight="1">
      <c r="B3" s="83" t="s">
        <v>31</v>
      </c>
      <c r="C3" s="84"/>
      <c r="D3" s="84"/>
      <c r="E3" s="84"/>
      <c r="F3" s="85"/>
      <c r="G3" s="85"/>
      <c r="H3" s="85"/>
      <c r="I3" s="86"/>
      <c r="J3" s="86"/>
      <c r="K3" s="87" t="s">
        <v>42</v>
      </c>
      <c r="P3" s="89"/>
    </row>
    <row r="4" spans="2:17" s="88" customFormat="1" ht="18" customHeight="1">
      <c r="B4" s="90" t="s">
        <v>12</v>
      </c>
      <c r="C4" s="91">
        <v>0.99</v>
      </c>
      <c r="D4" s="91">
        <v>0.95</v>
      </c>
      <c r="E4" s="91">
        <v>0.9</v>
      </c>
      <c r="F4" s="91">
        <v>0.85</v>
      </c>
      <c r="G4" s="91">
        <v>0.8</v>
      </c>
      <c r="H4" s="91">
        <v>0.75</v>
      </c>
      <c r="I4" s="91">
        <v>0.7</v>
      </c>
      <c r="J4" s="92"/>
      <c r="K4" s="93">
        <v>0.95</v>
      </c>
      <c r="M4" s="94"/>
      <c r="O4" s="95"/>
      <c r="P4" s="89"/>
    </row>
    <row r="5" spans="2:17" s="88" customFormat="1" ht="18" customHeight="1">
      <c r="B5" s="96" t="s">
        <v>5</v>
      </c>
      <c r="C5" s="97">
        <v>2.5760000000000001</v>
      </c>
      <c r="D5" s="98">
        <v>1.9610000000000001</v>
      </c>
      <c r="E5" s="98">
        <v>1.645</v>
      </c>
      <c r="F5" s="99">
        <v>1.44</v>
      </c>
      <c r="G5" s="98">
        <v>1.282</v>
      </c>
      <c r="H5" s="98">
        <v>1.159</v>
      </c>
      <c r="I5" s="98">
        <v>1.036</v>
      </c>
      <c r="J5" s="100"/>
      <c r="K5" s="169">
        <f>IF(K4=0.99,C5,IF(K4=0.95,D5,IF(K4=0.9,E5,IF(K4=0.85,F5,IF(K4=0.8,G5,IF(K4=0.75,H5,IF(K4=0.7,I5,"input value")))))))</f>
        <v>1.9610000000000001</v>
      </c>
      <c r="M5" s="100"/>
      <c r="O5" s="100"/>
      <c r="P5" s="89"/>
    </row>
    <row r="6" spans="2:17" ht="30" customHeight="1">
      <c r="B6" s="101"/>
      <c r="C6" s="102"/>
      <c r="D6" s="102"/>
      <c r="E6" s="102"/>
      <c r="F6" s="102"/>
      <c r="G6" s="102"/>
      <c r="I6" s="103"/>
      <c r="J6" s="103"/>
      <c r="L6" s="101"/>
      <c r="M6" s="102"/>
      <c r="N6" s="102"/>
      <c r="O6" s="102"/>
      <c r="Q6" s="81"/>
    </row>
    <row r="7" spans="2:17" ht="32.25" customHeight="1">
      <c r="B7" s="200" t="s">
        <v>50</v>
      </c>
      <c r="C7" s="281" t="s">
        <v>57</v>
      </c>
      <c r="D7" s="281"/>
      <c r="E7" s="281"/>
      <c r="F7" s="282"/>
      <c r="G7" s="283"/>
      <c r="H7" s="284" t="s">
        <v>48</v>
      </c>
      <c r="I7" s="285"/>
      <c r="K7" s="101"/>
      <c r="L7" s="102"/>
      <c r="M7" s="102"/>
      <c r="N7" s="102"/>
      <c r="O7" s="82"/>
      <c r="P7" s="81"/>
      <c r="Q7" s="81"/>
    </row>
    <row r="8" spans="2:17" s="111" customFormat="1" ht="30.75" customHeight="1">
      <c r="B8" s="105" t="s">
        <v>6</v>
      </c>
      <c r="C8" s="106" t="s">
        <v>16</v>
      </c>
      <c r="D8" s="286" t="s">
        <v>92</v>
      </c>
      <c r="E8" s="287"/>
      <c r="F8" s="288" t="s">
        <v>81</v>
      </c>
      <c r="G8" s="289"/>
      <c r="H8" s="107" t="s">
        <v>7</v>
      </c>
      <c r="I8" s="107" t="s">
        <v>8</v>
      </c>
      <c r="J8" s="108"/>
      <c r="K8" s="109"/>
      <c r="L8" s="110"/>
      <c r="M8" s="109"/>
      <c r="N8" s="201"/>
      <c r="O8" s="202"/>
    </row>
    <row r="9" spans="2:17" ht="15" customHeight="1">
      <c r="B9" s="112" t="s">
        <v>10</v>
      </c>
      <c r="C9" s="113">
        <v>750</v>
      </c>
      <c r="D9" s="272">
        <v>6</v>
      </c>
      <c r="E9" s="273"/>
      <c r="F9" s="272">
        <v>2</v>
      </c>
      <c r="G9" s="273"/>
      <c r="H9" s="114">
        <f>D9+($K$5*F9/SQRT(C9))</f>
        <v>6.1432111913690175</v>
      </c>
      <c r="I9" s="114">
        <f>D9-($K$5*F9/SQRT(C9))</f>
        <v>5.8567888086309825</v>
      </c>
      <c r="J9" s="115"/>
      <c r="K9" s="116"/>
      <c r="L9" s="116"/>
      <c r="M9" s="116"/>
      <c r="N9" s="201"/>
      <c r="O9" s="202"/>
      <c r="P9" s="81"/>
      <c r="Q9" s="81"/>
    </row>
    <row r="10" spans="2:17" ht="15" customHeight="1">
      <c r="B10" s="112" t="s">
        <v>11</v>
      </c>
      <c r="C10" s="113">
        <v>250</v>
      </c>
      <c r="D10" s="272">
        <v>5</v>
      </c>
      <c r="E10" s="273"/>
      <c r="F10" s="272">
        <v>1.5</v>
      </c>
      <c r="G10" s="273"/>
      <c r="H10" s="114">
        <f>D10+($K$5*F10/SQRT(C10))</f>
        <v>5.1860367947477055</v>
      </c>
      <c r="I10" s="114">
        <f>D10-($K$5*F10/SQRT(C10))</f>
        <v>4.8139632052522945</v>
      </c>
      <c r="J10" s="115"/>
      <c r="K10" s="116"/>
      <c r="L10" s="116"/>
      <c r="M10" s="116"/>
      <c r="N10" s="201"/>
      <c r="O10" s="202"/>
      <c r="P10" s="81"/>
      <c r="Q10" s="81"/>
    </row>
    <row r="11" spans="2:17" ht="15" customHeight="1">
      <c r="B11" s="102"/>
      <c r="C11" s="117"/>
      <c r="D11" s="118"/>
      <c r="E11" s="118"/>
      <c r="F11" s="274">
        <f>SQRT((((C9-1)*(F9*F9))+((C10-1)*(F10*F10)))/(C9+C10-2))</f>
        <v>1.8876908522072713</v>
      </c>
      <c r="G11" s="275"/>
      <c r="H11" s="119" t="s">
        <v>43</v>
      </c>
      <c r="I11" s="115"/>
      <c r="J11" s="115"/>
      <c r="K11" s="116"/>
      <c r="L11" s="116"/>
      <c r="M11" s="116"/>
      <c r="N11" s="201"/>
      <c r="O11" s="202"/>
      <c r="P11" s="81"/>
      <c r="Q11" s="81"/>
    </row>
    <row r="12" spans="2:17" ht="15" customHeight="1">
      <c r="B12" s="102"/>
      <c r="C12" s="117"/>
      <c r="D12" s="118"/>
      <c r="E12" s="118"/>
      <c r="F12" s="274">
        <f>F11*SQRT((1/C9)+(1/C10))</f>
        <v>0.13785744818000975</v>
      </c>
      <c r="G12" s="275"/>
      <c r="H12" s="119" t="s">
        <v>44</v>
      </c>
      <c r="I12" s="115"/>
      <c r="J12" s="115"/>
      <c r="K12" s="116"/>
      <c r="L12" s="116"/>
      <c r="M12" s="116"/>
      <c r="N12" s="201"/>
      <c r="O12" s="202"/>
      <c r="P12" s="81"/>
      <c r="Q12" s="81"/>
    </row>
    <row r="13" spans="2:17" ht="24" customHeight="1">
      <c r="H13" s="104"/>
      <c r="K13" s="80"/>
      <c r="L13" s="81"/>
      <c r="N13" s="201"/>
      <c r="O13" s="202"/>
      <c r="Q13" s="81"/>
    </row>
    <row r="14" spans="2:17" s="125" customFormat="1" ht="15">
      <c r="B14" s="121" t="s">
        <v>45</v>
      </c>
      <c r="C14" s="122"/>
      <c r="D14" s="122"/>
      <c r="E14" s="122"/>
      <c r="F14" s="102"/>
      <c r="G14" s="102"/>
      <c r="H14" s="102"/>
      <c r="I14" s="123"/>
      <c r="J14" s="123"/>
      <c r="K14" s="123"/>
      <c r="L14" s="124"/>
      <c r="P14" s="126"/>
      <c r="Q14" s="126"/>
    </row>
    <row r="15" spans="2:17" s="125" customFormat="1" ht="21" customHeight="1">
      <c r="B15" s="127"/>
      <c r="C15" s="122"/>
      <c r="D15" s="276" t="s">
        <v>93</v>
      </c>
      <c r="E15" s="277"/>
      <c r="F15" s="277"/>
      <c r="G15" s="277"/>
      <c r="H15" s="100"/>
      <c r="I15" s="278" t="s">
        <v>82</v>
      </c>
      <c r="J15" s="278"/>
      <c r="K15" s="278"/>
      <c r="L15" s="124"/>
      <c r="P15" s="126"/>
      <c r="Q15" s="126"/>
    </row>
    <row r="16" spans="2:17" s="88" customFormat="1" ht="30" customHeight="1">
      <c r="B16" s="128" t="s">
        <v>18</v>
      </c>
      <c r="C16" s="129" t="s">
        <v>21</v>
      </c>
      <c r="D16" s="264" t="s">
        <v>46</v>
      </c>
      <c r="E16" s="265"/>
      <c r="F16" s="266" t="s">
        <v>47</v>
      </c>
      <c r="G16" s="267"/>
      <c r="H16" s="164" t="s">
        <v>9</v>
      </c>
      <c r="I16" s="130" t="s">
        <v>83</v>
      </c>
      <c r="J16" s="266" t="s">
        <v>84</v>
      </c>
      <c r="K16" s="268"/>
      <c r="M16" s="203" t="s">
        <v>58</v>
      </c>
      <c r="O16" s="131"/>
      <c r="P16" s="131"/>
      <c r="Q16" s="132"/>
    </row>
    <row r="17" spans="2:18" s="88" customFormat="1" ht="23.5" customHeight="1">
      <c r="B17" s="163">
        <f>D9-D10</f>
        <v>1</v>
      </c>
      <c r="C17" s="133">
        <f>K5*F12</f>
        <v>0.27033845588099914</v>
      </c>
      <c r="D17" s="269">
        <f>B17+C17</f>
        <v>1.2703384558809991</v>
      </c>
      <c r="E17" s="270"/>
      <c r="F17" s="269">
        <f>B17-C17</f>
        <v>0.72966154411900086</v>
      </c>
      <c r="G17" s="270"/>
      <c r="H17" s="134">
        <f>B17/D10</f>
        <v>0.2</v>
      </c>
      <c r="I17" s="134">
        <f>D17/D10</f>
        <v>0.25406769117619982</v>
      </c>
      <c r="J17" s="271">
        <f>F17/D10</f>
        <v>0.14593230882380018</v>
      </c>
      <c r="K17" s="268"/>
      <c r="L17" s="135"/>
      <c r="M17" s="204" t="str">
        <f>IF(ABS(C17)&lt;ABS(B17),"Yes !","No")</f>
        <v>Yes !</v>
      </c>
      <c r="O17" s="131"/>
      <c r="P17" s="131"/>
      <c r="Q17" s="132"/>
    </row>
    <row r="18" spans="2:18" ht="20.25" customHeight="1">
      <c r="C18" s="205"/>
      <c r="D18" s="205"/>
      <c r="E18" s="205"/>
      <c r="F18" s="205"/>
      <c r="G18" s="205"/>
      <c r="H18" s="102"/>
      <c r="I18" s="175"/>
      <c r="J18" s="123"/>
      <c r="K18" s="123"/>
      <c r="L18" s="124"/>
      <c r="M18" s="125"/>
      <c r="N18" s="125"/>
      <c r="O18" s="125"/>
      <c r="P18" s="126"/>
      <c r="Q18" s="126"/>
      <c r="R18" s="125"/>
    </row>
    <row r="19" spans="2:18" ht="28.5" customHeight="1">
      <c r="B19" s="262" t="s">
        <v>85</v>
      </c>
      <c r="C19" s="263"/>
      <c r="D19" s="263"/>
      <c r="E19" s="263"/>
      <c r="F19" s="263"/>
      <c r="G19" s="263"/>
      <c r="H19" s="232"/>
      <c r="I19" s="232"/>
      <c r="J19" s="232"/>
      <c r="K19" s="232"/>
      <c r="L19" s="124"/>
      <c r="M19" s="125"/>
      <c r="N19" s="125"/>
      <c r="O19" s="125"/>
      <c r="P19" s="126"/>
      <c r="Q19" s="126"/>
      <c r="R19" s="125"/>
    </row>
    <row r="20" spans="2:18" ht="87" customHeight="1">
      <c r="B20" s="179"/>
      <c r="C20" s="206"/>
      <c r="D20" s="206"/>
      <c r="E20" s="206"/>
      <c r="F20" s="206"/>
      <c r="G20" s="206"/>
      <c r="H20" s="206"/>
      <c r="I20" s="206"/>
      <c r="J20" s="206"/>
      <c r="K20" s="206"/>
      <c r="M20" s="207"/>
      <c r="N20" s="207"/>
    </row>
  </sheetData>
  <mergeCells count="20">
    <mergeCell ref="I15:K15"/>
    <mergeCell ref="B1:M1"/>
    <mergeCell ref="C7:G7"/>
    <mergeCell ref="H7:I7"/>
    <mergeCell ref="D8:E8"/>
    <mergeCell ref="F8:G8"/>
    <mergeCell ref="D9:E9"/>
    <mergeCell ref="F9:G9"/>
    <mergeCell ref="D10:E10"/>
    <mergeCell ref="F10:G10"/>
    <mergeCell ref="F11:G11"/>
    <mergeCell ref="F12:G12"/>
    <mergeCell ref="D15:G15"/>
    <mergeCell ref="B19:K19"/>
    <mergeCell ref="D16:E16"/>
    <mergeCell ref="F16:G16"/>
    <mergeCell ref="J16:K16"/>
    <mergeCell ref="D17:E17"/>
    <mergeCell ref="F17:G17"/>
    <mergeCell ref="J17:K17"/>
  </mergeCells>
  <printOptions horizontalCentered="1"/>
  <pageMargins left="0.25" right="0.25" top="0.5" bottom="0.5" header="0.5" footer="0.5"/>
  <pageSetup scale="9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Size-Response (equal n)</vt:lpstr>
      <vt:lpstr>Sample Size-Response(unequal n)</vt:lpstr>
      <vt:lpstr>Sample size - Sales (equal n)</vt:lpstr>
      <vt:lpstr>Sample Size - Sales (unequal n)</vt:lpstr>
      <vt:lpstr>Confidence limits - response</vt:lpstr>
      <vt:lpstr>Confidence limits - sales</vt:lpstr>
    </vt:vector>
  </TitlesOfParts>
  <Company>LucidView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LucidView Sample Size Calculator</dc:title>
  <dc:creator>Gordon H. Bell</dc:creator>
  <cp:lastModifiedBy>Nil Simsek</cp:lastModifiedBy>
  <cp:lastPrinted>2016-06-14T18:00:28Z</cp:lastPrinted>
  <dcterms:created xsi:type="dcterms:W3CDTF">2005-07-17T01:24:12Z</dcterms:created>
  <dcterms:modified xsi:type="dcterms:W3CDTF">2016-09-24T14:52:02Z</dcterms:modified>
</cp:coreProperties>
</file>