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/>
  <mc:AlternateContent xmlns:mc="http://schemas.openxmlformats.org/markup-compatibility/2006">
    <mc:Choice Requires="x15">
      <x15ac:absPath xmlns:x15ac="http://schemas.microsoft.com/office/spreadsheetml/2010/11/ac" url="/Users/Andrea/Dropbox/Trading/BTfast/test/"/>
    </mc:Choice>
  </mc:AlternateContent>
  <xr:revisionPtr revIDLastSave="0" documentId="13_ncr:1_{1FF8C9A6-2F07-2048-997E-95B4AF3ADBE0}" xr6:coauthVersionLast="45" xr6:coauthVersionMax="45" xr10:uidLastSave="{00000000-0000-0000-0000-000000000000}"/>
  <bookViews>
    <workbookView xWindow="8180" yWindow="1360" windowWidth="22780" windowHeight="16240" tabRatio="500" activeTab="1" xr2:uid="{00000000-000D-0000-FFFF-FFFF00000000}"/>
  </bookViews>
  <sheets>
    <sheet name="Ticks" sheetId="2" r:id="rId1"/>
    <sheet name="Bars" sheetId="4" r:id="rId2"/>
  </sheets>
  <definedNames>
    <definedName name="out_1" localSheetId="0">Ticks!$E$6:$H$477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4" l="1"/>
  <c r="P5" i="4"/>
  <c r="S18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5" i="4"/>
  <c r="P9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16" i="2"/>
  <c r="P17" i="2"/>
  <c r="P18" i="2"/>
  <c r="P19" i="2"/>
  <c r="P20" i="2"/>
  <c r="P21" i="2"/>
  <c r="P22" i="2"/>
  <c r="P23" i="2"/>
  <c r="P24" i="2"/>
  <c r="P25" i="2"/>
  <c r="P26" i="2"/>
  <c r="P27" i="2"/>
  <c r="P15" i="2"/>
  <c r="P14" i="2"/>
  <c r="P13" i="2"/>
  <c r="P11" i="2"/>
  <c r="P12" i="2"/>
  <c r="P10" i="2"/>
  <c r="P8" i="2"/>
  <c r="P7" i="2"/>
  <c r="O19" i="2"/>
  <c r="N19" i="2"/>
  <c r="O23" i="2"/>
  <c r="N23" i="2"/>
  <c r="O28" i="2"/>
  <c r="O31" i="2"/>
  <c r="O39" i="2"/>
  <c r="O48" i="2"/>
  <c r="N48" i="2"/>
  <c r="N39" i="2"/>
  <c r="N31" i="2"/>
  <c r="N28" i="2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10" i="4"/>
  <c r="V19" i="2"/>
  <c r="V15" i="2"/>
  <c r="V12" i="2"/>
  <c r="V23" i="2"/>
  <c r="V28" i="2"/>
  <c r="U19" i="2"/>
  <c r="W19" i="2" s="1"/>
  <c r="U15" i="2"/>
  <c r="U23" i="2"/>
  <c r="U28" i="2"/>
  <c r="U12" i="2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S6" i="4"/>
  <c r="S7" i="4"/>
  <c r="W19" i="4" s="1"/>
  <c r="S8" i="4"/>
  <c r="S9" i="4"/>
  <c r="S10" i="4"/>
  <c r="S11" i="4"/>
  <c r="S12" i="4"/>
  <c r="S13" i="4"/>
  <c r="S14" i="4"/>
  <c r="S15" i="4"/>
  <c r="S16" i="4"/>
  <c r="S17" i="4"/>
  <c r="S19" i="4"/>
  <c r="R20" i="4"/>
  <c r="P20" i="4"/>
  <c r="S20" i="4"/>
  <c r="R21" i="4"/>
  <c r="P21" i="4"/>
  <c r="S21" i="4"/>
  <c r="R22" i="4"/>
  <c r="P22" i="4"/>
  <c r="S22" i="4"/>
  <c r="R23" i="4"/>
  <c r="P23" i="4"/>
  <c r="S23" i="4"/>
  <c r="R24" i="4"/>
  <c r="P24" i="4"/>
  <c r="S24" i="4"/>
  <c r="R25" i="4"/>
  <c r="P25" i="4"/>
  <c r="S25" i="4"/>
  <c r="R26" i="4"/>
  <c r="P26" i="4"/>
  <c r="S26" i="4"/>
  <c r="R27" i="4"/>
  <c r="P27" i="4"/>
  <c r="S27" i="4"/>
  <c r="R28" i="4"/>
  <c r="P28" i="4"/>
  <c r="S28" i="4"/>
  <c r="R29" i="4"/>
  <c r="P29" i="4"/>
  <c r="S29" i="4"/>
  <c r="R30" i="4"/>
  <c r="P30" i="4"/>
  <c r="S30" i="4"/>
  <c r="R31" i="4"/>
  <c r="P31" i="4"/>
  <c r="S31" i="4"/>
  <c r="R32" i="4"/>
  <c r="P32" i="4"/>
  <c r="S32" i="4"/>
  <c r="R33" i="4"/>
  <c r="P33" i="4"/>
  <c r="S33" i="4"/>
  <c r="R34" i="4"/>
  <c r="P34" i="4"/>
  <c r="S34" i="4"/>
  <c r="Q5" i="4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L34" i="4"/>
  <c r="G18" i="4"/>
  <c r="G19" i="4" s="1"/>
  <c r="I34" i="4"/>
  <c r="H5" i="4"/>
  <c r="H6" i="4"/>
  <c r="H7" i="4" s="1"/>
  <c r="H8" i="4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6" i="4"/>
  <c r="I26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K18" i="4"/>
  <c r="J18" i="4"/>
  <c r="L17" i="4"/>
  <c r="L16" i="4"/>
  <c r="L15" i="4"/>
  <c r="L14" i="4"/>
  <c r="L13" i="4"/>
  <c r="L12" i="4"/>
  <c r="L11" i="4"/>
  <c r="L10" i="4"/>
  <c r="V41" i="2"/>
  <c r="V42" i="2"/>
  <c r="V43" i="2"/>
  <c r="V44" i="2"/>
  <c r="V45" i="2"/>
  <c r="V46" i="2"/>
  <c r="V47" i="2"/>
  <c r="V48" i="2"/>
  <c r="V40" i="2"/>
  <c r="U41" i="2"/>
  <c r="U42" i="2"/>
  <c r="U43" i="2"/>
  <c r="U44" i="2"/>
  <c r="U45" i="2"/>
  <c r="U46" i="2"/>
  <c r="U47" i="2"/>
  <c r="U48" i="2"/>
  <c r="U40" i="2"/>
  <c r="V33" i="2"/>
  <c r="V34" i="2"/>
  <c r="V35" i="2"/>
  <c r="V36" i="2"/>
  <c r="V37" i="2"/>
  <c r="V38" i="2"/>
  <c r="V39" i="2"/>
  <c r="V32" i="2"/>
  <c r="U33" i="2"/>
  <c r="U34" i="2"/>
  <c r="U35" i="2"/>
  <c r="U36" i="2"/>
  <c r="U37" i="2"/>
  <c r="U38" i="2"/>
  <c r="U39" i="2"/>
  <c r="U32" i="2"/>
  <c r="V30" i="2"/>
  <c r="V31" i="2"/>
  <c r="V29" i="2"/>
  <c r="U30" i="2"/>
  <c r="U31" i="2"/>
  <c r="U29" i="2"/>
  <c r="R41" i="2"/>
  <c r="R42" i="2"/>
  <c r="R43" i="2"/>
  <c r="R44" i="2"/>
  <c r="R45" i="2"/>
  <c r="R46" i="2"/>
  <c r="R47" i="2"/>
  <c r="R48" i="2"/>
  <c r="R40" i="2"/>
  <c r="R33" i="2"/>
  <c r="R34" i="2"/>
  <c r="R35" i="2"/>
  <c r="R36" i="2"/>
  <c r="R37" i="2"/>
  <c r="R38" i="2"/>
  <c r="R39" i="2"/>
  <c r="R32" i="2"/>
  <c r="R30" i="2"/>
  <c r="R31" i="2"/>
  <c r="R29" i="2"/>
  <c r="R25" i="2"/>
  <c r="R26" i="2"/>
  <c r="R27" i="2"/>
  <c r="R28" i="2"/>
  <c r="R24" i="2"/>
  <c r="R21" i="2"/>
  <c r="R22" i="2"/>
  <c r="R23" i="2"/>
  <c r="R20" i="2"/>
  <c r="R17" i="2"/>
  <c r="R18" i="2"/>
  <c r="R19" i="2"/>
  <c r="R16" i="2"/>
  <c r="R14" i="2"/>
  <c r="R15" i="2"/>
  <c r="R13" i="2"/>
  <c r="R11" i="2"/>
  <c r="R12" i="2"/>
  <c r="R10" i="2"/>
  <c r="Q41" i="2"/>
  <c r="Q42" i="2"/>
  <c r="Q43" i="2"/>
  <c r="Q44" i="2"/>
  <c r="Q45" i="2"/>
  <c r="Q46" i="2"/>
  <c r="Q47" i="2"/>
  <c r="Q48" i="2"/>
  <c r="Q40" i="2"/>
  <c r="Q33" i="2"/>
  <c r="Q34" i="2"/>
  <c r="Q35" i="2"/>
  <c r="Q36" i="2"/>
  <c r="Q37" i="2"/>
  <c r="Q38" i="2"/>
  <c r="Q39" i="2"/>
  <c r="Q32" i="2"/>
  <c r="Q30" i="2"/>
  <c r="Q31" i="2"/>
  <c r="Q29" i="2"/>
  <c r="Q25" i="2"/>
  <c r="Q26" i="2"/>
  <c r="Q27" i="2"/>
  <c r="Q28" i="2"/>
  <c r="Q24" i="2"/>
  <c r="Q21" i="2"/>
  <c r="Q22" i="2"/>
  <c r="Q23" i="2"/>
  <c r="Q20" i="2"/>
  <c r="Q19" i="2"/>
  <c r="Q17" i="2"/>
  <c r="Q18" i="2"/>
  <c r="Q16" i="2"/>
  <c r="Q14" i="2"/>
  <c r="Q15" i="2"/>
  <c r="S15" i="2" s="1"/>
  <c r="Q13" i="2"/>
  <c r="Q11" i="2"/>
  <c r="Q12" i="2"/>
  <c r="Q10" i="2"/>
  <c r="S16" i="2"/>
  <c r="R9" i="2"/>
  <c r="T15" i="2" s="1"/>
  <c r="Q9" i="2"/>
  <c r="M41" i="2"/>
  <c r="M42" i="2"/>
  <c r="M43" i="2"/>
  <c r="M44" i="2"/>
  <c r="M45" i="2"/>
  <c r="M46" i="2"/>
  <c r="M47" i="2"/>
  <c r="M48" i="2"/>
  <c r="M40" i="2"/>
  <c r="M33" i="2"/>
  <c r="M34" i="2"/>
  <c r="M35" i="2"/>
  <c r="M36" i="2"/>
  <c r="M37" i="2"/>
  <c r="M38" i="2"/>
  <c r="M39" i="2"/>
  <c r="M32" i="2"/>
  <c r="M30" i="2"/>
  <c r="M31" i="2"/>
  <c r="M29" i="2"/>
  <c r="M25" i="2"/>
  <c r="M26" i="2"/>
  <c r="M27" i="2"/>
  <c r="M28" i="2"/>
  <c r="M24" i="2"/>
  <c r="M20" i="2"/>
  <c r="M21" i="2"/>
  <c r="M22" i="2"/>
  <c r="M23" i="2"/>
  <c r="M19" i="2"/>
  <c r="M17" i="2"/>
  <c r="M18" i="2"/>
  <c r="M16" i="2"/>
  <c r="I15" i="2"/>
  <c r="I19" i="2" s="1"/>
  <c r="K29" i="2"/>
  <c r="K27" i="2"/>
  <c r="I16" i="2"/>
  <c r="K16" i="2"/>
  <c r="L16" i="2"/>
  <c r="I17" i="2"/>
  <c r="L17" i="2" s="1"/>
  <c r="K17" i="2"/>
  <c r="I18" i="2"/>
  <c r="K18" i="2"/>
  <c r="L18" i="2"/>
  <c r="K19" i="2"/>
  <c r="L19" i="2"/>
  <c r="I20" i="2"/>
  <c r="L20" i="2" s="1"/>
  <c r="K20" i="2"/>
  <c r="K21" i="2"/>
  <c r="K22" i="2"/>
  <c r="K23" i="2"/>
  <c r="K24" i="2"/>
  <c r="K25" i="2"/>
  <c r="K26" i="2"/>
  <c r="K28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15" i="2"/>
  <c r="L15" i="2"/>
  <c r="J9" i="2"/>
  <c r="J12" i="2" s="1"/>
  <c r="J13" i="2" s="1"/>
  <c r="J11" i="2"/>
  <c r="T18" i="4" l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19" i="2"/>
  <c r="T16" i="2"/>
  <c r="T18" i="2"/>
  <c r="T17" i="2"/>
  <c r="W20" i="4"/>
  <c r="AB19" i="2"/>
  <c r="W23" i="2"/>
  <c r="V19" i="4"/>
  <c r="I21" i="2"/>
  <c r="L21" i="2" s="1"/>
  <c r="I23" i="2"/>
  <c r="I22" i="2"/>
  <c r="L22" i="2" s="1"/>
  <c r="S19" i="2"/>
  <c r="S17" i="2"/>
  <c r="S18" i="2"/>
  <c r="G20" i="4"/>
  <c r="K19" i="4"/>
  <c r="J19" i="4"/>
  <c r="X19" i="2"/>
  <c r="J15" i="2"/>
  <c r="J14" i="2"/>
  <c r="J10" i="2"/>
  <c r="Y19" i="4" l="1"/>
  <c r="X23" i="2"/>
  <c r="Z19" i="2"/>
  <c r="Y20" i="4"/>
  <c r="W21" i="4"/>
  <c r="X19" i="4"/>
  <c r="AC19" i="4"/>
  <c r="V20" i="4"/>
  <c r="Y23" i="2"/>
  <c r="AB23" i="2"/>
  <c r="W28" i="2"/>
  <c r="S21" i="2"/>
  <c r="S23" i="2"/>
  <c r="S20" i="2"/>
  <c r="S22" i="2"/>
  <c r="J17" i="2"/>
  <c r="J19" i="2"/>
  <c r="J18" i="2"/>
  <c r="J16" i="2"/>
  <c r="I26" i="2"/>
  <c r="L26" i="2" s="1"/>
  <c r="I27" i="2"/>
  <c r="L27" i="2" s="1"/>
  <c r="L23" i="2"/>
  <c r="I24" i="2"/>
  <c r="L24" i="2" s="1"/>
  <c r="I28" i="2"/>
  <c r="I25" i="2"/>
  <c r="L25" i="2" s="1"/>
  <c r="G21" i="4"/>
  <c r="K20" i="4"/>
  <c r="J20" i="4"/>
  <c r="Y19" i="2"/>
  <c r="AA19" i="2" s="1"/>
  <c r="T23" i="2"/>
  <c r="T21" i="2"/>
  <c r="T22" i="2"/>
  <c r="T20" i="2"/>
  <c r="Z19" i="4" l="1"/>
  <c r="AA19" i="4"/>
  <c r="Y21" i="4"/>
  <c r="W22" i="4"/>
  <c r="J20" i="2"/>
  <c r="J23" i="2"/>
  <c r="J22" i="2"/>
  <c r="J21" i="2"/>
  <c r="X20" i="4"/>
  <c r="V21" i="4"/>
  <c r="AC20" i="4"/>
  <c r="W31" i="2"/>
  <c r="Y28" i="2"/>
  <c r="W30" i="2"/>
  <c r="W29" i="2"/>
  <c r="I31" i="2"/>
  <c r="L28" i="2"/>
  <c r="I30" i="2"/>
  <c r="L30" i="2" s="1"/>
  <c r="I29" i="2"/>
  <c r="L29" i="2" s="1"/>
  <c r="T26" i="2"/>
  <c r="T27" i="2"/>
  <c r="T28" i="2"/>
  <c r="T24" i="2"/>
  <c r="T25" i="2"/>
  <c r="S24" i="2"/>
  <c r="S28" i="2"/>
  <c r="S25" i="2"/>
  <c r="S26" i="2"/>
  <c r="S27" i="2"/>
  <c r="K21" i="4"/>
  <c r="J21" i="4"/>
  <c r="G22" i="4"/>
  <c r="Z23" i="2"/>
  <c r="AA23" i="2" s="1"/>
  <c r="X28" i="2"/>
  <c r="J25" i="2" l="1"/>
  <c r="J26" i="2"/>
  <c r="J27" i="2"/>
  <c r="J24" i="2"/>
  <c r="J28" i="2"/>
  <c r="AB29" i="2"/>
  <c r="AB30" i="2"/>
  <c r="W33" i="2"/>
  <c r="W38" i="2"/>
  <c r="W35" i="2"/>
  <c r="W34" i="2"/>
  <c r="W32" i="2"/>
  <c r="W37" i="2"/>
  <c r="W39" i="2"/>
  <c r="W36" i="2"/>
  <c r="Y22" i="4"/>
  <c r="W23" i="4"/>
  <c r="T31" i="2"/>
  <c r="T30" i="2"/>
  <c r="T29" i="2"/>
  <c r="X29" i="2"/>
  <c r="X31" i="2"/>
  <c r="X30" i="2"/>
  <c r="Z28" i="2"/>
  <c r="AA28" i="2" s="1"/>
  <c r="S29" i="2"/>
  <c r="Y29" i="2" s="1"/>
  <c r="S31" i="2"/>
  <c r="S30" i="2"/>
  <c r="Y30" i="2" s="1"/>
  <c r="AB28" i="2"/>
  <c r="AC28" i="2" s="1"/>
  <c r="I39" i="2"/>
  <c r="I34" i="2"/>
  <c r="L34" i="2" s="1"/>
  <c r="L31" i="2"/>
  <c r="I37" i="2"/>
  <c r="L37" i="2" s="1"/>
  <c r="I35" i="2"/>
  <c r="L35" i="2" s="1"/>
  <c r="I32" i="2"/>
  <c r="L32" i="2" s="1"/>
  <c r="I38" i="2"/>
  <c r="L38" i="2" s="1"/>
  <c r="I36" i="2"/>
  <c r="L36" i="2" s="1"/>
  <c r="I33" i="2"/>
  <c r="L33" i="2" s="1"/>
  <c r="X21" i="4"/>
  <c r="V22" i="4"/>
  <c r="AC21" i="4"/>
  <c r="K22" i="4"/>
  <c r="G23" i="4"/>
  <c r="J22" i="4"/>
  <c r="Z20" i="4"/>
  <c r="AA20" i="4"/>
  <c r="AB19" i="4"/>
  <c r="AB20" i="4" l="1"/>
  <c r="S35" i="2"/>
  <c r="S36" i="2"/>
  <c r="S32" i="2"/>
  <c r="Y32" i="2" s="1"/>
  <c r="S37" i="2"/>
  <c r="Y37" i="2" s="1"/>
  <c r="S38" i="2"/>
  <c r="S39" i="2"/>
  <c r="S33" i="2"/>
  <c r="S34" i="2"/>
  <c r="T35" i="2"/>
  <c r="T36" i="2"/>
  <c r="T37" i="2"/>
  <c r="T38" i="2"/>
  <c r="T39" i="2"/>
  <c r="T32" i="2"/>
  <c r="T33" i="2"/>
  <c r="T34" i="2"/>
  <c r="W24" i="4"/>
  <c r="Y23" i="4"/>
  <c r="AB38" i="2"/>
  <c r="Y38" i="2"/>
  <c r="AA38" i="2" s="1"/>
  <c r="J29" i="2"/>
  <c r="J31" i="2"/>
  <c r="J30" i="2"/>
  <c r="X39" i="2"/>
  <c r="X36" i="2"/>
  <c r="Z36" i="2" s="1"/>
  <c r="Z31" i="2"/>
  <c r="X33" i="2"/>
  <c r="Z33" i="2" s="1"/>
  <c r="X38" i="2"/>
  <c r="Z38" i="2" s="1"/>
  <c r="X35" i="2"/>
  <c r="X32" i="2"/>
  <c r="X37" i="2"/>
  <c r="X34" i="2"/>
  <c r="Z34" i="2" s="1"/>
  <c r="Y36" i="2"/>
  <c r="AB36" i="2"/>
  <c r="Y31" i="2"/>
  <c r="AA31" i="2" s="1"/>
  <c r="Y34" i="2"/>
  <c r="X22" i="4"/>
  <c r="V23" i="4"/>
  <c r="AC22" i="4"/>
  <c r="Z30" i="2"/>
  <c r="AA30" i="2" s="1"/>
  <c r="Y33" i="2"/>
  <c r="AB33" i="2"/>
  <c r="Z21" i="4"/>
  <c r="AA21" i="4"/>
  <c r="I47" i="2"/>
  <c r="L47" i="2" s="1"/>
  <c r="I42" i="2"/>
  <c r="L42" i="2" s="1"/>
  <c r="L39" i="2"/>
  <c r="I45" i="2"/>
  <c r="L45" i="2" s="1"/>
  <c r="I40" i="2"/>
  <c r="L40" i="2" s="1"/>
  <c r="I48" i="2"/>
  <c r="L48" i="2" s="1"/>
  <c r="I43" i="2"/>
  <c r="L43" i="2" s="1"/>
  <c r="I46" i="2"/>
  <c r="L46" i="2" s="1"/>
  <c r="I41" i="2"/>
  <c r="L41" i="2" s="1"/>
  <c r="I44" i="2"/>
  <c r="L44" i="2" s="1"/>
  <c r="Z29" i="2"/>
  <c r="AA29" i="2" s="1"/>
  <c r="Y39" i="2"/>
  <c r="W44" i="2"/>
  <c r="W41" i="2"/>
  <c r="W46" i="2"/>
  <c r="W42" i="2"/>
  <c r="W43" i="2"/>
  <c r="W40" i="2"/>
  <c r="W48" i="2"/>
  <c r="W45" i="2"/>
  <c r="W47" i="2"/>
  <c r="AB31" i="2"/>
  <c r="G24" i="4"/>
  <c r="K23" i="4"/>
  <c r="J23" i="4"/>
  <c r="AB35" i="2"/>
  <c r="Y35" i="2"/>
  <c r="AC31" i="2"/>
  <c r="AC30" i="2"/>
  <c r="AC29" i="2"/>
  <c r="AB37" i="2"/>
  <c r="AB21" i="4" l="1"/>
  <c r="AC38" i="2"/>
  <c r="AC39" i="2"/>
  <c r="AC35" i="2"/>
  <c r="AC32" i="2"/>
  <c r="AC36" i="2"/>
  <c r="AC33" i="2"/>
  <c r="AC37" i="2"/>
  <c r="Y24" i="4"/>
  <c r="W25" i="4"/>
  <c r="X23" i="4"/>
  <c r="V24" i="4"/>
  <c r="AC23" i="4"/>
  <c r="Z37" i="2"/>
  <c r="AA37" i="2" s="1"/>
  <c r="Y47" i="2"/>
  <c r="AA35" i="2"/>
  <c r="AB43" i="2"/>
  <c r="Y43" i="2"/>
  <c r="Z22" i="4"/>
  <c r="AA22" i="4"/>
  <c r="Z32" i="2"/>
  <c r="AA32" i="2" s="1"/>
  <c r="AB32" i="2"/>
  <c r="Y41" i="2"/>
  <c r="AB41" i="2"/>
  <c r="X42" i="2"/>
  <c r="Z42" i="2" s="1"/>
  <c r="X47" i="2"/>
  <c r="Z47" i="2" s="1"/>
  <c r="X40" i="2"/>
  <c r="Z39" i="2"/>
  <c r="AA39" i="2" s="1"/>
  <c r="X44" i="2"/>
  <c r="Z44" i="2" s="1"/>
  <c r="X48" i="2"/>
  <c r="X41" i="2"/>
  <c r="X46" i="2"/>
  <c r="X43" i="2"/>
  <c r="X45" i="2"/>
  <c r="AB45" i="2" s="1"/>
  <c r="K24" i="4"/>
  <c r="J24" i="4"/>
  <c r="G25" i="4"/>
  <c r="AB39" i="2"/>
  <c r="AA34" i="2"/>
  <c r="Z35" i="2"/>
  <c r="J34" i="2"/>
  <c r="J35" i="2"/>
  <c r="J36" i="2"/>
  <c r="J37" i="2"/>
  <c r="J38" i="2"/>
  <c r="J39" i="2"/>
  <c r="J33" i="2"/>
  <c r="J32" i="2"/>
  <c r="S43" i="2"/>
  <c r="S40" i="2"/>
  <c r="Y40" i="2" s="1"/>
  <c r="S44" i="2"/>
  <c r="Y44" i="2" s="1"/>
  <c r="AA44" i="2" s="1"/>
  <c r="S45" i="2"/>
  <c r="Y45" i="2" s="1"/>
  <c r="S46" i="2"/>
  <c r="Y46" i="2" s="1"/>
  <c r="S47" i="2"/>
  <c r="S48" i="2"/>
  <c r="S42" i="2"/>
  <c r="Y42" i="2" s="1"/>
  <c r="AA42" i="2" s="1"/>
  <c r="S41" i="2"/>
  <c r="AA33" i="2"/>
  <c r="AB48" i="2"/>
  <c r="Y48" i="2"/>
  <c r="AA36" i="2"/>
  <c r="AB46" i="2"/>
  <c r="AB34" i="2"/>
  <c r="AC34" i="2" s="1"/>
  <c r="T44" i="2"/>
  <c r="T45" i="2"/>
  <c r="T46" i="2"/>
  <c r="T47" i="2"/>
  <c r="T48" i="2"/>
  <c r="T41" i="2"/>
  <c r="T40" i="2"/>
  <c r="T43" i="2"/>
  <c r="T42" i="2"/>
  <c r="Z40" i="2" l="1"/>
  <c r="AA40" i="2" s="1"/>
  <c r="AC43" i="2"/>
  <c r="AC47" i="2"/>
  <c r="AC44" i="2"/>
  <c r="AC48" i="2"/>
  <c r="AC41" i="2"/>
  <c r="AC45" i="2"/>
  <c r="AC46" i="2"/>
  <c r="K25" i="4"/>
  <c r="J25" i="4"/>
  <c r="G26" i="4"/>
  <c r="AB47" i="2"/>
  <c r="AB44" i="2"/>
  <c r="Y25" i="4"/>
  <c r="W26" i="4"/>
  <c r="AA23" i="4"/>
  <c r="Z23" i="4"/>
  <c r="AA47" i="2"/>
  <c r="Z46" i="2"/>
  <c r="AA46" i="2" s="1"/>
  <c r="Z41" i="2"/>
  <c r="AA41" i="2" s="1"/>
  <c r="Z45" i="2"/>
  <c r="AA45" i="2" s="1"/>
  <c r="Z43" i="2"/>
  <c r="AA43" i="2" s="1"/>
  <c r="AB40" i="2"/>
  <c r="AC40" i="2" s="1"/>
  <c r="AB22" i="4"/>
  <c r="AA48" i="2"/>
  <c r="J42" i="2"/>
  <c r="J43" i="2"/>
  <c r="J44" i="2"/>
  <c r="J45" i="2"/>
  <c r="J46" i="2"/>
  <c r="J47" i="2"/>
  <c r="J40" i="2"/>
  <c r="J48" i="2"/>
  <c r="J41" i="2"/>
  <c r="Z48" i="2"/>
  <c r="AB42" i="2"/>
  <c r="AC42" i="2" s="1"/>
  <c r="X24" i="4"/>
  <c r="AC24" i="4"/>
  <c r="V25" i="4"/>
  <c r="AB23" i="4" l="1"/>
  <c r="W27" i="4"/>
  <c r="Y26" i="4"/>
  <c r="Z24" i="4"/>
  <c r="AA24" i="4"/>
  <c r="X25" i="4"/>
  <c r="V26" i="4"/>
  <c r="AC25" i="4"/>
  <c r="G27" i="4"/>
  <c r="J26" i="4"/>
  <c r="K26" i="4"/>
  <c r="Z25" i="4" l="1"/>
  <c r="AA25" i="4"/>
  <c r="G28" i="4"/>
  <c r="K27" i="4"/>
  <c r="J27" i="4"/>
  <c r="X26" i="4"/>
  <c r="V27" i="4"/>
  <c r="AC26" i="4"/>
  <c r="AB24" i="4"/>
  <c r="Y27" i="4"/>
  <c r="W28" i="4"/>
  <c r="AB25" i="4" l="1"/>
  <c r="Y28" i="4"/>
  <c r="W29" i="4"/>
  <c r="X27" i="4"/>
  <c r="AC27" i="4"/>
  <c r="V28" i="4"/>
  <c r="Z26" i="4"/>
  <c r="AA26" i="4"/>
  <c r="G29" i="4"/>
  <c r="K28" i="4"/>
  <c r="J28" i="4"/>
  <c r="K29" i="4" l="1"/>
  <c r="J29" i="4"/>
  <c r="G30" i="4"/>
  <c r="X28" i="4"/>
  <c r="V29" i="4"/>
  <c r="AC28" i="4"/>
  <c r="AB26" i="4"/>
  <c r="Z27" i="4"/>
  <c r="AA27" i="4"/>
  <c r="Y29" i="4"/>
  <c r="W30" i="4"/>
  <c r="AB27" i="4" l="1"/>
  <c r="AA28" i="4"/>
  <c r="Z28" i="4"/>
  <c r="AB28" i="4" s="1"/>
  <c r="X29" i="4"/>
  <c r="V30" i="4"/>
  <c r="AC29" i="4"/>
  <c r="Y30" i="4"/>
  <c r="W31" i="4"/>
  <c r="K30" i="4"/>
  <c r="G31" i="4"/>
  <c r="J30" i="4"/>
  <c r="W32" i="4" l="1"/>
  <c r="Y31" i="4"/>
  <c r="X30" i="4"/>
  <c r="V31" i="4"/>
  <c r="AC30" i="4"/>
  <c r="Z29" i="4"/>
  <c r="AA29" i="4"/>
  <c r="G32" i="4"/>
  <c r="K31" i="4"/>
  <c r="J31" i="4"/>
  <c r="K32" i="4" l="1"/>
  <c r="J32" i="4"/>
  <c r="G33" i="4"/>
  <c r="AB29" i="4"/>
  <c r="X31" i="4"/>
  <c r="V32" i="4"/>
  <c r="AC31" i="4"/>
  <c r="Z30" i="4"/>
  <c r="AA30" i="4"/>
  <c r="Y32" i="4"/>
  <c r="W33" i="4"/>
  <c r="AB30" i="4" l="1"/>
  <c r="X32" i="4"/>
  <c r="AC32" i="4"/>
  <c r="V33" i="4"/>
  <c r="AA31" i="4"/>
  <c r="Z31" i="4"/>
  <c r="W34" i="4"/>
  <c r="Y34" i="4" s="1"/>
  <c r="Y33" i="4"/>
  <c r="K33" i="4"/>
  <c r="J33" i="4"/>
  <c r="G34" i="4"/>
  <c r="AB31" i="4" l="1"/>
  <c r="AC33" i="4"/>
  <c r="X33" i="4"/>
  <c r="V34" i="4"/>
  <c r="K34" i="4"/>
  <c r="J34" i="4"/>
  <c r="Z32" i="4"/>
  <c r="AA32" i="4"/>
  <c r="AA33" i="4" l="1"/>
  <c r="Z33" i="4"/>
  <c r="AB32" i="4"/>
  <c r="AD32" i="4" s="1"/>
  <c r="X34" i="4"/>
  <c r="AC34" i="4"/>
  <c r="AB33" i="4" l="1"/>
  <c r="AD33" i="4" s="1"/>
  <c r="Z34" i="4"/>
  <c r="AA34" i="4"/>
  <c r="AB34" i="4" l="1"/>
  <c r="AD34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ut1" type="6" refreshedVersion="0" background="1" saveData="1">
    <textPr fileType="mac" sourceFile="/Users/Andrea/Dropbox/Trading/BTfast/out.csv" thousands="'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<sst xmlns="http://schemas.openxmlformats.org/spreadsheetml/2006/main" count="65" uniqueCount="51">
  <si>
    <t>Open</t>
  </si>
  <si>
    <t>High</t>
  </si>
  <si>
    <t>Low</t>
  </si>
  <si>
    <t>Close</t>
  </si>
  <si>
    <t>HH:MM</t>
  </si>
  <si>
    <t>Period Change</t>
  </si>
  <si>
    <t>SMA (3)</t>
  </si>
  <si>
    <t>EMA(3)</t>
  </si>
  <si>
    <t>sigma</t>
  </si>
  <si>
    <t>TR</t>
  </si>
  <si>
    <t>TR%</t>
  </si>
  <si>
    <t>+DM</t>
  </si>
  <si>
    <t>-DM</t>
  </si>
  <si>
    <t>ATR</t>
  </si>
  <si>
    <t>ATR%</t>
  </si>
  <si>
    <t>+Dmavg</t>
  </si>
  <si>
    <t>-Dmavg</t>
  </si>
  <si>
    <t>ADX</t>
  </si>
  <si>
    <t>Bar Index</t>
  </si>
  <si>
    <t>Indicator Index</t>
  </si>
  <si>
    <t>SMA+10*sigma</t>
  </si>
  <si>
    <t>ROC(3)</t>
  </si>
  <si>
    <t>DX =                 |(+Dmavg)-(-Dmavg)|/ |(+Dmavg)+(-Dmavg)| * 100</t>
  </si>
  <si>
    <t>Index</t>
  </si>
  <si>
    <t>Bar</t>
  </si>
  <si>
    <t>SMA+sigma</t>
  </si>
  <si>
    <t>SMA-sigma</t>
  </si>
  <si>
    <t>ROC(5)</t>
  </si>
  <si>
    <t>+DMavg</t>
  </si>
  <si>
    <t>-DMavg</t>
  </si>
  <si>
    <t>+DI</t>
  </si>
  <si>
    <t>-DI</t>
  </si>
  <si>
    <t>|(+DI)- (-DI)|</t>
  </si>
  <si>
    <t>(+DI) + (-DI)</t>
  </si>
  <si>
    <t>DX</t>
  </si>
  <si>
    <t>|(+DMavg)- (-DMavg)|/[(+DMavg)+ (-DMavg)] *100</t>
  </si>
  <si>
    <t>Run BTfast with data file USDJPY-1-indicatortest.csv and SkipTicks=1</t>
  </si>
  <si>
    <t>Compile and run IndicatorTest.c</t>
  </si>
  <si>
    <t xml:space="preserve">DX =  100 *                              |(+DI-(-DI)|/ |(+DI)+(-DI)| </t>
  </si>
  <si>
    <t xml:space="preserve">Test BTfast Indicators with TICK data. </t>
  </si>
  <si>
    <t xml:space="preserve">Test BTfast Indicators with BAR data. </t>
  </si>
  <si>
    <t>SMA(14)</t>
  </si>
  <si>
    <t>EMA(14)</t>
  </si>
  <si>
    <t>and with strategy 'TestIndicators' that calls the indicators (timeframe = M15)</t>
  </si>
  <si>
    <t>Edit data_parseticksfile by uncommenting the call to PrintIndicator()</t>
  </si>
  <si>
    <t>Highest High (5)</t>
  </si>
  <si>
    <t>Lowest Low (5)</t>
  </si>
  <si>
    <t>Highest High (3)</t>
  </si>
  <si>
    <t>Lowest Low (3)</t>
  </si>
  <si>
    <t>Fullness</t>
  </si>
  <si>
    <t>ATR 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</si>
</sst>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"/>
    <numFmt numFmtId="167" formatCode="0.000000"/>
    <numFmt numFmtId="168" formatCode="#,##0.00000"/>
    <numFmt numFmtId="169" formatCode="#,##0.000000"/>
  </numFmts>
  <fonts count="11" x14ac:knownFonts="1">
    <font>
      <sz val="12"/>
      <color theme="1"/>
      <name val="Helvetica"/>
      <family val="2"/>
    </font>
    <font>
      <b/>
      <sz val="12"/>
      <color theme="1"/>
      <name val="Helvetica"/>
      <family val="2"/>
    </font>
    <font>
      <u/>
      <sz val="12"/>
      <color theme="10"/>
      <name val="Helvetica"/>
      <family val="2"/>
    </font>
    <font>
      <u/>
      <sz val="12"/>
      <color theme="11"/>
      <name val="Helvetica"/>
      <family val="2"/>
    </font>
    <font>
      <sz val="10"/>
      <color indexed="8"/>
      <name val="Helvetica"/>
    </font>
    <font>
      <b/>
      <sz val="10"/>
      <color indexed="8"/>
      <name val="Arial"/>
    </font>
    <font>
      <b/>
      <sz val="9"/>
      <color indexed="8"/>
      <name val="Arial"/>
    </font>
    <font>
      <b/>
      <sz val="8"/>
      <color indexed="8"/>
      <name val="Arial"/>
    </font>
    <font>
      <sz val="10"/>
      <color indexed="8"/>
      <name val="Arial"/>
    </font>
    <font>
      <sz val="10"/>
      <color theme="1"/>
      <name val="Helvetica"/>
      <family val="2"/>
    </font>
    <font>
      <b/>
      <sz val="12"/>
      <color indexed="8"/>
      <name val="Arial"/>
      <charset val="16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medium">
        <color theme="1"/>
      </bottom>
      <diagonal/>
    </border>
    <border>
      <left style="medium">
        <color theme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theme="1"/>
      </right>
      <top/>
      <bottom style="thin">
        <color theme="0" tint="-0.14999847407452621"/>
      </bottom>
      <diagonal/>
    </border>
    <border>
      <left style="medium">
        <color theme="1"/>
      </left>
      <right style="thin">
        <color indexed="8"/>
      </right>
      <top style="medium">
        <color theme="1"/>
      </top>
      <bottom style="medium">
        <color theme="1"/>
      </bottom>
      <diagonal/>
    </border>
    <border>
      <left style="thin">
        <color indexed="8"/>
      </left>
      <right style="thin">
        <color indexed="8"/>
      </right>
      <top style="medium">
        <color theme="1"/>
      </top>
      <bottom style="medium">
        <color theme="1"/>
      </bottom>
      <diagonal/>
    </border>
    <border>
      <left style="thin">
        <color indexed="8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thin">
        <color theme="2" tint="-0.499984740745262"/>
      </bottom>
      <diagonal/>
    </border>
    <border>
      <left/>
      <right style="medium">
        <color theme="1"/>
      </right>
      <top/>
      <bottom style="thin">
        <color theme="2" tint="-0.499984740745262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medium">
        <color theme="1"/>
      </bottom>
      <diagonal/>
    </border>
    <border>
      <left/>
      <right/>
      <top style="thin">
        <color theme="2" tint="-0.499984740745262"/>
      </top>
      <bottom style="medium">
        <color theme="1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medium">
        <color theme="1"/>
      </bottom>
      <diagonal/>
    </border>
    <border>
      <left style="thin">
        <color theme="2" tint="-0.499984740745262"/>
      </left>
      <right/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indexed="8"/>
      </right>
      <top style="medium">
        <color theme="1"/>
      </top>
      <bottom style="thin">
        <color theme="1"/>
      </bottom>
      <diagonal/>
    </border>
    <border>
      <left style="thin">
        <color indexed="8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14996795556505021"/>
      </left>
      <right/>
      <top style="thin">
        <color theme="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1"/>
      </bottom>
      <diagonal/>
    </border>
    <border>
      <left style="thin">
        <color theme="0" tint="-0.14996795556505021"/>
      </left>
      <right/>
      <top/>
      <bottom style="medium">
        <color theme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14996795556505021"/>
      </left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vertical="top" wrapText="1"/>
    </xf>
  </cellStyleXfs>
  <cellXfs count="14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164" fontId="0" fillId="0" borderId="0" xfId="0" applyNumberFormat="1"/>
    <xf numFmtId="164" fontId="0" fillId="0" borderId="0" xfId="0" applyNumberFormat="1" applyBorder="1"/>
    <xf numFmtId="164" fontId="0" fillId="0" borderId="2" xfId="0" applyNumberFormat="1" applyBorder="1"/>
    <xf numFmtId="164" fontId="0" fillId="0" borderId="4" xfId="0" applyNumberFormat="1" applyBorder="1"/>
    <xf numFmtId="165" fontId="0" fillId="0" borderId="0" xfId="0" applyNumberFormat="1"/>
    <xf numFmtId="165" fontId="0" fillId="0" borderId="0" xfId="0" applyNumberFormat="1" applyBorder="1"/>
    <xf numFmtId="20" fontId="0" fillId="0" borderId="0" xfId="0" applyNumberFormat="1" applyAlignment="1">
      <alignment horizontal="center"/>
    </xf>
    <xf numFmtId="20" fontId="0" fillId="0" borderId="0" xfId="0" applyNumberFormat="1" applyBorder="1" applyAlignment="1">
      <alignment horizontal="center"/>
    </xf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66" fontId="0" fillId="0" borderId="0" xfId="0" applyNumberFormat="1" applyFill="1" applyBorder="1"/>
    <xf numFmtId="166" fontId="0" fillId="0" borderId="0" xfId="0" applyNumberFormat="1"/>
    <xf numFmtId="166" fontId="0" fillId="0" borderId="1" xfId="0" applyNumberFormat="1" applyBorder="1"/>
    <xf numFmtId="166" fontId="0" fillId="0" borderId="0" xfId="0" applyNumberFormat="1" applyBorder="1"/>
    <xf numFmtId="1" fontId="0" fillId="0" borderId="8" xfId="0" applyNumberFormat="1" applyBorder="1" applyAlignment="1">
      <alignment horizontal="center"/>
    </xf>
    <xf numFmtId="166" fontId="0" fillId="0" borderId="8" xfId="0" applyNumberFormat="1" applyBorder="1"/>
    <xf numFmtId="2" fontId="0" fillId="0" borderId="8" xfId="0" applyNumberFormat="1" applyBorder="1"/>
    <xf numFmtId="0" fontId="0" fillId="0" borderId="8" xfId="0" applyBorder="1"/>
    <xf numFmtId="165" fontId="0" fillId="0" borderId="8" xfId="0" applyNumberFormat="1" applyBorder="1"/>
    <xf numFmtId="166" fontId="0" fillId="2" borderId="8" xfId="0" applyNumberFormat="1" applyFill="1" applyBorder="1"/>
    <xf numFmtId="166" fontId="0" fillId="2" borderId="9" xfId="0" applyNumberFormat="1" applyFill="1" applyBorder="1"/>
    <xf numFmtId="166" fontId="0" fillId="2" borderId="1" xfId="0" applyNumberFormat="1" applyFill="1" applyBorder="1"/>
    <xf numFmtId="166" fontId="0" fillId="0" borderId="11" xfId="0" applyNumberFormat="1" applyBorder="1"/>
    <xf numFmtId="166" fontId="0" fillId="2" borderId="10" xfId="0" applyNumberFormat="1" applyFill="1" applyBorder="1"/>
    <xf numFmtId="166" fontId="0" fillId="0" borderId="2" xfId="0" applyNumberFormat="1" applyBorder="1"/>
    <xf numFmtId="166" fontId="0" fillId="0" borderId="12" xfId="0" applyNumberFormat="1" applyBorder="1"/>
    <xf numFmtId="166" fontId="0" fillId="2" borderId="13" xfId="0" applyNumberFormat="1" applyFill="1" applyBorder="1"/>
    <xf numFmtId="166" fontId="0" fillId="0" borderId="14" xfId="0" applyNumberFormat="1" applyBorder="1"/>
    <xf numFmtId="166" fontId="0" fillId="2" borderId="3" xfId="0" applyNumberFormat="1" applyFill="1" applyBorder="1"/>
    <xf numFmtId="166" fontId="0" fillId="0" borderId="0" xfId="0" applyNumberFormat="1" applyAlignment="1">
      <alignment wrapText="1"/>
    </xf>
    <xf numFmtId="166" fontId="0" fillId="0" borderId="16" xfId="0" applyNumberFormat="1" applyBorder="1" applyAlignment="1">
      <alignment wrapText="1"/>
    </xf>
    <xf numFmtId="166" fontId="0" fillId="2" borderId="15" xfId="0" applyNumberFormat="1" applyFill="1" applyBorder="1" applyAlignment="1">
      <alignment wrapText="1"/>
    </xf>
    <xf numFmtId="166" fontId="0" fillId="0" borderId="16" xfId="0" applyNumberFormat="1" applyBorder="1"/>
    <xf numFmtId="166" fontId="0" fillId="2" borderId="15" xfId="0" applyNumberFormat="1" applyFill="1" applyBorder="1"/>
    <xf numFmtId="0" fontId="8" fillId="0" borderId="0" xfId="5" applyNumberFormat="1" applyFont="1" applyAlignment="1">
      <alignment horizontal="center"/>
    </xf>
    <xf numFmtId="0" fontId="4" fillId="0" borderId="0" xfId="5" applyFont="1" applyAlignment="1">
      <alignment horizontal="center" vertical="top" wrapText="1"/>
    </xf>
    <xf numFmtId="0" fontId="8" fillId="0" borderId="0" xfId="5" applyNumberFormat="1" applyFont="1" applyAlignment="1"/>
    <xf numFmtId="0" fontId="4" fillId="0" borderId="0" xfId="5" applyFont="1" applyAlignment="1">
      <alignment vertical="top" wrapText="1"/>
    </xf>
    <xf numFmtId="1" fontId="8" fillId="0" borderId="21" xfId="5" applyNumberFormat="1" applyFont="1" applyFill="1" applyBorder="1" applyAlignment="1"/>
    <xf numFmtId="165" fontId="8" fillId="0" borderId="21" xfId="5" applyNumberFormat="1" applyFont="1" applyFill="1" applyBorder="1" applyAlignment="1">
      <alignment horizontal="center"/>
    </xf>
    <xf numFmtId="168" fontId="8" fillId="0" borderId="21" xfId="5" applyNumberFormat="1" applyFont="1" applyFill="1" applyBorder="1" applyAlignment="1">
      <alignment horizontal="right"/>
    </xf>
    <xf numFmtId="0" fontId="8" fillId="0" borderId="0" xfId="5" applyNumberFormat="1" applyFont="1" applyAlignment="1">
      <alignment horizontal="right"/>
    </xf>
    <xf numFmtId="1" fontId="8" fillId="0" borderId="17" xfId="5" applyNumberFormat="1" applyFont="1" applyFill="1" applyBorder="1" applyAlignment="1"/>
    <xf numFmtId="165" fontId="8" fillId="0" borderId="17" xfId="5" applyNumberFormat="1" applyFont="1" applyFill="1" applyBorder="1" applyAlignment="1">
      <alignment horizontal="center"/>
    </xf>
    <xf numFmtId="165" fontId="8" fillId="0" borderId="18" xfId="5" applyNumberFormat="1" applyFont="1" applyFill="1" applyBorder="1" applyAlignment="1">
      <alignment horizontal="center"/>
    </xf>
    <xf numFmtId="168" fontId="8" fillId="0" borderId="11" xfId="5" applyNumberFormat="1" applyFont="1" applyFill="1" applyBorder="1" applyAlignment="1">
      <alignment horizontal="right"/>
    </xf>
    <xf numFmtId="168" fontId="8" fillId="0" borderId="19" xfId="5" applyNumberFormat="1" applyFont="1" applyFill="1" applyBorder="1" applyAlignment="1">
      <alignment horizontal="right"/>
    </xf>
    <xf numFmtId="169" fontId="8" fillId="0" borderId="20" xfId="5" applyNumberFormat="1" applyFont="1" applyFill="1" applyBorder="1" applyAlignment="1">
      <alignment horizontal="right"/>
    </xf>
    <xf numFmtId="168" fontId="8" fillId="0" borderId="20" xfId="5" applyNumberFormat="1" applyFont="1" applyFill="1" applyBorder="1" applyAlignment="1">
      <alignment horizontal="right"/>
    </xf>
    <xf numFmtId="164" fontId="8" fillId="0" borderId="20" xfId="5" applyNumberFormat="1" applyFont="1" applyFill="1" applyBorder="1" applyAlignment="1">
      <alignment horizontal="right"/>
    </xf>
    <xf numFmtId="166" fontId="8" fillId="0" borderId="20" xfId="5" applyNumberFormat="1" applyFont="1" applyFill="1" applyBorder="1" applyAlignment="1">
      <alignment horizontal="right"/>
    </xf>
    <xf numFmtId="167" fontId="8" fillId="0" borderId="20" xfId="5" applyNumberFormat="1" applyFont="1" applyFill="1" applyBorder="1" applyAlignment="1">
      <alignment horizontal="right"/>
    </xf>
    <xf numFmtId="1" fontId="8" fillId="0" borderId="21" xfId="5" applyNumberFormat="1" applyFont="1" applyFill="1" applyBorder="1" applyAlignment="1"/>
    <xf numFmtId="165" fontId="8" fillId="0" borderId="21" xfId="5" applyNumberFormat="1" applyFont="1" applyFill="1" applyBorder="1" applyAlignment="1">
      <alignment horizontal="center"/>
    </xf>
    <xf numFmtId="166" fontId="8" fillId="0" borderId="21" xfId="5" applyNumberFormat="1" applyFont="1" applyFill="1" applyBorder="1" applyAlignment="1">
      <alignment horizontal="right"/>
    </xf>
    <xf numFmtId="167" fontId="8" fillId="0" borderId="21" xfId="5" applyNumberFormat="1" applyFont="1" applyFill="1" applyBorder="1" applyAlignment="1">
      <alignment horizontal="right"/>
    </xf>
    <xf numFmtId="168" fontId="8" fillId="0" borderId="21" xfId="5" applyNumberFormat="1" applyFont="1" applyFill="1" applyBorder="1" applyAlignment="1">
      <alignment horizontal="right"/>
    </xf>
    <xf numFmtId="169" fontId="8" fillId="0" borderId="21" xfId="5" applyNumberFormat="1" applyFont="1" applyFill="1" applyBorder="1" applyAlignment="1">
      <alignment horizontal="right"/>
    </xf>
    <xf numFmtId="164" fontId="8" fillId="0" borderId="21" xfId="5" applyNumberFormat="1" applyFont="1" applyFill="1" applyBorder="1" applyAlignment="1">
      <alignment horizontal="right"/>
    </xf>
    <xf numFmtId="1" fontId="8" fillId="0" borderId="22" xfId="5" applyNumberFormat="1" applyFont="1" applyFill="1" applyBorder="1" applyAlignment="1"/>
    <xf numFmtId="166" fontId="8" fillId="0" borderId="23" xfId="5" applyNumberFormat="1" applyFont="1" applyFill="1" applyBorder="1" applyAlignment="1">
      <alignment horizontal="right"/>
    </xf>
    <xf numFmtId="1" fontId="8" fillId="0" borderId="24" xfId="5" applyNumberFormat="1" applyFont="1" applyFill="1" applyBorder="1" applyAlignment="1"/>
    <xf numFmtId="1" fontId="8" fillId="0" borderId="25" xfId="5" applyNumberFormat="1" applyFont="1" applyFill="1" applyBorder="1" applyAlignment="1"/>
    <xf numFmtId="165" fontId="8" fillId="0" borderId="25" xfId="5" applyNumberFormat="1" applyFont="1" applyFill="1" applyBorder="1" applyAlignment="1">
      <alignment horizontal="center"/>
    </xf>
    <xf numFmtId="168" fontId="8" fillId="2" borderId="25" xfId="5" applyNumberFormat="1" applyFont="1" applyFill="1" applyBorder="1" applyAlignment="1">
      <alignment horizontal="right"/>
    </xf>
    <xf numFmtId="164" fontId="8" fillId="2" borderId="25" xfId="5" applyNumberFormat="1" applyFont="1" applyFill="1" applyBorder="1" applyAlignment="1">
      <alignment horizontal="right"/>
    </xf>
    <xf numFmtId="166" fontId="8" fillId="2" borderId="25" xfId="5" applyNumberFormat="1" applyFont="1" applyFill="1" applyBorder="1" applyAlignment="1">
      <alignment horizontal="right"/>
    </xf>
    <xf numFmtId="167" fontId="8" fillId="2" borderId="25" xfId="5" applyNumberFormat="1" applyFont="1" applyFill="1" applyBorder="1" applyAlignment="1">
      <alignment horizontal="right"/>
    </xf>
    <xf numFmtId="166" fontId="8" fillId="2" borderId="26" xfId="5" applyNumberFormat="1" applyFont="1" applyFill="1" applyBorder="1" applyAlignment="1">
      <alignment horizontal="right"/>
    </xf>
    <xf numFmtId="1" fontId="8" fillId="0" borderId="27" xfId="5" applyNumberFormat="1" applyFont="1" applyFill="1" applyBorder="1" applyAlignment="1"/>
    <xf numFmtId="1" fontId="8" fillId="0" borderId="11" xfId="5" applyNumberFormat="1" applyFont="1" applyFill="1" applyBorder="1" applyAlignment="1"/>
    <xf numFmtId="165" fontId="8" fillId="0" borderId="11" xfId="5" applyNumberFormat="1" applyFont="1" applyFill="1" applyBorder="1" applyAlignment="1">
      <alignment horizontal="center"/>
    </xf>
    <xf numFmtId="166" fontId="8" fillId="0" borderId="11" xfId="5" applyNumberFormat="1" applyFont="1" applyFill="1" applyBorder="1" applyAlignment="1">
      <alignment horizontal="right"/>
    </xf>
    <xf numFmtId="167" fontId="8" fillId="0" borderId="11" xfId="5" applyNumberFormat="1" applyFont="1" applyFill="1" applyBorder="1" applyAlignment="1">
      <alignment horizontal="right"/>
    </xf>
    <xf numFmtId="0" fontId="8" fillId="0" borderId="11" xfId="5" applyNumberFormat="1" applyFont="1" applyFill="1" applyBorder="1" applyAlignment="1">
      <alignment horizontal="right"/>
    </xf>
    <xf numFmtId="166" fontId="8" fillId="0" borderId="28" xfId="5" applyNumberFormat="1" applyFont="1" applyFill="1" applyBorder="1" applyAlignment="1">
      <alignment horizontal="right"/>
    </xf>
    <xf numFmtId="49" fontId="5" fillId="3" borderId="29" xfId="5" applyNumberFormat="1" applyFont="1" applyFill="1" applyBorder="1" applyAlignment="1">
      <alignment horizontal="center" vertical="center"/>
    </xf>
    <xf numFmtId="49" fontId="5" fillId="3" borderId="30" xfId="5" applyNumberFormat="1" applyFont="1" applyFill="1" applyBorder="1" applyAlignment="1">
      <alignment horizontal="center" vertical="center"/>
    </xf>
    <xf numFmtId="49" fontId="6" fillId="3" borderId="30" xfId="5" applyNumberFormat="1" applyFont="1" applyFill="1" applyBorder="1" applyAlignment="1">
      <alignment horizontal="center" vertical="center"/>
    </xf>
    <xf numFmtId="49" fontId="5" fillId="3" borderId="30" xfId="5" applyNumberFormat="1" applyFont="1" applyFill="1" applyBorder="1" applyAlignment="1">
      <alignment horizontal="center" vertical="center" wrapText="1"/>
    </xf>
    <xf numFmtId="49" fontId="7" fillId="3" borderId="30" xfId="5" applyNumberFormat="1" applyFont="1" applyFill="1" applyBorder="1" applyAlignment="1">
      <alignment horizontal="center" vertical="center" wrapText="1"/>
    </xf>
    <xf numFmtId="49" fontId="5" fillId="3" borderId="31" xfId="5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1" fillId="3" borderId="32" xfId="0" applyFont="1" applyFill="1" applyBorder="1" applyAlignment="1">
      <alignment horizontal="center" vertical="center"/>
    </xf>
    <xf numFmtId="1" fontId="1" fillId="3" borderId="33" xfId="0" applyNumberFormat="1" applyFont="1" applyFill="1" applyBorder="1" applyAlignment="1">
      <alignment horizontal="center" vertical="center" wrapText="1"/>
    </xf>
    <xf numFmtId="164" fontId="1" fillId="3" borderId="33" xfId="0" applyNumberFormat="1" applyFont="1" applyFill="1" applyBorder="1" applyAlignment="1">
      <alignment horizontal="center" vertical="center"/>
    </xf>
    <xf numFmtId="166" fontId="1" fillId="3" borderId="33" xfId="0" applyNumberFormat="1" applyFont="1" applyFill="1" applyBorder="1" applyAlignment="1">
      <alignment horizontal="center" vertical="center"/>
    </xf>
    <xf numFmtId="2" fontId="1" fillId="3" borderId="33" xfId="0" applyNumberFormat="1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/>
    </xf>
    <xf numFmtId="165" fontId="1" fillId="3" borderId="33" xfId="0" applyNumberFormat="1" applyFont="1" applyFill="1" applyBorder="1" applyAlignment="1">
      <alignment horizontal="center" vertical="center"/>
    </xf>
    <xf numFmtId="166" fontId="1" fillId="3" borderId="34" xfId="0" applyNumberFormat="1" applyFont="1" applyFill="1" applyBorder="1" applyAlignment="1">
      <alignment horizontal="center" vertical="center" wrapText="1"/>
    </xf>
    <xf numFmtId="20" fontId="0" fillId="0" borderId="35" xfId="0" applyNumberFormat="1" applyBorder="1" applyAlignment="1">
      <alignment horizontal="center"/>
    </xf>
    <xf numFmtId="20" fontId="0" fillId="0" borderId="36" xfId="0" applyNumberFormat="1" applyBorder="1" applyAlignment="1">
      <alignment horizontal="center"/>
    </xf>
    <xf numFmtId="166" fontId="0" fillId="0" borderId="37" xfId="0" applyNumberFormat="1" applyBorder="1" applyAlignment="1">
      <alignment wrapText="1"/>
    </xf>
    <xf numFmtId="20" fontId="0" fillId="0" borderId="38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64" fontId="0" fillId="0" borderId="40" xfId="0" applyNumberFormat="1" applyBorder="1"/>
    <xf numFmtId="164" fontId="0" fillId="0" borderId="41" xfId="0" applyNumberFormat="1" applyBorder="1"/>
    <xf numFmtId="164" fontId="0" fillId="0" borderId="42" xfId="0" applyNumberFormat="1" applyBorder="1"/>
    <xf numFmtId="166" fontId="0" fillId="2" borderId="43" xfId="0" applyNumberFormat="1" applyFill="1" applyBorder="1"/>
    <xf numFmtId="166" fontId="0" fillId="2" borderId="39" xfId="0" applyNumberFormat="1" applyFill="1" applyBorder="1"/>
    <xf numFmtId="166" fontId="0" fillId="2" borderId="25" xfId="0" applyNumberFormat="1" applyFill="1" applyBorder="1"/>
    <xf numFmtId="166" fontId="0" fillId="2" borderId="44" xfId="0" applyNumberFormat="1" applyFill="1" applyBorder="1"/>
    <xf numFmtId="166" fontId="0" fillId="0" borderId="39" xfId="0" applyNumberFormat="1" applyBorder="1"/>
    <xf numFmtId="166" fontId="0" fillId="2" borderId="45" xfId="0" applyNumberFormat="1" applyFill="1" applyBorder="1"/>
    <xf numFmtId="49" fontId="1" fillId="3" borderId="33" xfId="0" applyNumberFormat="1" applyFont="1" applyFill="1" applyBorder="1" applyAlignment="1">
      <alignment horizontal="center" vertical="center"/>
    </xf>
    <xf numFmtId="49" fontId="1" fillId="3" borderId="33" xfId="0" applyNumberFormat="1" applyFont="1" applyFill="1" applyBorder="1" applyAlignment="1">
      <alignment horizontal="center" vertical="center" wrapText="1"/>
    </xf>
    <xf numFmtId="167" fontId="0" fillId="0" borderId="1" xfId="0" applyNumberFormat="1" applyBorder="1"/>
    <xf numFmtId="167" fontId="0" fillId="0" borderId="0" xfId="0" applyNumberFormat="1" applyBorder="1"/>
    <xf numFmtId="167" fontId="0" fillId="0" borderId="8" xfId="0" applyNumberFormat="1" applyBorder="1"/>
    <xf numFmtId="167" fontId="0" fillId="2" borderId="1" xfId="0" applyNumberFormat="1" applyFill="1" applyBorder="1"/>
    <xf numFmtId="167" fontId="0" fillId="2" borderId="39" xfId="0" applyNumberFormat="1" applyFill="1" applyBorder="1"/>
    <xf numFmtId="49" fontId="6" fillId="3" borderId="30" xfId="5" applyNumberFormat="1" applyFont="1" applyFill="1" applyBorder="1" applyAlignment="1">
      <alignment horizontal="center" vertical="center" wrapText="1"/>
    </xf>
    <xf numFmtId="166" fontId="0" fillId="2" borderId="0" xfId="0" applyNumberFormat="1" applyFill="1" applyBorder="1"/>
    <xf numFmtId="49" fontId="10" fillId="3" borderId="46" xfId="5" applyNumberFormat="1" applyFont="1" applyFill="1" applyBorder="1" applyAlignment="1">
      <alignment horizontal="center" vertical="center" wrapText="1"/>
    </xf>
    <xf numFmtId="49" fontId="10" fillId="3" borderId="47" xfId="5" applyNumberFormat="1" applyFont="1" applyFill="1" applyBorder="1" applyAlignment="1">
      <alignment horizontal="center" vertical="center" wrapText="1"/>
    </xf>
    <xf numFmtId="49" fontId="10" fillId="3" borderId="48" xfId="5" applyNumberFormat="1" applyFont="1" applyFill="1" applyBorder="1" applyAlignment="1">
      <alignment horizontal="center" vertical="center" wrapText="1"/>
    </xf>
    <xf numFmtId="166" fontId="0" fillId="0" borderId="49" xfId="0" applyNumberFormat="1" applyBorder="1"/>
    <xf numFmtId="166" fontId="0" fillId="0" borderId="50" xfId="0" applyNumberFormat="1" applyBorder="1"/>
    <xf numFmtId="166" fontId="0" fillId="0" borderId="51" xfId="0" applyNumberFormat="1" applyBorder="1"/>
    <xf numFmtId="166" fontId="0" fillId="0" borderId="52" xfId="0" applyNumberFormat="1" applyBorder="1"/>
    <xf numFmtId="166" fontId="0" fillId="0" borderId="51" xfId="0" applyNumberFormat="1" applyFill="1" applyBorder="1"/>
    <xf numFmtId="166" fontId="0" fillId="2" borderId="52" xfId="0" applyNumberFormat="1" applyFill="1" applyBorder="1"/>
    <xf numFmtId="166" fontId="0" fillId="2" borderId="53" xfId="0" applyNumberFormat="1" applyFill="1" applyBorder="1"/>
    <xf numFmtId="166" fontId="0" fillId="0" borderId="55" xfId="0" applyNumberFormat="1" applyBorder="1"/>
    <xf numFmtId="166" fontId="0" fillId="0" borderId="54" xfId="0" applyNumberFormat="1" applyBorder="1"/>
    <xf numFmtId="166" fontId="0" fillId="2" borderId="55" xfId="0" applyNumberFormat="1" applyFill="1" applyBorder="1"/>
    <xf numFmtId="166" fontId="0" fillId="2" borderId="54" xfId="0" applyNumberFormat="1" applyFill="1" applyBorder="1"/>
    <xf numFmtId="2" fontId="8" fillId="0" borderId="11" xfId="5" applyNumberFormat="1" applyFont="1" applyFill="1" applyBorder="1" applyAlignment="1"/>
    <xf numFmtId="2" fontId="8" fillId="0" borderId="21" xfId="5" applyNumberFormat="1" applyFont="1" applyFill="1" applyBorder="1" applyAlignment="1"/>
    <xf numFmtId="2" fontId="8" fillId="0" borderId="25" xfId="5" applyNumberFormat="1" applyFont="1" applyFill="1" applyBorder="1" applyAlignment="1"/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"/>
  <sheetViews>
    <sheetView topLeftCell="A2" zoomScale="90" zoomScaleNormal="90" zoomScalePageLayoutView="90" workbookViewId="0">
      <selection activeCell="R30" sqref="R30"/>
    </sheetView>
  </sheetViews>
  <sheetFormatPr baseColWidth="10" defaultRowHeight="16" x14ac:dyDescent="0.2"/>
  <cols>
    <col min="1" max="1" width="10.7109375" style="1"/>
    <col min="2" max="2" width="7.42578125" style="16" customWidth="1"/>
    <col min="3" max="3" width="9.28515625" style="16" customWidth="1"/>
    <col min="4" max="4" width="7.7109375" style="16" customWidth="1"/>
    <col min="5" max="5" width="11.5703125" style="5" customWidth="1"/>
    <col min="6" max="7" width="8.140625" style="5" bestFit="1" customWidth="1"/>
    <col min="8" max="8" width="10.7109375" style="8" customWidth="1"/>
    <col min="9" max="10" width="10.7109375" style="19"/>
    <col min="11" max="11" width="10.7109375" style="3"/>
    <col min="12" max="12" width="14" customWidth="1"/>
    <col min="13" max="23" width="10.7109375" style="19"/>
    <col min="24" max="24" width="11.28515625" style="9" bestFit="1" customWidth="1"/>
    <col min="25" max="26" width="10.7109375" style="9"/>
    <col min="27" max="27" width="15.28515625" style="19" customWidth="1"/>
    <col min="28" max="28" width="20.140625" style="19" customWidth="1"/>
    <col min="29" max="29" width="11" style="37" bestFit="1" customWidth="1"/>
  </cols>
  <sheetData>
    <row r="1" spans="1:31" x14ac:dyDescent="0.2">
      <c r="A1" s="140" t="s">
        <v>39</v>
      </c>
      <c r="B1" s="140"/>
      <c r="C1" s="140"/>
      <c r="D1" s="140"/>
      <c r="E1" s="140"/>
      <c r="F1" s="140"/>
      <c r="G1" s="140"/>
      <c r="H1" s="6"/>
    </row>
    <row r="2" spans="1:31" x14ac:dyDescent="0.2">
      <c r="A2" s="140" t="s">
        <v>44</v>
      </c>
      <c r="B2" s="140"/>
      <c r="C2" s="140"/>
      <c r="D2" s="140"/>
      <c r="E2" s="140"/>
      <c r="F2" s="140"/>
      <c r="G2" s="140"/>
      <c r="H2" s="6"/>
    </row>
    <row r="3" spans="1:31" x14ac:dyDescent="0.2">
      <c r="A3" s="140" t="s">
        <v>36</v>
      </c>
      <c r="B3" s="140"/>
      <c r="C3" s="140"/>
      <c r="D3" s="140"/>
      <c r="E3" s="140"/>
      <c r="F3" s="140"/>
      <c r="G3" s="140"/>
      <c r="H3" s="6"/>
    </row>
    <row r="4" spans="1:31" x14ac:dyDescent="0.2">
      <c r="A4" s="140" t="s">
        <v>43</v>
      </c>
      <c r="B4" s="140"/>
      <c r="C4" s="140"/>
      <c r="D4" s="140"/>
      <c r="E4" s="140"/>
      <c r="F4" s="140"/>
      <c r="G4" s="140"/>
      <c r="H4" s="6"/>
    </row>
    <row r="5" spans="1:31" ht="17" thickBot="1" x14ac:dyDescent="0.25">
      <c r="A5" s="90"/>
      <c r="B5" s="90"/>
      <c r="C5" s="90"/>
      <c r="D5" s="90"/>
      <c r="E5" s="90"/>
      <c r="F5" s="90"/>
      <c r="H5" s="6"/>
    </row>
    <row r="6" spans="1:31" ht="68" customHeight="1" x14ac:dyDescent="0.2">
      <c r="A6" s="91" t="s">
        <v>4</v>
      </c>
      <c r="B6" s="92" t="s">
        <v>18</v>
      </c>
      <c r="C6" s="92" t="s">
        <v>19</v>
      </c>
      <c r="D6" s="92" t="s">
        <v>5</v>
      </c>
      <c r="E6" s="93" t="s">
        <v>0</v>
      </c>
      <c r="F6" s="93" t="s">
        <v>1</v>
      </c>
      <c r="G6" s="93" t="s">
        <v>2</v>
      </c>
      <c r="H6" s="93" t="s">
        <v>3</v>
      </c>
      <c r="I6" s="94" t="s">
        <v>6</v>
      </c>
      <c r="J6" s="94" t="s">
        <v>7</v>
      </c>
      <c r="K6" s="95" t="s">
        <v>8</v>
      </c>
      <c r="L6" s="96" t="s">
        <v>20</v>
      </c>
      <c r="M6" s="94" t="s">
        <v>21</v>
      </c>
      <c r="N6" s="123" t="s">
        <v>47</v>
      </c>
      <c r="O6" s="124" t="s">
        <v>48</v>
      </c>
      <c r="P6" s="125" t="s">
        <v>49</v>
      </c>
      <c r="Q6" s="94" t="s">
        <v>9</v>
      </c>
      <c r="R6" s="94" t="s">
        <v>10</v>
      </c>
      <c r="S6" s="94" t="s">
        <v>13</v>
      </c>
      <c r="T6" s="97" t="s">
        <v>14</v>
      </c>
      <c r="U6" s="94" t="s">
        <v>11</v>
      </c>
      <c r="V6" s="94" t="s">
        <v>12</v>
      </c>
      <c r="W6" s="94" t="s">
        <v>15</v>
      </c>
      <c r="X6" s="98" t="s">
        <v>16</v>
      </c>
      <c r="Y6" s="114" t="s">
        <v>30</v>
      </c>
      <c r="Z6" s="114" t="s">
        <v>31</v>
      </c>
      <c r="AA6" s="115" t="s">
        <v>38</v>
      </c>
      <c r="AB6" s="115" t="s">
        <v>22</v>
      </c>
      <c r="AC6" s="99" t="s">
        <v>17</v>
      </c>
    </row>
    <row r="7" spans="1:31" x14ac:dyDescent="0.2">
      <c r="A7" s="100">
        <v>0</v>
      </c>
      <c r="B7" s="17">
        <v>1</v>
      </c>
      <c r="C7" s="17"/>
      <c r="D7" s="17">
        <v>0</v>
      </c>
      <c r="E7" s="6">
        <v>120.313</v>
      </c>
      <c r="F7" s="6">
        <v>120.313</v>
      </c>
      <c r="G7" s="6">
        <v>120.313</v>
      </c>
      <c r="H7" s="7">
        <v>120.313</v>
      </c>
      <c r="I7" s="18"/>
      <c r="J7" s="21"/>
      <c r="K7" s="4"/>
      <c r="L7" s="2"/>
      <c r="M7" s="21"/>
      <c r="N7" s="127"/>
      <c r="O7" s="21"/>
      <c r="P7" s="126">
        <f t="shared" ref="P7:P15" si="0">IF(F7&gt;G7,ABS(E7-H7)/ABS(F7-G7), -1)</f>
        <v>-1</v>
      </c>
      <c r="Q7" s="21"/>
      <c r="R7" s="21"/>
      <c r="S7" s="21"/>
      <c r="T7" s="21"/>
      <c r="U7" s="21"/>
      <c r="V7" s="21"/>
      <c r="W7" s="117"/>
      <c r="X7" s="117"/>
      <c r="Y7" s="10"/>
      <c r="Z7" s="10"/>
      <c r="AA7" s="21"/>
      <c r="AB7" s="21"/>
      <c r="AC7" s="38"/>
    </row>
    <row r="8" spans="1:31" x14ac:dyDescent="0.2">
      <c r="A8" s="100">
        <v>0</v>
      </c>
      <c r="B8" s="17">
        <v>1</v>
      </c>
      <c r="C8" s="17"/>
      <c r="D8" s="17">
        <v>0</v>
      </c>
      <c r="E8" s="6">
        <v>120.313</v>
      </c>
      <c r="F8" s="6">
        <v>120.322</v>
      </c>
      <c r="G8" s="6">
        <v>120.313</v>
      </c>
      <c r="H8" s="7">
        <v>120.322</v>
      </c>
      <c r="I8" s="18"/>
      <c r="J8" s="21"/>
      <c r="K8" s="4"/>
      <c r="L8" s="2"/>
      <c r="M8" s="21"/>
      <c r="N8" s="128"/>
      <c r="O8" s="21"/>
      <c r="P8" s="32">
        <f t="shared" si="0"/>
        <v>1</v>
      </c>
      <c r="Q8" s="21"/>
      <c r="R8" s="21"/>
      <c r="S8" s="21"/>
      <c r="T8" s="21"/>
      <c r="U8" s="21"/>
      <c r="V8" s="21"/>
      <c r="W8" s="117"/>
      <c r="X8" s="117"/>
      <c r="Y8" s="10"/>
      <c r="Z8" s="10"/>
      <c r="AA8" s="21"/>
      <c r="AB8" s="21"/>
      <c r="AC8" s="38"/>
    </row>
    <row r="9" spans="1:31" x14ac:dyDescent="0.2">
      <c r="A9" s="101">
        <v>0</v>
      </c>
      <c r="B9" s="22">
        <v>1</v>
      </c>
      <c r="C9" s="22"/>
      <c r="D9" s="22">
        <v>0</v>
      </c>
      <c r="E9" s="13">
        <v>120.313</v>
      </c>
      <c r="F9" s="14">
        <v>120.322</v>
      </c>
      <c r="G9" s="14">
        <v>120.313</v>
      </c>
      <c r="H9" s="15">
        <v>120.318</v>
      </c>
      <c r="I9" s="23"/>
      <c r="J9" s="29">
        <f>H9</f>
        <v>120.318</v>
      </c>
      <c r="K9" s="24"/>
      <c r="L9" s="25"/>
      <c r="M9" s="23"/>
      <c r="N9" s="133"/>
      <c r="O9" s="134"/>
      <c r="P9" s="36">
        <f t="shared" si="0"/>
        <v>0.55555555555502922</v>
      </c>
      <c r="Q9" s="20">
        <f>ABS(F9-G9)</f>
        <v>9.0000000000003411E-3</v>
      </c>
      <c r="R9" s="23">
        <f>ABS(F9-G9)</f>
        <v>9.0000000000003411E-3</v>
      </c>
      <c r="S9" s="23"/>
      <c r="T9" s="23"/>
      <c r="U9" s="23"/>
      <c r="V9" s="23"/>
      <c r="W9" s="118"/>
      <c r="X9" s="118"/>
      <c r="Y9" s="26"/>
      <c r="Z9" s="26"/>
      <c r="AA9" s="23"/>
      <c r="AB9" s="23"/>
      <c r="AC9" s="102"/>
      <c r="AD9">
        <v>6</v>
      </c>
    </row>
    <row r="10" spans="1:31" x14ac:dyDescent="0.2">
      <c r="A10" s="100">
        <v>1.0416666666666666E-2</v>
      </c>
      <c r="B10" s="17">
        <v>2</v>
      </c>
      <c r="C10" s="17"/>
      <c r="D10" s="17">
        <v>1</v>
      </c>
      <c r="E10" s="6">
        <v>120.318</v>
      </c>
      <c r="F10" s="6">
        <v>120.318</v>
      </c>
      <c r="G10" s="6">
        <v>120.318</v>
      </c>
      <c r="H10" s="7">
        <v>120.318</v>
      </c>
      <c r="I10" s="21"/>
      <c r="J10" s="21">
        <f>H10*(2/4) + $J$9*(1-2/4)</f>
        <v>120.318</v>
      </c>
      <c r="K10" s="4"/>
      <c r="L10" s="2"/>
      <c r="M10" s="21"/>
      <c r="N10" s="128"/>
      <c r="O10" s="21"/>
      <c r="P10" s="32">
        <f t="shared" si="0"/>
        <v>-1</v>
      </c>
      <c r="Q10" s="21">
        <f>MAX(F10,$H$9)-MIN(G10,$H$9)</f>
        <v>0</v>
      </c>
      <c r="R10" s="21">
        <f>(MAX(F10,$H$9)/MIN(G10,$H$9)-1)*100</f>
        <v>0</v>
      </c>
      <c r="S10" s="21"/>
      <c r="T10" s="21"/>
      <c r="U10" s="21"/>
      <c r="V10" s="21"/>
      <c r="W10" s="117"/>
      <c r="X10" s="117"/>
      <c r="Y10" s="10"/>
      <c r="Z10" s="10"/>
      <c r="AA10" s="21"/>
      <c r="AB10" s="21"/>
      <c r="AC10" s="38"/>
    </row>
    <row r="11" spans="1:31" x14ac:dyDescent="0.2">
      <c r="A11" s="100">
        <v>1.0416666666666666E-2</v>
      </c>
      <c r="B11" s="17">
        <v>2</v>
      </c>
      <c r="C11" s="17"/>
      <c r="D11" s="17">
        <v>0</v>
      </c>
      <c r="E11" s="6">
        <v>120.318</v>
      </c>
      <c r="F11" s="6">
        <v>120.318</v>
      </c>
      <c r="G11" s="6">
        <v>120.309</v>
      </c>
      <c r="H11" s="7">
        <v>120.309</v>
      </c>
      <c r="I11" s="21"/>
      <c r="J11" s="21">
        <f t="shared" ref="J11:J12" si="1">H11*(2/4) + $J$9*(1-2/4)</f>
        <v>120.3135</v>
      </c>
      <c r="K11" s="4"/>
      <c r="L11" s="2"/>
      <c r="M11" s="21"/>
      <c r="N11" s="128"/>
      <c r="O11" s="21"/>
      <c r="P11" s="32">
        <f t="shared" si="0"/>
        <v>1</v>
      </c>
      <c r="Q11" s="21">
        <f t="shared" ref="Q11:Q12" si="2">MAX(F11,$H$9)-MIN(G11,$H$9)</f>
        <v>9.0000000000003411E-3</v>
      </c>
      <c r="R11" s="21">
        <f t="shared" ref="R11:R12" si="3">(MAX(F11,$H$9)/MIN(G11,$H$9)-1)*100</f>
        <v>7.4807371019725011E-3</v>
      </c>
      <c r="S11" s="21"/>
      <c r="T11" s="21"/>
      <c r="U11" s="21"/>
      <c r="V11" s="21"/>
      <c r="W11" s="117"/>
      <c r="X11" s="117"/>
      <c r="Y11" s="10"/>
      <c r="Z11" s="10"/>
      <c r="AA11" s="21"/>
      <c r="AB11" s="21"/>
      <c r="AC11" s="38"/>
    </row>
    <row r="12" spans="1:31" x14ac:dyDescent="0.2">
      <c r="A12" s="101">
        <v>1.0416666666666666E-2</v>
      </c>
      <c r="B12" s="22">
        <v>2</v>
      </c>
      <c r="C12" s="22"/>
      <c r="D12" s="22">
        <v>0</v>
      </c>
      <c r="E12" s="13">
        <v>120.318</v>
      </c>
      <c r="F12" s="14">
        <v>120.324</v>
      </c>
      <c r="G12" s="14">
        <v>120.309</v>
      </c>
      <c r="H12" s="15">
        <v>120.324</v>
      </c>
      <c r="I12" s="23"/>
      <c r="J12" s="29">
        <f t="shared" si="1"/>
        <v>120.321</v>
      </c>
      <c r="K12" s="24"/>
      <c r="L12" s="25"/>
      <c r="M12" s="23"/>
      <c r="N12" s="133"/>
      <c r="O12" s="134"/>
      <c r="P12" s="36">
        <f t="shared" si="0"/>
        <v>0.4</v>
      </c>
      <c r="Q12" s="20">
        <f t="shared" si="2"/>
        <v>1.5000000000000568E-2</v>
      </c>
      <c r="R12" s="20">
        <f t="shared" si="3"/>
        <v>1.2467895169931964E-2</v>
      </c>
      <c r="S12" s="20"/>
      <c r="T12" s="20"/>
      <c r="U12" s="20">
        <f>IF(F12-$F$9&gt;$G$9-G12,MAX(F12-$F$9,0),0)</f>
        <v>0</v>
      </c>
      <c r="V12" s="20">
        <f>IF($G$9-G12&gt;F12-$F$9,MAX($G$9-G12,0),0)</f>
        <v>4.0000000000048885E-3</v>
      </c>
      <c r="W12" s="118"/>
      <c r="X12" s="118"/>
      <c r="Y12" s="26"/>
      <c r="Z12" s="118"/>
      <c r="AA12" s="23"/>
      <c r="AB12" s="23"/>
      <c r="AC12" s="102"/>
      <c r="AD12">
        <v>5</v>
      </c>
    </row>
    <row r="13" spans="1:31" x14ac:dyDescent="0.2">
      <c r="A13" s="100">
        <v>2.0833333333333332E-2</v>
      </c>
      <c r="B13" s="17">
        <v>3</v>
      </c>
      <c r="C13" s="17"/>
      <c r="D13" s="17">
        <v>1</v>
      </c>
      <c r="E13" s="6">
        <v>120.33199999999999</v>
      </c>
      <c r="F13" s="6">
        <v>120.33199999999999</v>
      </c>
      <c r="G13" s="6">
        <v>120.33199999999999</v>
      </c>
      <c r="H13" s="7">
        <v>120.33199999999999</v>
      </c>
      <c r="I13" s="21"/>
      <c r="J13" s="21">
        <f>H13*(2/4) + $J$12*(1-2/4)</f>
        <v>120.3265</v>
      </c>
      <c r="K13" s="4"/>
      <c r="L13" s="2"/>
      <c r="M13" s="21"/>
      <c r="N13" s="128"/>
      <c r="O13" s="21"/>
      <c r="P13" s="32">
        <f t="shared" si="0"/>
        <v>-1</v>
      </c>
      <c r="Q13" s="21">
        <f>MAX(F13,$H$12)-MIN(G13,$H$12)</f>
        <v>7.9999999999955662E-3</v>
      </c>
      <c r="R13" s="21">
        <f>(MAX(F13,$H$12)/MIN(G13,$H$12)-1)*100</f>
        <v>6.6487151358041174E-3</v>
      </c>
      <c r="S13" s="21"/>
      <c r="T13" s="21"/>
      <c r="U13" s="21"/>
      <c r="V13" s="21"/>
      <c r="W13" s="117"/>
      <c r="X13" s="117"/>
      <c r="Y13" s="10"/>
      <c r="Z13" s="10"/>
      <c r="AA13" s="21"/>
      <c r="AB13" s="21"/>
      <c r="AC13" s="38"/>
    </row>
    <row r="14" spans="1:31" x14ac:dyDescent="0.2">
      <c r="A14" s="100">
        <v>2.0833333333333332E-2</v>
      </c>
      <c r="B14" s="17">
        <v>3</v>
      </c>
      <c r="C14" s="17"/>
      <c r="D14" s="17">
        <v>0</v>
      </c>
      <c r="E14" s="6">
        <v>120.33199999999999</v>
      </c>
      <c r="F14" s="6">
        <v>120.33199999999999</v>
      </c>
      <c r="G14" s="6">
        <v>120.327</v>
      </c>
      <c r="H14" s="7">
        <v>120.327</v>
      </c>
      <c r="I14" s="21"/>
      <c r="J14" s="21">
        <f t="shared" ref="J14:J15" si="4">H14*(2/4) + $J$12*(1-2/4)</f>
        <v>120.324</v>
      </c>
      <c r="K14" s="4"/>
      <c r="L14" s="2"/>
      <c r="M14" s="21"/>
      <c r="N14" s="128"/>
      <c r="O14" s="21"/>
      <c r="P14" s="32">
        <f t="shared" si="0"/>
        <v>1</v>
      </c>
      <c r="Q14" s="21">
        <f t="shared" ref="Q14:Q15" si="5">MAX(F14,$H$12)-MIN(G14,$H$12)</f>
        <v>7.9999999999955662E-3</v>
      </c>
      <c r="R14" s="21">
        <f t="shared" ref="R14:R15" si="6">(MAX(F14,$H$12)/MIN(G14,$H$12)-1)*100</f>
        <v>6.6487151358041174E-3</v>
      </c>
      <c r="S14" s="21"/>
      <c r="T14" s="21"/>
      <c r="U14" s="21"/>
      <c r="V14" s="21"/>
      <c r="W14" s="117"/>
      <c r="X14" s="117"/>
      <c r="Y14" s="10"/>
      <c r="Z14" s="10"/>
      <c r="AA14" s="21"/>
      <c r="AB14" s="21"/>
      <c r="AC14" s="38"/>
      <c r="AE14" s="2"/>
    </row>
    <row r="15" spans="1:31" x14ac:dyDescent="0.2">
      <c r="A15" s="101">
        <v>2.0833333333333332E-2</v>
      </c>
      <c r="B15" s="22">
        <v>3</v>
      </c>
      <c r="C15" s="22">
        <v>0</v>
      </c>
      <c r="D15" s="22">
        <v>0</v>
      </c>
      <c r="E15" s="13">
        <v>120.33199999999999</v>
      </c>
      <c r="F15" s="14">
        <v>120.33199999999999</v>
      </c>
      <c r="G15" s="14">
        <v>120.32599999999999</v>
      </c>
      <c r="H15" s="15">
        <v>120.32599999999999</v>
      </c>
      <c r="I15" s="27">
        <f>(H15+H12+H9)/3</f>
        <v>120.32266666666665</v>
      </c>
      <c r="J15" s="29">
        <f t="shared" si="4"/>
        <v>120.3235</v>
      </c>
      <c r="K15" s="31">
        <f>_xlfn.STDEV.S(H15,H12,H9)*SQRT(2/3)</f>
        <v>3.3993463423937706E-3</v>
      </c>
      <c r="L15" s="27">
        <f>I15+10*K15</f>
        <v>120.35666013009059</v>
      </c>
      <c r="M15" s="20"/>
      <c r="N15" s="129"/>
      <c r="O15" s="20"/>
      <c r="P15" s="36">
        <f t="shared" si="0"/>
        <v>1</v>
      </c>
      <c r="Q15" s="20">
        <f t="shared" si="5"/>
        <v>7.9999999999955662E-3</v>
      </c>
      <c r="R15" s="20">
        <f t="shared" si="6"/>
        <v>6.6487151358041174E-3</v>
      </c>
      <c r="S15" s="29">
        <f>(Q15+Q12+Q9)/3</f>
        <v>1.0666666666665492E-2</v>
      </c>
      <c r="T15" s="29">
        <f>(R15+R12+R9)/3</f>
        <v>9.3722034352454742E-3</v>
      </c>
      <c r="U15" s="20">
        <f>IF(F15-$F$12&gt;$G$12-G15,MAX(F15-$F$12,0),0)</f>
        <v>7.9999999999955662E-3</v>
      </c>
      <c r="V15" s="20">
        <f>IF($G$12-G15&gt;F15-$F$12,MAX($G$12-G15,0),0)</f>
        <v>0</v>
      </c>
      <c r="W15" s="118"/>
      <c r="X15" s="118"/>
      <c r="Y15" s="26"/>
      <c r="Z15" s="26"/>
      <c r="AA15" s="23"/>
      <c r="AB15" s="23"/>
      <c r="AC15" s="102"/>
      <c r="AD15">
        <v>4</v>
      </c>
    </row>
    <row r="16" spans="1:31" x14ac:dyDescent="0.2">
      <c r="A16" s="100">
        <v>3.125E-2</v>
      </c>
      <c r="B16" s="17">
        <v>4</v>
      </c>
      <c r="C16" s="17">
        <v>1</v>
      </c>
      <c r="D16" s="17">
        <v>1</v>
      </c>
      <c r="E16" s="6">
        <v>120.343</v>
      </c>
      <c r="F16" s="6">
        <v>120.343</v>
      </c>
      <c r="G16" s="6">
        <v>120.343</v>
      </c>
      <c r="H16" s="7">
        <v>120.343</v>
      </c>
      <c r="I16" s="18">
        <f>$I$15+(H16-$H$9)/3</f>
        <v>120.33099999999999</v>
      </c>
      <c r="J16" s="21">
        <f>H16*(2/4) + $J$15*(1-2/4)</f>
        <v>120.33324999999999</v>
      </c>
      <c r="K16" s="30">
        <f>_xlfn.STDEV.S(H16,$H$15,$H$12)*SQRT(2/3)</f>
        <v>8.5244745683664205E-3</v>
      </c>
      <c r="L16" s="21">
        <f t="shared" ref="L16:L48" si="7">I16+10*K16</f>
        <v>120.41624474568366</v>
      </c>
      <c r="M16" s="122">
        <f>(H16/$H$9-1)*100</f>
        <v>2.0778270915422503E-2</v>
      </c>
      <c r="N16" s="130"/>
      <c r="O16" s="18"/>
      <c r="P16" s="32">
        <f t="shared" ref="P16:P48" si="8">IF(F16&gt;G16,ABS(E16-H16)/ABS(F16-G16), -1)</f>
        <v>-1</v>
      </c>
      <c r="Q16" s="21">
        <f>MAX(F16,$H$15)-MIN(G16,$H$15)</f>
        <v>1.7000000000010118E-2</v>
      </c>
      <c r="R16" s="21">
        <f>(MAX(F16,$H$15)/MIN(G16,$H$15)-1)*100</f>
        <v>1.4128284826231408E-2</v>
      </c>
      <c r="S16" s="21">
        <f>$S$15*(2/3)+Q16*(1/3)</f>
        <v>1.2777777777780367E-2</v>
      </c>
      <c r="T16" s="21">
        <f>$T$15*(2/3)+R16*(1/3)</f>
        <v>1.0957563898907452E-2</v>
      </c>
      <c r="U16" s="21"/>
      <c r="V16" s="21"/>
      <c r="W16" s="117"/>
      <c r="X16" s="117"/>
      <c r="Y16" s="10"/>
      <c r="Z16" s="10"/>
      <c r="AA16" s="21"/>
      <c r="AB16" s="21"/>
      <c r="AC16" s="38"/>
    </row>
    <row r="17" spans="1:30" x14ac:dyDescent="0.2">
      <c r="A17" s="100">
        <v>3.125E-2</v>
      </c>
      <c r="B17" s="17">
        <v>4</v>
      </c>
      <c r="C17" s="17">
        <v>1</v>
      </c>
      <c r="D17" s="17">
        <v>0</v>
      </c>
      <c r="E17" s="6">
        <v>120.343</v>
      </c>
      <c r="F17" s="6">
        <v>120.35899999999999</v>
      </c>
      <c r="G17" s="6">
        <v>120.343</v>
      </c>
      <c r="H17" s="7">
        <v>120.35899999999999</v>
      </c>
      <c r="I17" s="21">
        <f>$I$15+(H17-$H$9)/3</f>
        <v>120.33633333333331</v>
      </c>
      <c r="J17" s="21">
        <f t="shared" ref="J17:J19" si="9">H17*(2/4) + $J$15*(1-2/4)</f>
        <v>120.34125</v>
      </c>
      <c r="K17" s="33">
        <f t="shared" ref="K17:K19" si="10">_xlfn.STDEV.S(H17,$H$15,$H$12)*SQRT(2/3)</f>
        <v>1.6048537489613691E-2</v>
      </c>
      <c r="L17" s="21">
        <f t="shared" si="7"/>
        <v>120.49681870822945</v>
      </c>
      <c r="M17" s="21">
        <f t="shared" ref="M17:M18" si="11">(H17/$H$9-1)*100</f>
        <v>3.4076364301260931E-2</v>
      </c>
      <c r="N17" s="130"/>
      <c r="O17" s="21"/>
      <c r="P17" s="32">
        <f t="shared" si="8"/>
        <v>1</v>
      </c>
      <c r="Q17" s="21">
        <f t="shared" ref="Q17:Q18" si="12">MAX(F17,$H$15)-MIN(G17,$H$15)</f>
        <v>3.3000000000001251E-2</v>
      </c>
      <c r="R17" s="21">
        <f t="shared" ref="R17:R19" si="13">(MAX(F17,$H$15)/MIN(G17,$H$15)-1)*100</f>
        <v>2.742549407444006E-2</v>
      </c>
      <c r="S17" s="21">
        <f t="shared" ref="S17:S19" si="14">$S$15*(2/3)+Q17*(1/3)</f>
        <v>1.8111111111110745E-2</v>
      </c>
      <c r="T17" s="21">
        <f t="shared" ref="T17:T19" si="15">$T$15*(2/3)+R17*(1/3)</f>
        <v>1.5389966981643667E-2</v>
      </c>
      <c r="U17" s="21"/>
      <c r="V17" s="21"/>
      <c r="W17" s="117"/>
      <c r="X17" s="117"/>
      <c r="Y17" s="10"/>
      <c r="Z17" s="10"/>
      <c r="AA17" s="21"/>
      <c r="AB17" s="21"/>
      <c r="AC17" s="38"/>
    </row>
    <row r="18" spans="1:30" x14ac:dyDescent="0.2">
      <c r="A18" s="100">
        <v>3.125E-2</v>
      </c>
      <c r="B18" s="17">
        <v>4</v>
      </c>
      <c r="C18" s="17">
        <v>1</v>
      </c>
      <c r="D18" s="17">
        <v>0</v>
      </c>
      <c r="E18" s="6">
        <v>120.343</v>
      </c>
      <c r="F18" s="6">
        <v>120.376</v>
      </c>
      <c r="G18" s="6">
        <v>120.343</v>
      </c>
      <c r="H18" s="7">
        <v>120.376</v>
      </c>
      <c r="I18" s="21">
        <f>$I$15+(H18-$H$9)/3</f>
        <v>120.34199999999998</v>
      </c>
      <c r="J18" s="21">
        <f t="shared" si="9"/>
        <v>120.34975</v>
      </c>
      <c r="K18" s="33">
        <f t="shared" si="10"/>
        <v>2.4055491403562484E-2</v>
      </c>
      <c r="L18" s="21">
        <f t="shared" si="7"/>
        <v>120.58255491403561</v>
      </c>
      <c r="M18" s="21">
        <f t="shared" si="11"/>
        <v>4.8205588523742016E-2</v>
      </c>
      <c r="N18" s="130"/>
      <c r="O18" s="21"/>
      <c r="P18" s="32">
        <f t="shared" si="8"/>
        <v>1</v>
      </c>
      <c r="Q18" s="21">
        <f t="shared" si="12"/>
        <v>5.0000000000011369E-2</v>
      </c>
      <c r="R18" s="21">
        <f t="shared" si="13"/>
        <v>4.1553778900671468E-2</v>
      </c>
      <c r="S18" s="21">
        <f t="shared" si="14"/>
        <v>2.3777777777780784E-2</v>
      </c>
      <c r="T18" s="21">
        <f t="shared" si="15"/>
        <v>2.0099395257054137E-2</v>
      </c>
      <c r="U18" s="21"/>
      <c r="V18" s="21"/>
      <c r="W18" s="117"/>
      <c r="X18" s="117"/>
      <c r="Y18" s="10"/>
      <c r="Z18" s="10"/>
      <c r="AA18" s="21"/>
      <c r="AB18" s="21"/>
      <c r="AC18" s="38"/>
    </row>
    <row r="19" spans="1:30" x14ac:dyDescent="0.2">
      <c r="A19" s="101">
        <v>3.125E-2</v>
      </c>
      <c r="B19" s="22">
        <v>4</v>
      </c>
      <c r="C19" s="22">
        <v>1</v>
      </c>
      <c r="D19" s="22">
        <v>0</v>
      </c>
      <c r="E19" s="13">
        <v>120.343</v>
      </c>
      <c r="F19" s="14">
        <v>120.376</v>
      </c>
      <c r="G19" s="14">
        <v>120.343</v>
      </c>
      <c r="H19" s="15">
        <v>120.36</v>
      </c>
      <c r="I19" s="28">
        <f t="shared" ref="I19" si="16">$I$15+(H19-$H$9)/3</f>
        <v>120.33666666666664</v>
      </c>
      <c r="J19" s="29">
        <f t="shared" si="9"/>
        <v>120.34174999999999</v>
      </c>
      <c r="K19" s="34">
        <f t="shared" si="10"/>
        <v>1.6519348924486803E-2</v>
      </c>
      <c r="L19" s="29">
        <f t="shared" si="7"/>
        <v>120.50186015591152</v>
      </c>
      <c r="M19" s="29">
        <f>(H19/$H$9-1)*100</f>
        <v>3.4907495137881384E-2</v>
      </c>
      <c r="N19" s="135">
        <f>MAX(F15,F12,F9)</f>
        <v>120.33199999999999</v>
      </c>
      <c r="O19" s="136">
        <f>MIN(G15,G12,G9)</f>
        <v>120.309</v>
      </c>
      <c r="P19" s="36">
        <f t="shared" si="8"/>
        <v>0.51515151515137159</v>
      </c>
      <c r="Q19" s="20">
        <f>MAX(F19,$H$15)-MIN(G19,$H$15)</f>
        <v>5.0000000000011369E-2</v>
      </c>
      <c r="R19" s="20">
        <f t="shared" si="13"/>
        <v>4.1553778900671468E-2</v>
      </c>
      <c r="S19" s="29">
        <f t="shared" si="14"/>
        <v>2.3777777777780784E-2</v>
      </c>
      <c r="T19" s="29">
        <f t="shared" si="15"/>
        <v>2.0099395257054137E-2</v>
      </c>
      <c r="U19" s="20">
        <f>IF(F19-$F$15&gt;$G$15-G19,MAX(F19-$F$15,0),0)</f>
        <v>4.4000000000011141E-2</v>
      </c>
      <c r="V19" s="20">
        <f>IF($G$15-G19&gt;F19-$F$15,MAX($G$15-G19,0),0)</f>
        <v>0</v>
      </c>
      <c r="W19" s="118">
        <f>(U19+U15+U12)/3</f>
        <v>1.733333333333557E-2</v>
      </c>
      <c r="X19" s="118">
        <f>(V19+V15+V12)/3</f>
        <v>1.3333333333349628E-3</v>
      </c>
      <c r="Y19" s="20">
        <f>100*(W19/S19)</f>
        <v>72.897196261682424</v>
      </c>
      <c r="Z19" s="20">
        <f>100*(X19/S19)</f>
        <v>5.6074766355201628</v>
      </c>
      <c r="AA19" s="20">
        <f>(ABS(Y19-Z19)/(Y19+Z19) )* 100</f>
        <v>85.714285714271227</v>
      </c>
      <c r="AB19" s="20">
        <f>(ABS(W19-X19)/(W19+X19) )* 100</f>
        <v>85.714285714271213</v>
      </c>
      <c r="AC19" s="102"/>
      <c r="AD19">
        <v>3</v>
      </c>
    </row>
    <row r="20" spans="1:30" x14ac:dyDescent="0.2">
      <c r="A20" s="100">
        <v>4.1666666666666664E-2</v>
      </c>
      <c r="B20" s="17">
        <v>5</v>
      </c>
      <c r="C20" s="17">
        <v>2</v>
      </c>
      <c r="D20" s="17">
        <v>1</v>
      </c>
      <c r="E20" s="6">
        <v>120.377</v>
      </c>
      <c r="F20" s="6">
        <v>120.377</v>
      </c>
      <c r="G20" s="6">
        <v>120.377</v>
      </c>
      <c r="H20" s="7">
        <v>120.377</v>
      </c>
      <c r="I20" s="21">
        <f>$I$19+(H20-$H$12)/3</f>
        <v>120.35433333333332</v>
      </c>
      <c r="J20" s="21">
        <f>H20*(2/4) + $J$19*(1-2/4)</f>
        <v>120.359375</v>
      </c>
      <c r="K20" s="35">
        <f>_xlfn.STDEV.S(H20,$H$19,$H$15)*SQRT(2/3)</f>
        <v>2.1202725191720225E-2</v>
      </c>
      <c r="L20" s="21">
        <f t="shared" si="7"/>
        <v>120.56636058525052</v>
      </c>
      <c r="M20" s="21">
        <f>(H20/$H$12-1)*100</f>
        <v>4.4047737774666196E-2</v>
      </c>
      <c r="N20" s="128"/>
      <c r="O20" s="21"/>
      <c r="P20" s="32">
        <f t="shared" si="8"/>
        <v>-1</v>
      </c>
      <c r="Q20" s="21">
        <f>MAX(F20,$H$19)-MIN(G20,$H$19)</f>
        <v>1.6999999999995907E-2</v>
      </c>
      <c r="R20" s="21">
        <f>(MAX(F20,$H$19)/MIN(G20,$H$19)-1)*100</f>
        <v>1.4124293785311437E-2</v>
      </c>
      <c r="S20" s="21">
        <f>$S$19*(2/3)+Q20*(1/3)</f>
        <v>2.1518518518519159E-2</v>
      </c>
      <c r="T20" s="21">
        <f>$T$19*(2/3)+R20*(1/3)</f>
        <v>1.8107694766473236E-2</v>
      </c>
      <c r="U20" s="21"/>
      <c r="V20" s="21"/>
      <c r="W20" s="117"/>
      <c r="X20" s="117"/>
      <c r="Y20" s="21"/>
      <c r="Z20" s="21"/>
      <c r="AA20" s="21"/>
      <c r="AB20" s="21"/>
      <c r="AC20" s="38"/>
    </row>
    <row r="21" spans="1:30" x14ac:dyDescent="0.2">
      <c r="A21" s="100">
        <v>4.1666666666666664E-2</v>
      </c>
      <c r="B21" s="17">
        <v>5</v>
      </c>
      <c r="C21" s="17">
        <v>2</v>
      </c>
      <c r="D21" s="17">
        <v>0</v>
      </c>
      <c r="E21" s="6">
        <v>120.377</v>
      </c>
      <c r="F21" s="6">
        <v>120.42</v>
      </c>
      <c r="G21" s="6">
        <v>120.377</v>
      </c>
      <c r="H21" s="7">
        <v>120.42</v>
      </c>
      <c r="I21" s="21">
        <f t="shared" ref="I21:I23" si="17">$I$19+(H21-$H$12)/3</f>
        <v>120.36866666666664</v>
      </c>
      <c r="J21" s="21">
        <f t="shared" ref="J21:J23" si="18">H21*(2/4) + $J$19*(1-2/4)</f>
        <v>120.380875</v>
      </c>
      <c r="K21" s="33">
        <f t="shared" ref="K21:K23" si="19">_xlfn.STDEV.S(H21,$H$19,$H$15)*SQRT(2/3)</f>
        <v>3.886157771144233E-2</v>
      </c>
      <c r="L21" s="21">
        <f t="shared" si="7"/>
        <v>120.75728244378107</v>
      </c>
      <c r="M21" s="21">
        <f t="shared" ref="M21:M23" si="20">(H21/$H$12-1)*100</f>
        <v>7.9784581629605E-2</v>
      </c>
      <c r="N21" s="128"/>
      <c r="O21" s="21"/>
      <c r="P21" s="32">
        <f t="shared" si="8"/>
        <v>1</v>
      </c>
      <c r="Q21" s="21">
        <f t="shared" ref="Q21:Q23" si="21">MAX(F21,$H$19)-MIN(G21,$H$19)</f>
        <v>6.0000000000002274E-2</v>
      </c>
      <c r="R21" s="21">
        <f t="shared" ref="R21:R23" si="22">(MAX(F21,$H$19)/MIN(G21,$H$19)-1)*100</f>
        <v>4.9850448654042978E-2</v>
      </c>
      <c r="S21" s="21">
        <f>$S$19*(2/3)+Q21*(1/3)</f>
        <v>3.5851851851854612E-2</v>
      </c>
      <c r="T21" s="21">
        <f t="shared" ref="T21:T23" si="23">$T$19*(2/3)+R21*(1/3)</f>
        <v>3.0016413056050417E-2</v>
      </c>
      <c r="U21" s="21"/>
      <c r="V21" s="21"/>
      <c r="W21" s="117"/>
      <c r="X21" s="117"/>
      <c r="Y21" s="21"/>
      <c r="Z21" s="21"/>
      <c r="AA21" s="21"/>
      <c r="AB21" s="21"/>
      <c r="AC21" s="38"/>
    </row>
    <row r="22" spans="1:30" x14ac:dyDescent="0.2">
      <c r="A22" s="100">
        <v>4.1666666666666664E-2</v>
      </c>
      <c r="B22" s="17">
        <v>5</v>
      </c>
      <c r="C22" s="17">
        <v>2</v>
      </c>
      <c r="D22" s="17">
        <v>0</v>
      </c>
      <c r="E22" s="6">
        <v>120.377</v>
      </c>
      <c r="F22" s="6">
        <v>120.42</v>
      </c>
      <c r="G22" s="6">
        <v>120.377</v>
      </c>
      <c r="H22" s="7">
        <v>120.413</v>
      </c>
      <c r="I22" s="21">
        <f t="shared" si="17"/>
        <v>120.36633333333332</v>
      </c>
      <c r="J22" s="21">
        <f t="shared" si="18"/>
        <v>120.377375</v>
      </c>
      <c r="K22" s="33">
        <f t="shared" si="19"/>
        <v>3.5798820588891368E-2</v>
      </c>
      <c r="L22" s="21">
        <f t="shared" si="7"/>
        <v>120.72432153922223</v>
      </c>
      <c r="M22" s="21">
        <f t="shared" si="20"/>
        <v>7.3966955885773622E-2</v>
      </c>
      <c r="N22" s="128"/>
      <c r="O22" s="21"/>
      <c r="P22" s="32">
        <f t="shared" si="8"/>
        <v>0.83720930232548918</v>
      </c>
      <c r="Q22" s="21">
        <f t="shared" si="21"/>
        <v>6.0000000000002274E-2</v>
      </c>
      <c r="R22" s="21">
        <f t="shared" si="22"/>
        <v>4.9850448654042978E-2</v>
      </c>
      <c r="S22" s="21">
        <f>$S$19*(2/3)+Q22*(1/3)</f>
        <v>3.5851851851854612E-2</v>
      </c>
      <c r="T22" s="21">
        <f t="shared" si="23"/>
        <v>3.0016413056050417E-2</v>
      </c>
      <c r="U22" s="21"/>
      <c r="V22" s="21"/>
      <c r="W22" s="117"/>
      <c r="X22" s="117"/>
      <c r="Y22" s="21"/>
      <c r="Z22" s="21"/>
      <c r="AA22" s="21"/>
      <c r="AB22" s="21"/>
      <c r="AC22" s="38"/>
    </row>
    <row r="23" spans="1:30" x14ac:dyDescent="0.2">
      <c r="A23" s="101">
        <v>4.1666666666666664E-2</v>
      </c>
      <c r="B23" s="22">
        <v>5</v>
      </c>
      <c r="C23" s="22">
        <v>2</v>
      </c>
      <c r="D23" s="22">
        <v>0</v>
      </c>
      <c r="E23" s="13">
        <v>120.377</v>
      </c>
      <c r="F23" s="14">
        <v>120.43</v>
      </c>
      <c r="G23" s="14">
        <v>120.377</v>
      </c>
      <c r="H23" s="15">
        <v>120.43</v>
      </c>
      <c r="I23" s="28">
        <f t="shared" si="17"/>
        <v>120.37199999999999</v>
      </c>
      <c r="J23" s="29">
        <f t="shared" si="18"/>
        <v>120.385875</v>
      </c>
      <c r="K23" s="34">
        <f t="shared" si="19"/>
        <v>4.3297421016350812E-2</v>
      </c>
      <c r="L23" s="29">
        <f t="shared" si="7"/>
        <v>120.80497421016349</v>
      </c>
      <c r="M23" s="29">
        <f t="shared" si="20"/>
        <v>8.8095475549354596E-2</v>
      </c>
      <c r="N23" s="135">
        <f>MAX(F19,F15,F12)</f>
        <v>120.376</v>
      </c>
      <c r="O23" s="136">
        <f>MIN(G19,G15,G12)</f>
        <v>120.309</v>
      </c>
      <c r="P23" s="36">
        <f t="shared" si="8"/>
        <v>1</v>
      </c>
      <c r="Q23" s="20">
        <f t="shared" si="21"/>
        <v>7.000000000000739E-2</v>
      </c>
      <c r="R23" s="20">
        <f t="shared" si="22"/>
        <v>5.8158856763057543E-2</v>
      </c>
      <c r="S23" s="29">
        <f t="shared" ref="S23" si="24">$S$19*(2/3)+Q23*(1/3)</f>
        <v>3.9185185185189653E-2</v>
      </c>
      <c r="T23" s="29">
        <f t="shared" si="23"/>
        <v>3.2785882425721939E-2</v>
      </c>
      <c r="U23" s="20">
        <f>IF(F23-$F$19&gt;$G$19-G23,MAX(F23-$F$19,0),0)</f>
        <v>5.4000000000002046E-2</v>
      </c>
      <c r="V23" s="20">
        <f>IF($G$19-G23&gt;F23-$F$19,MAX($G$19-G23,0),0)</f>
        <v>0</v>
      </c>
      <c r="W23" s="116">
        <f>$W$19*(2/3)+U23*(1/3)</f>
        <v>2.9555555555557729E-2</v>
      </c>
      <c r="X23" s="116">
        <f>$X$19*(2/3)+V23*(1/3)</f>
        <v>8.8888888888997519E-4</v>
      </c>
      <c r="Y23" s="20">
        <f t="shared" ref="Y23:Y48" si="25">100*(W23/S23)</f>
        <v>75.425330812851385</v>
      </c>
      <c r="Z23" s="20">
        <f t="shared" ref="Z23:Z48" si="26">100*(X23/S23)</f>
        <v>2.2684310018928731</v>
      </c>
      <c r="AA23" s="20">
        <f t="shared" ref="AA23:AA48" si="27">(ABS(Y23-Z23)/(Y23+Z23) )* 100</f>
        <v>94.160583941599313</v>
      </c>
      <c r="AB23" s="20">
        <f>(ABS(W23-X23)/(W23+X23) )* 100</f>
        <v>94.160583941599313</v>
      </c>
      <c r="AC23" s="102"/>
      <c r="AD23">
        <v>2</v>
      </c>
    </row>
    <row r="24" spans="1:30" x14ac:dyDescent="0.2">
      <c r="A24" s="100">
        <v>5.2083333333333336E-2</v>
      </c>
      <c r="B24" s="17">
        <v>6</v>
      </c>
      <c r="C24" s="17">
        <v>3</v>
      </c>
      <c r="D24" s="17">
        <v>1</v>
      </c>
      <c r="E24" s="6">
        <v>120.455</v>
      </c>
      <c r="F24" s="6">
        <v>120.455</v>
      </c>
      <c r="G24" s="6">
        <v>120.455</v>
      </c>
      <c r="H24" s="7">
        <v>120.455</v>
      </c>
      <c r="I24" s="21">
        <f>$I$23+(H24-$H$15)/3</f>
        <v>120.41499999999999</v>
      </c>
      <c r="J24" s="21">
        <f>H24*(2/4) + $J$23*(1-2/4)</f>
        <v>120.42043749999999</v>
      </c>
      <c r="K24" s="35">
        <f>_xlfn.STDEV.S(H24,$H$23,$H$19)*SQRT(2/3)</f>
        <v>4.0207793606049938E-2</v>
      </c>
      <c r="L24" s="21">
        <f t="shared" si="7"/>
        <v>120.81707793606049</v>
      </c>
      <c r="M24" s="21">
        <f>(H24/$H$15-1)*100</f>
        <v>0.10720874956369197</v>
      </c>
      <c r="N24" s="128"/>
      <c r="O24" s="21"/>
      <c r="P24" s="32">
        <f t="shared" si="8"/>
        <v>-1</v>
      </c>
      <c r="Q24" s="21">
        <f>MAX(F24,$H$23)-MIN(G24,$H$23)</f>
        <v>2.4999999999991473E-2</v>
      </c>
      <c r="R24" s="21">
        <f>(MAX(F24,$H$23)/MIN(G24,$H$23)-1)*100</f>
        <v>2.0758947106203074E-2</v>
      </c>
      <c r="S24" s="21">
        <f>$S$23*(2/3)+Q24*(1/3)</f>
        <v>3.4456790123456926E-2</v>
      </c>
      <c r="T24" s="21">
        <f>$T$23*(2/3)+R24*(1/3)</f>
        <v>2.8776903985882313E-2</v>
      </c>
      <c r="U24" s="21"/>
      <c r="V24" s="21"/>
      <c r="W24" s="117"/>
      <c r="X24" s="117"/>
      <c r="Y24" s="21"/>
      <c r="Z24" s="21"/>
      <c r="AA24" s="21"/>
      <c r="AB24" s="21"/>
      <c r="AC24" s="38"/>
    </row>
    <row r="25" spans="1:30" x14ac:dyDescent="0.2">
      <c r="A25" s="100">
        <v>5.2083333333333336E-2</v>
      </c>
      <c r="B25" s="17">
        <v>6</v>
      </c>
      <c r="C25" s="17">
        <v>3</v>
      </c>
      <c r="D25" s="17">
        <v>0</v>
      </c>
      <c r="E25" s="6">
        <v>120.455</v>
      </c>
      <c r="F25" s="6">
        <v>120.455</v>
      </c>
      <c r="G25" s="6">
        <v>120.431</v>
      </c>
      <c r="H25" s="7">
        <v>120.431</v>
      </c>
      <c r="I25" s="21">
        <f t="shared" ref="I25:I28" si="28">$I$23+(H25-$H$15)/3</f>
        <v>120.40699999999998</v>
      </c>
      <c r="J25" s="21">
        <f t="shared" ref="J25:J28" si="29">H25*(2/4) + $J$23*(1-2/4)</f>
        <v>120.40843749999999</v>
      </c>
      <c r="K25" s="33">
        <f t="shared" ref="K25:K28" si="30">_xlfn.STDEV.S(H25,$H$23,$H$19)*SQRT(2/3)</f>
        <v>3.3236526092038365E-2</v>
      </c>
      <c r="L25" s="21">
        <f t="shared" si="7"/>
        <v>120.73936526092037</v>
      </c>
      <c r="M25" s="21">
        <f t="shared" ref="M25:M28" si="31">(H25/$H$15-1)*100</f>
        <v>8.7262935691367893E-2</v>
      </c>
      <c r="N25" s="128"/>
      <c r="O25" s="21"/>
      <c r="P25" s="32">
        <f t="shared" si="8"/>
        <v>1</v>
      </c>
      <c r="Q25" s="21">
        <f t="shared" ref="Q25:Q28" si="32">MAX(F25,$H$23)-MIN(G25,$H$23)</f>
        <v>2.4999999999991473E-2</v>
      </c>
      <c r="R25" s="21">
        <f t="shared" ref="R25:R28" si="33">(MAX(F25,$H$23)/MIN(G25,$H$23)-1)*100</f>
        <v>2.0758947106203074E-2</v>
      </c>
      <c r="S25" s="21">
        <f t="shared" ref="S25:S28" si="34">$S$23*(2/3)+Q25*(1/3)</f>
        <v>3.4456790123456926E-2</v>
      </c>
      <c r="T25" s="21">
        <f t="shared" ref="T25:T28" si="35">$T$23*(2/3)+R25*(1/3)</f>
        <v>2.8776903985882313E-2</v>
      </c>
      <c r="U25" s="21"/>
      <c r="V25" s="21"/>
      <c r="W25" s="117"/>
      <c r="X25" s="117"/>
      <c r="Y25" s="21"/>
      <c r="Z25" s="21"/>
      <c r="AA25" s="21"/>
      <c r="AB25" s="21"/>
      <c r="AC25" s="38"/>
    </row>
    <row r="26" spans="1:30" x14ac:dyDescent="0.2">
      <c r="A26" s="100">
        <v>5.2083333333333336E-2</v>
      </c>
      <c r="B26" s="17">
        <v>6</v>
      </c>
      <c r="C26" s="17">
        <v>3</v>
      </c>
      <c r="D26" s="17">
        <v>0</v>
      </c>
      <c r="E26" s="6">
        <v>120.455</v>
      </c>
      <c r="F26" s="6">
        <v>120.455</v>
      </c>
      <c r="G26" s="6">
        <v>120.431</v>
      </c>
      <c r="H26" s="7">
        <v>120.43300000000001</v>
      </c>
      <c r="I26" s="21">
        <f t="shared" si="28"/>
        <v>120.40766666666666</v>
      </c>
      <c r="J26" s="21">
        <f t="shared" si="29"/>
        <v>120.4094375</v>
      </c>
      <c r="K26" s="33">
        <f t="shared" si="30"/>
        <v>3.3727667508379411E-2</v>
      </c>
      <c r="L26" s="21">
        <f t="shared" si="7"/>
        <v>120.74494334175046</v>
      </c>
      <c r="M26" s="21">
        <f t="shared" si="31"/>
        <v>8.8925086847413404E-2</v>
      </c>
      <c r="N26" s="128"/>
      <c r="O26" s="21"/>
      <c r="P26" s="32">
        <f t="shared" si="8"/>
        <v>0.91666666666627195</v>
      </c>
      <c r="Q26" s="21">
        <f t="shared" si="32"/>
        <v>2.4999999999991473E-2</v>
      </c>
      <c r="R26" s="21">
        <f t="shared" si="33"/>
        <v>2.0758947106203074E-2</v>
      </c>
      <c r="S26" s="21">
        <f t="shared" si="34"/>
        <v>3.4456790123456926E-2</v>
      </c>
      <c r="T26" s="21">
        <f t="shared" si="35"/>
        <v>2.8776903985882313E-2</v>
      </c>
      <c r="U26" s="21"/>
      <c r="V26" s="21"/>
      <c r="W26" s="117"/>
      <c r="X26" s="117"/>
      <c r="Y26" s="21"/>
      <c r="Z26" s="21"/>
      <c r="AA26" s="21"/>
      <c r="AB26" s="21"/>
      <c r="AC26" s="38"/>
    </row>
    <row r="27" spans="1:30" x14ac:dyDescent="0.2">
      <c r="A27" s="100">
        <v>5.2083333333333336E-2</v>
      </c>
      <c r="B27" s="17">
        <v>6</v>
      </c>
      <c r="C27" s="17">
        <v>3</v>
      </c>
      <c r="D27" s="17">
        <v>0</v>
      </c>
      <c r="E27" s="6">
        <v>120.455</v>
      </c>
      <c r="F27" s="6">
        <v>120.455</v>
      </c>
      <c r="G27" s="6">
        <v>120.399</v>
      </c>
      <c r="H27" s="7">
        <v>120.399</v>
      </c>
      <c r="I27" s="21">
        <f t="shared" si="28"/>
        <v>120.39633333333332</v>
      </c>
      <c r="J27" s="21">
        <f t="shared" si="29"/>
        <v>120.3924375</v>
      </c>
      <c r="K27" s="33">
        <f t="shared" si="30"/>
        <v>2.8639522032017063E-2</v>
      </c>
      <c r="L27" s="21">
        <f>I27+10*K27</f>
        <v>120.68272855365349</v>
      </c>
      <c r="M27" s="21">
        <f t="shared" si="31"/>
        <v>6.0668517194950589E-2</v>
      </c>
      <c r="N27" s="128"/>
      <c r="O27" s="21"/>
      <c r="P27" s="32">
        <f t="shared" si="8"/>
        <v>1</v>
      </c>
      <c r="Q27" s="21">
        <f t="shared" si="32"/>
        <v>5.5999999999997385E-2</v>
      </c>
      <c r="R27" s="21">
        <f t="shared" si="33"/>
        <v>4.6512014219390885E-2</v>
      </c>
      <c r="S27" s="21">
        <f t="shared" si="34"/>
        <v>4.479012345679223E-2</v>
      </c>
      <c r="T27" s="21">
        <f t="shared" si="35"/>
        <v>3.7361259690278252E-2</v>
      </c>
      <c r="U27" s="21"/>
      <c r="V27" s="21"/>
      <c r="W27" s="117"/>
      <c r="X27" s="117"/>
      <c r="Y27" s="21"/>
      <c r="Z27" s="21"/>
      <c r="AA27" s="21"/>
      <c r="AB27" s="21"/>
      <c r="AC27" s="38"/>
    </row>
    <row r="28" spans="1:30" x14ac:dyDescent="0.2">
      <c r="A28" s="101">
        <v>5.2083333333333336E-2</v>
      </c>
      <c r="B28" s="22">
        <v>6</v>
      </c>
      <c r="C28" s="22">
        <v>3</v>
      </c>
      <c r="D28" s="22">
        <v>0</v>
      </c>
      <c r="E28" s="13">
        <v>120.455</v>
      </c>
      <c r="F28" s="14">
        <v>120.455</v>
      </c>
      <c r="G28" s="14">
        <v>120.398</v>
      </c>
      <c r="H28" s="15">
        <v>120.398</v>
      </c>
      <c r="I28" s="28">
        <f t="shared" si="28"/>
        <v>120.39599999999999</v>
      </c>
      <c r="J28" s="29">
        <f t="shared" si="29"/>
        <v>120.3919375</v>
      </c>
      <c r="K28" s="34">
        <f t="shared" si="30"/>
        <v>2.8612351645169433E-2</v>
      </c>
      <c r="L28" s="29">
        <f t="shared" si="7"/>
        <v>120.68212351645168</v>
      </c>
      <c r="M28" s="29">
        <f t="shared" si="31"/>
        <v>5.9837441616950038E-2</v>
      </c>
      <c r="N28" s="131">
        <f>MAX(F23,F19,F15)</f>
        <v>120.43</v>
      </c>
      <c r="O28" s="29">
        <f>MIN(G23,G19,G15)</f>
        <v>120.32599999999999</v>
      </c>
      <c r="P28" s="36">
        <f t="shared" si="8"/>
        <v>1</v>
      </c>
      <c r="Q28" s="20">
        <f t="shared" si="32"/>
        <v>5.700000000000216E-2</v>
      </c>
      <c r="R28" s="20">
        <f t="shared" si="33"/>
        <v>4.7342979119258111E-2</v>
      </c>
      <c r="S28" s="29">
        <f t="shared" si="34"/>
        <v>4.512345679012715E-2</v>
      </c>
      <c r="T28" s="29">
        <f t="shared" si="35"/>
        <v>3.7638247990233992E-2</v>
      </c>
      <c r="U28" s="20">
        <f>IF(F28-$F$23&gt;$G$23-G28,MAX(F28-$F$23,0),0)</f>
        <v>2.4999999999991473E-2</v>
      </c>
      <c r="V28" s="20">
        <f>IF($G$23-G28&gt;F28-$F$23,MAX($G$23-G28,0),0)</f>
        <v>0</v>
      </c>
      <c r="W28" s="119">
        <f>$W$23*(2/3)+U28*(1/3)</f>
        <v>2.8037037037035643E-2</v>
      </c>
      <c r="X28" s="119">
        <f>$X$23*(2/3)+V28*(1/3)</f>
        <v>5.9259259259331672E-4</v>
      </c>
      <c r="Y28" s="20">
        <f t="shared" si="25"/>
        <v>62.134062927488408</v>
      </c>
      <c r="Z28" s="20">
        <f t="shared" si="26"/>
        <v>1.3132694938455465</v>
      </c>
      <c r="AA28" s="20">
        <f t="shared" si="27"/>
        <v>95.86028460542822</v>
      </c>
      <c r="AB28" s="20">
        <f>(ABS(W28-X28)/(W28+X28) )* 100</f>
        <v>95.86028460542822</v>
      </c>
      <c r="AC28" s="39">
        <f>(AB28+AB23+AB19)/3</f>
        <v>91.911718087099587</v>
      </c>
      <c r="AD28">
        <v>1</v>
      </c>
    </row>
    <row r="29" spans="1:30" x14ac:dyDescent="0.2">
      <c r="A29" s="100">
        <v>6.25E-2</v>
      </c>
      <c r="B29" s="17">
        <v>7</v>
      </c>
      <c r="C29" s="17">
        <v>4</v>
      </c>
      <c r="D29" s="17">
        <v>1</v>
      </c>
      <c r="E29" s="6">
        <v>120.39700000000001</v>
      </c>
      <c r="F29" s="6">
        <v>120.39700000000001</v>
      </c>
      <c r="G29" s="6">
        <v>120.39700000000001</v>
      </c>
      <c r="H29" s="7">
        <v>120.39700000000001</v>
      </c>
      <c r="I29" s="21">
        <f>$I$28+(H29-$H$19)/3</f>
        <v>120.40833333333332</v>
      </c>
      <c r="J29" s="21">
        <f>H29*(2/4) + $J$28*(1-2/4)</f>
        <v>120.39446875</v>
      </c>
      <c r="K29" s="35">
        <f>_xlfn.STDEV.S(H29,$H$28,$H$23)*SQRT(2/3)</f>
        <v>1.5326085243432907E-2</v>
      </c>
      <c r="L29" s="21">
        <f>I29+10*K29</f>
        <v>120.56159418576765</v>
      </c>
      <c r="M29" s="21">
        <f>(H29/$H$19-1)*100</f>
        <v>3.0741110003318362E-2</v>
      </c>
      <c r="N29" s="128"/>
      <c r="O29" s="21"/>
      <c r="P29" s="32">
        <f t="shared" si="8"/>
        <v>-1</v>
      </c>
      <c r="Q29" s="21">
        <f>MAX(F29,$H$28)-MIN(G29,$H$28)</f>
        <v>9.9999999999056399E-4</v>
      </c>
      <c r="R29" s="21">
        <f>(MAX(F29,$H$28)/MIN(G29,$H$28)-1)*100</f>
        <v>8.305854797052703E-4</v>
      </c>
      <c r="S29" s="21">
        <f>$S$28*(2/3)+Q29*(1/3)</f>
        <v>3.0415637860081619E-2</v>
      </c>
      <c r="T29" s="21">
        <f>$T$28*(2/3)+R29*(1/3)</f>
        <v>2.5369027153391083E-2</v>
      </c>
      <c r="U29" s="21">
        <f>IF(F29-$F$28&gt;$G$28-G29,MAX(F29-$F$28,0),0)</f>
        <v>0</v>
      </c>
      <c r="V29" s="21">
        <f>IF($G$28-G29&gt;F29-$F$28,MAX($G$28-G29,0),0)</f>
        <v>9.9999999999056399E-4</v>
      </c>
      <c r="W29" s="117">
        <f>$W$28*(2/3)+U29*(1/3)</f>
        <v>1.8691358024690428E-2</v>
      </c>
      <c r="X29" s="117">
        <f>$X$28*(2/3)+V29*(1/3)</f>
        <v>7.2839506172573244E-4</v>
      </c>
      <c r="Y29" s="21">
        <f t="shared" si="25"/>
        <v>61.453118657825414</v>
      </c>
      <c r="Z29" s="21">
        <f t="shared" si="26"/>
        <v>2.3948044919409681</v>
      </c>
      <c r="AA29" s="21">
        <f t="shared" si="27"/>
        <v>92.498410680254906</v>
      </c>
      <c r="AB29" s="21">
        <f t="shared" ref="AB29:AB48" si="36">(ABS(W29-X29)/(W29+X29) )* 100</f>
        <v>92.498410680254906</v>
      </c>
      <c r="AC29" s="40">
        <f>$AC$28*(2/3)+AB29*(1/3)</f>
        <v>92.107282284818027</v>
      </c>
      <c r="AD29">
        <v>0</v>
      </c>
    </row>
    <row r="30" spans="1:30" x14ac:dyDescent="0.2">
      <c r="A30" s="100">
        <v>6.25E-2</v>
      </c>
      <c r="B30" s="17">
        <v>7</v>
      </c>
      <c r="C30" s="17">
        <v>4</v>
      </c>
      <c r="D30" s="17">
        <v>0</v>
      </c>
      <c r="E30" s="6">
        <v>120.39700000000001</v>
      </c>
      <c r="F30" s="6">
        <v>120.39700000000001</v>
      </c>
      <c r="G30" s="6">
        <v>120.35</v>
      </c>
      <c r="H30" s="7">
        <v>120.35</v>
      </c>
      <c r="I30" s="21">
        <f t="shared" ref="I30:I31" si="37">$I$28+(H30-$H$19)/3</f>
        <v>120.39266666666666</v>
      </c>
      <c r="J30" s="21">
        <f t="shared" ref="J30:J31" si="38">H30*(2/4) + $J$28*(1-2/4)</f>
        <v>120.37096875</v>
      </c>
      <c r="K30" s="33">
        <f t="shared" ref="K30:K31" si="39">_xlfn.STDEV.S(H30,$H$28,$H$23)*SQRT(2/3)</f>
        <v>3.2876874682506038E-2</v>
      </c>
      <c r="L30" s="21">
        <f t="shared" si="7"/>
        <v>120.72143541349172</v>
      </c>
      <c r="M30" s="21">
        <f t="shared" ref="M30:M31" si="40">(H30/$H$19-1)*100</f>
        <v>-8.3084081090145645E-3</v>
      </c>
      <c r="N30" s="128"/>
      <c r="O30" s="21"/>
      <c r="P30" s="32">
        <f t="shared" si="8"/>
        <v>1</v>
      </c>
      <c r="Q30" s="21">
        <f t="shared" ref="Q30:Q31" si="41">MAX(F30,$H$28)-MIN(G30,$H$28)</f>
        <v>4.8000000000001819E-2</v>
      </c>
      <c r="R30" s="21">
        <f t="shared" ref="R30:R31" si="42">(MAX(F30,$H$28)/MIN(G30,$H$28)-1)*100</f>
        <v>3.9883672621532362E-2</v>
      </c>
      <c r="S30" s="21">
        <f t="shared" ref="S30:S31" si="43">$S$28*(2/3)+Q30*(1/3)</f>
        <v>4.6082304526752035E-2</v>
      </c>
      <c r="T30" s="21">
        <f t="shared" ref="T30:T31" si="44">$T$28*(2/3)+R30*(1/3)</f>
        <v>3.8386722867333446E-2</v>
      </c>
      <c r="U30" s="21">
        <f t="shared" ref="U30:U31" si="45">IF(F30-$F$28&gt;$G$28-G30,MAX(F30-$F$28,0),0)</f>
        <v>0</v>
      </c>
      <c r="V30" s="21">
        <f t="shared" ref="V30:V31" si="46">IF($G$28-G30&gt;F30-$F$28,MAX($G$28-G30,0),0)</f>
        <v>4.8000000000001819E-2</v>
      </c>
      <c r="W30" s="117">
        <f t="shared" ref="W30:W31" si="47">$W$28*(2/3)+U30*(1/3)</f>
        <v>1.8691358024690428E-2</v>
      </c>
      <c r="X30" s="117">
        <f t="shared" ref="X30:X31" si="48">$X$28*(2/3)+V30*(1/3)</f>
        <v>1.6395061728396148E-2</v>
      </c>
      <c r="Y30" s="21">
        <f t="shared" si="25"/>
        <v>40.560814431143704</v>
      </c>
      <c r="Z30" s="21">
        <f t="shared" si="26"/>
        <v>35.577781746740484</v>
      </c>
      <c r="AA30" s="21">
        <f t="shared" si="27"/>
        <v>6.5446868402475626</v>
      </c>
      <c r="AB30" s="21">
        <f t="shared" si="36"/>
        <v>6.5446868402475697</v>
      </c>
      <c r="AC30" s="40">
        <f t="shared" ref="AC30:AC31" si="49">$AC$28*(2/3)+AB30*(1/3)</f>
        <v>63.456041004815582</v>
      </c>
    </row>
    <row r="31" spans="1:30" x14ac:dyDescent="0.2">
      <c r="A31" s="101">
        <v>6.25E-2</v>
      </c>
      <c r="B31" s="22">
        <v>7</v>
      </c>
      <c r="C31" s="22">
        <v>4</v>
      </c>
      <c r="D31" s="22">
        <v>0</v>
      </c>
      <c r="E31" s="13">
        <v>120.39700000000001</v>
      </c>
      <c r="F31" s="14">
        <v>120.39700000000001</v>
      </c>
      <c r="G31" s="14">
        <v>120.327</v>
      </c>
      <c r="H31" s="15">
        <v>120.327</v>
      </c>
      <c r="I31" s="28">
        <f t="shared" si="37"/>
        <v>120.38499999999999</v>
      </c>
      <c r="J31" s="29">
        <f t="shared" si="38"/>
        <v>120.35946874999999</v>
      </c>
      <c r="K31" s="34">
        <f t="shared" si="39"/>
        <v>4.3042614542647246E-2</v>
      </c>
      <c r="L31" s="29">
        <f t="shared" si="7"/>
        <v>120.81542614542646</v>
      </c>
      <c r="M31" s="29">
        <f t="shared" si="40"/>
        <v>-2.7417746759716977E-2</v>
      </c>
      <c r="N31" s="131">
        <f>MAX(F28,F23,F19)</f>
        <v>120.455</v>
      </c>
      <c r="O31" s="29">
        <f>MIN(G28,G23,G19)</f>
        <v>120.343</v>
      </c>
      <c r="P31" s="36">
        <f t="shared" si="8"/>
        <v>1</v>
      </c>
      <c r="Q31" s="20">
        <f t="shared" si="41"/>
        <v>7.0999999999997954E-2</v>
      </c>
      <c r="R31" s="20">
        <f t="shared" si="42"/>
        <v>5.9005875655504525E-2</v>
      </c>
      <c r="S31" s="29">
        <f t="shared" si="43"/>
        <v>5.3748971193417414E-2</v>
      </c>
      <c r="T31" s="29">
        <f t="shared" si="44"/>
        <v>4.4760790545324169E-2</v>
      </c>
      <c r="U31" s="20">
        <f t="shared" si="45"/>
        <v>0</v>
      </c>
      <c r="V31" s="20">
        <f t="shared" si="46"/>
        <v>7.0999999999997954E-2</v>
      </c>
      <c r="W31" s="119">
        <f t="shared" si="47"/>
        <v>1.8691358024690428E-2</v>
      </c>
      <c r="X31" s="119">
        <f t="shared" si="48"/>
        <v>2.4061728395061526E-2</v>
      </c>
      <c r="Y31" s="20">
        <f t="shared" si="25"/>
        <v>34.775285200211499</v>
      </c>
      <c r="Z31" s="20">
        <f t="shared" si="26"/>
        <v>44.766863180459062</v>
      </c>
      <c r="AA31" s="20">
        <f t="shared" si="27"/>
        <v>12.561362980077117</v>
      </c>
      <c r="AB31" s="20">
        <f t="shared" si="36"/>
        <v>12.561362980077115</v>
      </c>
      <c r="AC31" s="41">
        <f t="shared" si="49"/>
        <v>65.461599718092089</v>
      </c>
    </row>
    <row r="32" spans="1:30" x14ac:dyDescent="0.2">
      <c r="A32" s="100">
        <v>7.2916666666666671E-2</v>
      </c>
      <c r="B32" s="17">
        <v>8</v>
      </c>
      <c r="C32" s="17">
        <v>5</v>
      </c>
      <c r="D32" s="17">
        <v>1</v>
      </c>
      <c r="E32" s="6">
        <v>120.32299999999999</v>
      </c>
      <c r="F32" s="6">
        <v>120.32299999999999</v>
      </c>
      <c r="G32" s="6">
        <v>120.32299999999999</v>
      </c>
      <c r="H32" s="7">
        <v>120.32299999999999</v>
      </c>
      <c r="I32" s="21">
        <f>$I$31+(H32-$H$23)/3</f>
        <v>120.34933333333332</v>
      </c>
      <c r="J32" s="21">
        <f>H32*(2/4) + $J$31*(1-2/4)</f>
        <v>120.341234375</v>
      </c>
      <c r="K32" s="35">
        <f>_xlfn.STDEV.S(H32,$H$31,$H$28)*SQRT(2/3)</f>
        <v>3.4451253807211549E-2</v>
      </c>
      <c r="L32" s="21">
        <f t="shared" si="7"/>
        <v>120.69384587140543</v>
      </c>
      <c r="M32" s="21">
        <f>(H32/$H$23-1)*100</f>
        <v>-8.8848293614562923E-2</v>
      </c>
      <c r="N32" s="128"/>
      <c r="O32" s="21"/>
      <c r="P32" s="32">
        <f t="shared" si="8"/>
        <v>-1</v>
      </c>
      <c r="Q32" s="21">
        <f>MAX(F32,$H$31)-MIN(G32,$H$31)</f>
        <v>4.0000000000048885E-3</v>
      </c>
      <c r="R32" s="21">
        <f>(MAX(F32,$H$31)/MIN(G32,$H$31)-1)*100</f>
        <v>3.3243851965236715E-3</v>
      </c>
      <c r="S32" s="21">
        <f>$S$31*(2/3)+Q32*(1/3)</f>
        <v>3.7165980795613236E-2</v>
      </c>
      <c r="T32" s="21">
        <f>$T$31*(2/3)+R32*(1/3)</f>
        <v>3.0948655429057337E-2</v>
      </c>
      <c r="U32" s="21">
        <f>IF(F32-$F$31&gt;$G$31-G32,MAX(F32-$F$31,0),0)</f>
        <v>0</v>
      </c>
      <c r="V32" s="21">
        <f>IF($G$31-G32&gt;F32-$F$31,MAX($G$31-G32,0),0)</f>
        <v>4.0000000000048885E-3</v>
      </c>
      <c r="W32" s="117">
        <f>$W$31*(2/3)+U32*(1/3)</f>
        <v>1.2460905349793619E-2</v>
      </c>
      <c r="X32" s="117">
        <f t="shared" ref="X32:X39" si="50">$X$31*(2/3)+V32*(1/3)</f>
        <v>1.7374485596709312E-2</v>
      </c>
      <c r="Y32" s="21">
        <f t="shared" si="25"/>
        <v>33.527718314013661</v>
      </c>
      <c r="Z32" s="21">
        <f t="shared" si="26"/>
        <v>46.748357569942165</v>
      </c>
      <c r="AA32" s="21">
        <f t="shared" si="27"/>
        <v>16.468965517247977</v>
      </c>
      <c r="AB32" s="21">
        <f t="shared" si="36"/>
        <v>16.46896551724798</v>
      </c>
      <c r="AC32" s="40">
        <f>$AC$31*(2/3)+AB32*(1/3)</f>
        <v>49.13072165114405</v>
      </c>
    </row>
    <row r="33" spans="1:29" x14ac:dyDescent="0.2">
      <c r="A33" s="100">
        <v>7.2916666666666671E-2</v>
      </c>
      <c r="B33" s="17">
        <v>8</v>
      </c>
      <c r="C33" s="17">
        <v>5</v>
      </c>
      <c r="D33" s="17">
        <v>0</v>
      </c>
      <c r="E33" s="6">
        <v>120.32299999999999</v>
      </c>
      <c r="F33" s="6">
        <v>120.32299999999999</v>
      </c>
      <c r="G33" s="6">
        <v>120.286</v>
      </c>
      <c r="H33" s="7">
        <v>120.286</v>
      </c>
      <c r="I33" s="21">
        <f t="shared" ref="I33:I39" si="51">$I$31+(H33-$H$23)/3</f>
        <v>120.33699999999999</v>
      </c>
      <c r="J33" s="21">
        <f t="shared" ref="J33:J39" si="52">H33*(2/4) + $J$31*(1-2/4)</f>
        <v>120.322734375</v>
      </c>
      <c r="K33" s="33">
        <f t="shared" ref="K33:K39" si="53">_xlfn.STDEV.S(H33,$H$31,$H$28)*SQRT(2/3)</f>
        <v>4.6267339092133611E-2</v>
      </c>
      <c r="L33" s="21">
        <f t="shared" si="7"/>
        <v>120.79967339092133</v>
      </c>
      <c r="M33" s="21">
        <f t="shared" ref="M33:M39" si="54">(H33/$H$23-1)*100</f>
        <v>-0.11957153533173059</v>
      </c>
      <c r="N33" s="128"/>
      <c r="O33" s="21"/>
      <c r="P33" s="32">
        <f t="shared" si="8"/>
        <v>1</v>
      </c>
      <c r="Q33" s="21">
        <f t="shared" ref="Q33:Q39" si="55">MAX(F33,$H$31)-MIN(G33,$H$31)</f>
        <v>4.0999999999996817E-2</v>
      </c>
      <c r="R33" s="21">
        <f t="shared" ref="R33:R39" si="56">(MAX(F33,$H$31)/MIN(G33,$H$31)-1)*100</f>
        <v>3.408542972582751E-2</v>
      </c>
      <c r="S33" s="21">
        <f t="shared" ref="S33:S39" si="57">$S$31*(2/3)+Q33*(1/3)</f>
        <v>4.9499314128943879E-2</v>
      </c>
      <c r="T33" s="21">
        <f t="shared" ref="T33:T39" si="58">$T$31*(2/3)+R33*(1/3)</f>
        <v>4.1202336938825281E-2</v>
      </c>
      <c r="U33" s="21">
        <f t="shared" ref="U33:U39" si="59">IF(F33-$F$31&gt;$G$31-G33,MAX(F33-$F$31,0),0)</f>
        <v>0</v>
      </c>
      <c r="V33" s="21">
        <f t="shared" ref="V33:V39" si="60">IF($G$31-G33&gt;F33-$F$31,MAX($G$31-G33,0),0)</f>
        <v>4.0999999999996817E-2</v>
      </c>
      <c r="W33" s="117">
        <f t="shared" ref="W33:W39" si="61">$W$31*(2/3)+U33*(1/3)</f>
        <v>1.2460905349793619E-2</v>
      </c>
      <c r="X33" s="117">
        <f t="shared" si="50"/>
        <v>2.9707818930039955E-2</v>
      </c>
      <c r="Y33" s="21">
        <f t="shared" si="25"/>
        <v>25.173894970207915</v>
      </c>
      <c r="Z33" s="21">
        <f t="shared" si="26"/>
        <v>60.016627407507485</v>
      </c>
      <c r="AA33" s="21">
        <f t="shared" si="27"/>
        <v>40.899775544062081</v>
      </c>
      <c r="AB33" s="21">
        <f t="shared" si="36"/>
        <v>40.899775544062067</v>
      </c>
      <c r="AC33" s="40">
        <f t="shared" ref="AC33:AC39" si="62">$AC$31*(2/3)+AB33*(1/3)</f>
        <v>57.274324993415412</v>
      </c>
    </row>
    <row r="34" spans="1:29" x14ac:dyDescent="0.2">
      <c r="A34" s="100">
        <v>7.2916666666666671E-2</v>
      </c>
      <c r="B34" s="17">
        <v>8</v>
      </c>
      <c r="C34" s="17">
        <v>5</v>
      </c>
      <c r="D34" s="17">
        <v>0</v>
      </c>
      <c r="E34" s="6">
        <v>120.32299999999999</v>
      </c>
      <c r="F34" s="6">
        <v>120.32299999999999</v>
      </c>
      <c r="G34" s="6">
        <v>120.246</v>
      </c>
      <c r="H34" s="7">
        <v>120.246</v>
      </c>
      <c r="I34" s="21">
        <f t="shared" si="51"/>
        <v>120.32366666666665</v>
      </c>
      <c r="J34" s="21">
        <f t="shared" si="52"/>
        <v>120.302734375</v>
      </c>
      <c r="K34" s="33">
        <f t="shared" si="53"/>
        <v>6.2098488083223727E-2</v>
      </c>
      <c r="L34" s="21">
        <f t="shared" si="7"/>
        <v>120.94465154749889</v>
      </c>
      <c r="M34" s="21">
        <f t="shared" si="54"/>
        <v>-0.15278585070166439</v>
      </c>
      <c r="N34" s="128"/>
      <c r="O34" s="21"/>
      <c r="P34" s="32">
        <f t="shared" si="8"/>
        <v>1</v>
      </c>
      <c r="Q34" s="21">
        <f t="shared" si="55"/>
        <v>8.100000000000307E-2</v>
      </c>
      <c r="R34" s="21">
        <f t="shared" si="56"/>
        <v>6.7361908088425793E-2</v>
      </c>
      <c r="S34" s="21">
        <f t="shared" si="57"/>
        <v>6.283264746227929E-2</v>
      </c>
      <c r="T34" s="21">
        <f t="shared" si="58"/>
        <v>5.2294496393024706E-2</v>
      </c>
      <c r="U34" s="21">
        <f t="shared" si="59"/>
        <v>0</v>
      </c>
      <c r="V34" s="21">
        <f t="shared" si="60"/>
        <v>8.100000000000307E-2</v>
      </c>
      <c r="W34" s="117">
        <f t="shared" si="61"/>
        <v>1.2460905349793619E-2</v>
      </c>
      <c r="X34" s="117">
        <f t="shared" si="50"/>
        <v>4.3041152263375376E-2</v>
      </c>
      <c r="Y34" s="21">
        <f t="shared" si="25"/>
        <v>19.831896081212161</v>
      </c>
      <c r="Z34" s="21">
        <f t="shared" si="26"/>
        <v>68.501255321470481</v>
      </c>
      <c r="AA34" s="21">
        <f t="shared" si="27"/>
        <v>55.097501297548234</v>
      </c>
      <c r="AB34" s="21">
        <f t="shared" si="36"/>
        <v>55.097501297548234</v>
      </c>
      <c r="AC34" s="40">
        <f t="shared" si="62"/>
        <v>62.006900244577466</v>
      </c>
    </row>
    <row r="35" spans="1:29" x14ac:dyDescent="0.2">
      <c r="A35" s="100">
        <v>7.2916666666666671E-2</v>
      </c>
      <c r="B35" s="17">
        <v>8</v>
      </c>
      <c r="C35" s="17">
        <v>5</v>
      </c>
      <c r="D35" s="17">
        <v>0</v>
      </c>
      <c r="E35" s="6">
        <v>120.32299999999999</v>
      </c>
      <c r="F35" s="6">
        <v>120.32299999999999</v>
      </c>
      <c r="G35" s="6">
        <v>120.18899999999999</v>
      </c>
      <c r="H35" s="7">
        <v>120.18899999999999</v>
      </c>
      <c r="I35" s="21">
        <f t="shared" si="51"/>
        <v>120.30466666666665</v>
      </c>
      <c r="J35" s="21">
        <f t="shared" si="52"/>
        <v>120.27423437499999</v>
      </c>
      <c r="K35" s="33">
        <f t="shared" si="53"/>
        <v>8.6773011677340278E-2</v>
      </c>
      <c r="L35" s="21">
        <f t="shared" si="7"/>
        <v>121.17239678344005</v>
      </c>
      <c r="M35" s="21">
        <f t="shared" si="54"/>
        <v>-0.20011625010381007</v>
      </c>
      <c r="N35" s="128"/>
      <c r="O35" s="21"/>
      <c r="P35" s="32">
        <f t="shared" si="8"/>
        <v>1</v>
      </c>
      <c r="Q35" s="21">
        <f t="shared" si="55"/>
        <v>0.13800000000000523</v>
      </c>
      <c r="R35" s="21">
        <f t="shared" si="56"/>
        <v>0.11481915982327617</v>
      </c>
      <c r="S35" s="21">
        <f t="shared" si="57"/>
        <v>8.1832647462280014E-2</v>
      </c>
      <c r="T35" s="21">
        <f t="shared" si="58"/>
        <v>6.8113580304641499E-2</v>
      </c>
      <c r="U35" s="21">
        <f t="shared" si="59"/>
        <v>0</v>
      </c>
      <c r="V35" s="21">
        <f t="shared" si="60"/>
        <v>0.13800000000000523</v>
      </c>
      <c r="W35" s="117">
        <f t="shared" si="61"/>
        <v>1.2460905349793619E-2</v>
      </c>
      <c r="X35" s="117">
        <f t="shared" si="50"/>
        <v>6.2041152263376087E-2</v>
      </c>
      <c r="Y35" s="21">
        <f t="shared" si="25"/>
        <v>15.22730320504094</v>
      </c>
      <c r="Z35" s="21">
        <f>100*(X35/S35)</f>
        <v>75.814670779132953</v>
      </c>
      <c r="AA35" s="21">
        <f t="shared" si="27"/>
        <v>66.548828988071037</v>
      </c>
      <c r="AB35" s="21">
        <f t="shared" si="36"/>
        <v>66.548828988071037</v>
      </c>
      <c r="AC35" s="40">
        <f t="shared" si="62"/>
        <v>65.824009474751733</v>
      </c>
    </row>
    <row r="36" spans="1:29" x14ac:dyDescent="0.2">
      <c r="A36" s="100">
        <v>7.2916666666666671E-2</v>
      </c>
      <c r="B36" s="17">
        <v>8</v>
      </c>
      <c r="C36" s="17">
        <v>5</v>
      </c>
      <c r="D36" s="17">
        <v>0</v>
      </c>
      <c r="E36" s="6">
        <v>120.32299999999999</v>
      </c>
      <c r="F36" s="6">
        <v>120.32299999999999</v>
      </c>
      <c r="G36" s="6">
        <v>120.137</v>
      </c>
      <c r="H36" s="7">
        <v>120.137</v>
      </c>
      <c r="I36" s="21">
        <f t="shared" si="51"/>
        <v>120.28733333333332</v>
      </c>
      <c r="J36" s="21">
        <f t="shared" si="52"/>
        <v>120.248234375</v>
      </c>
      <c r="K36" s="33">
        <f t="shared" si="53"/>
        <v>0.11018267659764779</v>
      </c>
      <c r="L36" s="21">
        <f t="shared" si="7"/>
        <v>121.38916009930981</v>
      </c>
      <c r="M36" s="21">
        <f t="shared" si="54"/>
        <v>-0.24329486008469736</v>
      </c>
      <c r="N36" s="128"/>
      <c r="O36" s="21"/>
      <c r="P36" s="32">
        <f t="shared" si="8"/>
        <v>1</v>
      </c>
      <c r="Q36" s="21">
        <f t="shared" si="55"/>
        <v>0.18999999999999773</v>
      </c>
      <c r="R36" s="21">
        <f t="shared" si="56"/>
        <v>0.15815277558119956</v>
      </c>
      <c r="S36" s="21">
        <f t="shared" si="57"/>
        <v>9.9165980795610842E-2</v>
      </c>
      <c r="T36" s="21">
        <f t="shared" si="58"/>
        <v>8.2558118890615956E-2</v>
      </c>
      <c r="U36" s="21">
        <f t="shared" si="59"/>
        <v>0</v>
      </c>
      <c r="V36" s="21">
        <f t="shared" si="60"/>
        <v>0.18999999999999773</v>
      </c>
      <c r="W36" s="117">
        <f t="shared" si="61"/>
        <v>1.2460905349793619E-2</v>
      </c>
      <c r="X36" s="117">
        <f t="shared" si="50"/>
        <v>7.9374485596706928E-2</v>
      </c>
      <c r="Y36" s="21">
        <f t="shared" si="25"/>
        <v>12.565705748906533</v>
      </c>
      <c r="Z36" s="21">
        <f t="shared" si="26"/>
        <v>80.042051679299377</v>
      </c>
      <c r="AA36" s="21">
        <f t="shared" si="27"/>
        <v>72.862520164904993</v>
      </c>
      <c r="AB36" s="21">
        <f t="shared" si="36"/>
        <v>72.862520164905007</v>
      </c>
      <c r="AC36" s="40">
        <f t="shared" si="62"/>
        <v>67.928573200363061</v>
      </c>
    </row>
    <row r="37" spans="1:29" x14ac:dyDescent="0.2">
      <c r="A37" s="100">
        <v>7.2916666666666671E-2</v>
      </c>
      <c r="B37" s="17">
        <v>8</v>
      </c>
      <c r="C37" s="17">
        <v>5</v>
      </c>
      <c r="D37" s="17">
        <v>0</v>
      </c>
      <c r="E37" s="6">
        <v>120.32299999999999</v>
      </c>
      <c r="F37" s="6">
        <v>120.32299999999999</v>
      </c>
      <c r="G37" s="6">
        <v>120.1</v>
      </c>
      <c r="H37" s="7">
        <v>120.1</v>
      </c>
      <c r="I37" s="21">
        <f t="shared" si="51"/>
        <v>120.27499999999999</v>
      </c>
      <c r="J37" s="21">
        <f t="shared" si="52"/>
        <v>120.22973437499999</v>
      </c>
      <c r="K37" s="33">
        <f t="shared" si="53"/>
        <v>0.12709314169799624</v>
      </c>
      <c r="L37" s="21">
        <f t="shared" si="7"/>
        <v>121.54593141697995</v>
      </c>
      <c r="M37" s="21">
        <f t="shared" si="54"/>
        <v>-0.27401810180188724</v>
      </c>
      <c r="N37" s="128"/>
      <c r="O37" s="21"/>
      <c r="P37" s="32">
        <f t="shared" si="8"/>
        <v>1</v>
      </c>
      <c r="Q37" s="21">
        <f t="shared" si="55"/>
        <v>0.22700000000000387</v>
      </c>
      <c r="R37" s="21">
        <f t="shared" si="56"/>
        <v>0.18900915903414806</v>
      </c>
      <c r="S37" s="21">
        <f t="shared" si="57"/>
        <v>0.11149931412894623</v>
      </c>
      <c r="T37" s="21">
        <f t="shared" si="58"/>
        <v>9.2843580041598789E-2</v>
      </c>
      <c r="U37" s="21">
        <f t="shared" si="59"/>
        <v>0</v>
      </c>
      <c r="V37" s="21">
        <f t="shared" si="60"/>
        <v>0.22700000000000387</v>
      </c>
      <c r="W37" s="117">
        <f t="shared" si="61"/>
        <v>1.2460905349793619E-2</v>
      </c>
      <c r="X37" s="117">
        <f t="shared" si="50"/>
        <v>9.1707818930042304E-2</v>
      </c>
      <c r="Y37" s="21">
        <f t="shared" si="25"/>
        <v>11.175768610901846</v>
      </c>
      <c r="Z37" s="21">
        <f t="shared" si="26"/>
        <v>82.249670902894039</v>
      </c>
      <c r="AA37" s="21">
        <f>(ABS(Y37-Z37)/(Y37+Z37) )* 100</f>
        <v>76.075534310434705</v>
      </c>
      <c r="AB37" s="21">
        <f t="shared" si="36"/>
        <v>76.075534310434691</v>
      </c>
      <c r="AC37" s="40">
        <f t="shared" si="62"/>
        <v>68.999577915539618</v>
      </c>
    </row>
    <row r="38" spans="1:29" x14ac:dyDescent="0.2">
      <c r="A38" s="100">
        <v>7.2916666666666671E-2</v>
      </c>
      <c r="B38" s="17">
        <v>8</v>
      </c>
      <c r="C38" s="17">
        <v>5</v>
      </c>
      <c r="D38" s="17">
        <v>0</v>
      </c>
      <c r="E38" s="6">
        <v>120.32299999999999</v>
      </c>
      <c r="F38" s="6">
        <v>120.32299999999999</v>
      </c>
      <c r="G38" s="6">
        <v>120.08499999999999</v>
      </c>
      <c r="H38" s="7">
        <v>120.08499999999999</v>
      </c>
      <c r="I38" s="21">
        <f t="shared" si="51"/>
        <v>120.26999999999998</v>
      </c>
      <c r="J38" s="21">
        <f t="shared" si="52"/>
        <v>120.222234375</v>
      </c>
      <c r="K38" s="33">
        <f t="shared" si="53"/>
        <v>0.13398756161176692</v>
      </c>
      <c r="L38" s="21">
        <f t="shared" si="7"/>
        <v>121.60987561611765</v>
      </c>
      <c r="M38" s="21">
        <f t="shared" si="54"/>
        <v>-0.28647347006560686</v>
      </c>
      <c r="N38" s="128"/>
      <c r="O38" s="21"/>
      <c r="P38" s="32">
        <f t="shared" si="8"/>
        <v>1</v>
      </c>
      <c r="Q38" s="21">
        <f t="shared" si="55"/>
        <v>0.24200000000000443</v>
      </c>
      <c r="R38" s="21">
        <f t="shared" si="56"/>
        <v>0.2015239205562791</v>
      </c>
      <c r="S38" s="21">
        <f t="shared" si="57"/>
        <v>0.1164993141289464</v>
      </c>
      <c r="T38" s="21">
        <f t="shared" si="58"/>
        <v>9.7015167215642475E-2</v>
      </c>
      <c r="U38" s="21">
        <f t="shared" si="59"/>
        <v>0</v>
      </c>
      <c r="V38" s="21">
        <f t="shared" si="60"/>
        <v>0.24200000000000443</v>
      </c>
      <c r="W38" s="117">
        <f t="shared" si="61"/>
        <v>1.2460905349793619E-2</v>
      </c>
      <c r="X38" s="117">
        <f t="shared" si="50"/>
        <v>9.6707818930042488E-2</v>
      </c>
      <c r="Y38" s="21">
        <f t="shared" si="25"/>
        <v>10.696119065560643</v>
      </c>
      <c r="Z38" s="21">
        <f t="shared" si="26"/>
        <v>83.011492087414481</v>
      </c>
      <c r="AA38" s="21">
        <f t="shared" si="27"/>
        <v>77.171290711702127</v>
      </c>
      <c r="AB38" s="21">
        <f t="shared" si="36"/>
        <v>77.171290711702127</v>
      </c>
      <c r="AC38" s="40">
        <f t="shared" si="62"/>
        <v>69.364830049295435</v>
      </c>
    </row>
    <row r="39" spans="1:29" x14ac:dyDescent="0.2">
      <c r="A39" s="101">
        <v>7.2916666666666671E-2</v>
      </c>
      <c r="B39" s="22">
        <v>8</v>
      </c>
      <c r="C39" s="22">
        <v>5</v>
      </c>
      <c r="D39" s="22">
        <v>0</v>
      </c>
      <c r="E39" s="13">
        <v>120.32299999999999</v>
      </c>
      <c r="F39" s="14">
        <v>120.32299999999999</v>
      </c>
      <c r="G39" s="14">
        <v>120.023</v>
      </c>
      <c r="H39" s="15">
        <v>120.023</v>
      </c>
      <c r="I39" s="28">
        <f t="shared" si="51"/>
        <v>120.24933333333333</v>
      </c>
      <c r="J39" s="29">
        <f t="shared" si="52"/>
        <v>120.19123437499999</v>
      </c>
      <c r="K39" s="34">
        <f t="shared" si="53"/>
        <v>0.16264549042489823</v>
      </c>
      <c r="L39" s="29">
        <f t="shared" si="7"/>
        <v>121.87578823758231</v>
      </c>
      <c r="M39" s="29">
        <f t="shared" si="54"/>
        <v>-0.33795565888898871</v>
      </c>
      <c r="N39" s="131">
        <f>MAX(F31,F28,F23)</f>
        <v>120.455</v>
      </c>
      <c r="O39" s="29">
        <f>MIN(G31,G28,G23)</f>
        <v>120.327</v>
      </c>
      <c r="P39" s="36">
        <f t="shared" si="8"/>
        <v>1</v>
      </c>
      <c r="Q39" s="20">
        <f t="shared" si="55"/>
        <v>0.30400000000000205</v>
      </c>
      <c r="R39" s="20">
        <f t="shared" si="56"/>
        <v>0.25328478708248614</v>
      </c>
      <c r="S39" s="29">
        <f t="shared" si="57"/>
        <v>0.13716598079561229</v>
      </c>
      <c r="T39" s="29">
        <f t="shared" si="58"/>
        <v>0.11426878939104482</v>
      </c>
      <c r="U39" s="20">
        <f t="shared" si="59"/>
        <v>0</v>
      </c>
      <c r="V39" s="20">
        <f t="shared" si="60"/>
        <v>0.30400000000000205</v>
      </c>
      <c r="W39" s="119">
        <f t="shared" si="61"/>
        <v>1.2460905349793619E-2</v>
      </c>
      <c r="X39" s="119">
        <f t="shared" si="50"/>
        <v>0.11737448559670836</v>
      </c>
      <c r="Y39" s="20">
        <f t="shared" si="25"/>
        <v>9.0845450727037864</v>
      </c>
      <c r="Z39" s="20">
        <f t="shared" si="26"/>
        <v>85.571134268055317</v>
      </c>
      <c r="AA39" s="20">
        <f t="shared" si="27"/>
        <v>80.805071315373368</v>
      </c>
      <c r="AB39" s="20">
        <f t="shared" si="36"/>
        <v>80.805071315373368</v>
      </c>
      <c r="AC39" s="41">
        <f t="shared" si="62"/>
        <v>70.576090250519172</v>
      </c>
    </row>
    <row r="40" spans="1:29" x14ac:dyDescent="0.2">
      <c r="A40" s="100">
        <v>8.3333333333333329E-2</v>
      </c>
      <c r="B40" s="17">
        <v>9</v>
      </c>
      <c r="C40" s="17">
        <v>6</v>
      </c>
      <c r="D40" s="17">
        <v>1</v>
      </c>
      <c r="E40" s="6">
        <v>119.98</v>
      </c>
      <c r="F40" s="6">
        <v>119.98</v>
      </c>
      <c r="G40" s="6">
        <v>119.98</v>
      </c>
      <c r="H40" s="7">
        <v>119.98</v>
      </c>
      <c r="I40" s="21">
        <f>$I$39+(H40-$H$28)/3</f>
        <v>120.11</v>
      </c>
      <c r="J40" s="21">
        <f>H40*(2/4) + $J$39*(1-2/4)</f>
        <v>120.08561718749999</v>
      </c>
      <c r="K40" s="35">
        <f>_xlfn.STDEV.S(H40,$H$39,$H$31)*SQRT(2/3)</f>
        <v>0.1544430855255951</v>
      </c>
      <c r="L40" s="21">
        <f t="shared" si="7"/>
        <v>121.65443085525595</v>
      </c>
      <c r="M40" s="21">
        <f>(H40/$H$28-1)*100</f>
        <v>-0.34718184687452247</v>
      </c>
      <c r="N40" s="128"/>
      <c r="O40" s="21"/>
      <c r="P40" s="32">
        <f t="shared" si="8"/>
        <v>-1</v>
      </c>
      <c r="Q40" s="21">
        <f>MAX(F40,$H$39)-MIN(G40,$H$39)</f>
        <v>4.2999999999992156E-2</v>
      </c>
      <c r="R40" s="21">
        <f>(MAX(F40,$H$39)/MIN(G40,$H$39)-1)*100</f>
        <v>3.583930655108869E-2</v>
      </c>
      <c r="S40" s="21">
        <f>$S$39*(2/3)+Q40*(1/3)</f>
        <v>0.10577732053040557</v>
      </c>
      <c r="T40" s="21">
        <f>$T$39*(2/3)+R40*(1/3)</f>
        <v>8.812562844439277E-2</v>
      </c>
      <c r="U40" s="21">
        <f>IF(F40-$F$39&gt;$G$39-G40,MAX(F40-$F$39,0),0)</f>
        <v>0</v>
      </c>
      <c r="V40" s="21">
        <f>IF($G$39-G40&gt;F40-$F$39,MAX($G$39-G40,0),0)</f>
        <v>4.2999999999992156E-2</v>
      </c>
      <c r="W40" s="117">
        <f>$W$39*(2/3)+U40*(1/3)</f>
        <v>8.307270233195746E-3</v>
      </c>
      <c r="X40" s="117">
        <f>$X$39*(2/3)+V40*(1/3)</f>
        <v>9.2582990397802947E-2</v>
      </c>
      <c r="Y40" s="21">
        <f t="shared" si="25"/>
        <v>7.8535457237336903</v>
      </c>
      <c r="Z40" s="21">
        <f t="shared" si="26"/>
        <v>87.526314651910724</v>
      </c>
      <c r="AA40" s="21">
        <f t="shared" si="27"/>
        <v>83.532067057336306</v>
      </c>
      <c r="AB40" s="21">
        <f t="shared" si="36"/>
        <v>83.532067057336306</v>
      </c>
      <c r="AC40" s="40">
        <f>$AC$39*(2/3)+AB40*(1/3)</f>
        <v>74.894749186124884</v>
      </c>
    </row>
    <row r="41" spans="1:29" x14ac:dyDescent="0.2">
      <c r="A41" s="100">
        <v>8.3333333333333329E-2</v>
      </c>
      <c r="B41" s="17">
        <v>9</v>
      </c>
      <c r="C41" s="17">
        <v>6</v>
      </c>
      <c r="D41" s="17">
        <v>0</v>
      </c>
      <c r="E41" s="6">
        <v>119.98</v>
      </c>
      <c r="F41" s="6">
        <v>119.98</v>
      </c>
      <c r="G41" s="6">
        <v>119.83799999999999</v>
      </c>
      <c r="H41" s="7">
        <v>119.83799999999999</v>
      </c>
      <c r="I41" s="21">
        <f t="shared" ref="I41:I48" si="63">$I$39+(H41-$H$28)/3</f>
        <v>120.06266666666666</v>
      </c>
      <c r="J41" s="21">
        <f t="shared" ref="J41:J48" si="64">H41*(2/4) + $J$39*(1-2/4)</f>
        <v>120.01461718749999</v>
      </c>
      <c r="K41" s="33">
        <f t="shared" ref="K41:K48" si="65">_xlfn.STDEV.S(H41,$H$39,$H$31)*SQRT(2/3)</f>
        <v>0.20159420185665791</v>
      </c>
      <c r="L41" s="21">
        <f t="shared" si="7"/>
        <v>122.07860868523323</v>
      </c>
      <c r="M41" s="21">
        <f t="shared" ref="M41:M48" si="66">(H41/$H$28-1)*100</f>
        <v>-0.46512400538215593</v>
      </c>
      <c r="N41" s="128"/>
      <c r="O41" s="21"/>
      <c r="P41" s="32">
        <f t="shared" si="8"/>
        <v>1</v>
      </c>
      <c r="Q41" s="21">
        <f t="shared" ref="Q41:Q48" si="67">MAX(F41,$H$39)-MIN(G41,$H$39)</f>
        <v>0.18500000000000227</v>
      </c>
      <c r="R41" s="21">
        <f t="shared" ref="R41:R48" si="68">(MAX(F41,$H$39)/MIN(G41,$H$39)-1)*100</f>
        <v>0.15437507301523379</v>
      </c>
      <c r="S41" s="21">
        <f t="shared" ref="S41:S48" si="69">$S$39*(2/3)+Q41*(1/3)</f>
        <v>0.15311065386374229</v>
      </c>
      <c r="T41" s="21">
        <f t="shared" ref="T41:T48" si="70">$T$39*(2/3)+R41*(1/3)</f>
        <v>0.12763755059910781</v>
      </c>
      <c r="U41" s="21">
        <f t="shared" ref="U41:U48" si="71">IF(F41-$F$39&gt;$G$39-G41,MAX(F41-$F$39,0),0)</f>
        <v>0</v>
      </c>
      <c r="V41" s="21">
        <f t="shared" ref="V41:V48" si="72">IF($G$39-G41&gt;F41-$F$39,MAX($G$39-G41,0),0)</f>
        <v>0.18500000000000227</v>
      </c>
      <c r="W41" s="117">
        <f t="shared" ref="W41:W48" si="73">$W$39*(2/3)+U41*(1/3)</f>
        <v>8.307270233195746E-3</v>
      </c>
      <c r="X41" s="117">
        <f t="shared" ref="X41:X48" si="74">$X$39*(2/3)+V41*(1/3)</f>
        <v>0.13991632373113966</v>
      </c>
      <c r="Y41" s="21">
        <f t="shared" si="25"/>
        <v>5.4256643960182105</v>
      </c>
      <c r="Z41" s="21">
        <f t="shared" si="26"/>
        <v>91.38248724066932</v>
      </c>
      <c r="AA41" s="21">
        <f t="shared" si="27"/>
        <v>88.790893526445487</v>
      </c>
      <c r="AB41" s="21">
        <f t="shared" si="36"/>
        <v>88.790893526445487</v>
      </c>
      <c r="AC41" s="40">
        <f t="shared" ref="AC41:AC48" si="75">$AC$39*(2/3)+AB41*(1/3)</f>
        <v>76.64769134249461</v>
      </c>
    </row>
    <row r="42" spans="1:29" x14ac:dyDescent="0.2">
      <c r="A42" s="100">
        <v>8.3333333333333329E-2</v>
      </c>
      <c r="B42" s="17">
        <v>9</v>
      </c>
      <c r="C42" s="17">
        <v>6</v>
      </c>
      <c r="D42" s="17">
        <v>0</v>
      </c>
      <c r="E42" s="6">
        <v>119.98</v>
      </c>
      <c r="F42" s="6">
        <v>119.98</v>
      </c>
      <c r="G42" s="6">
        <v>119.83799999999999</v>
      </c>
      <c r="H42" s="7">
        <v>119.905</v>
      </c>
      <c r="I42" s="21">
        <f t="shared" si="63"/>
        <v>120.08499999999999</v>
      </c>
      <c r="J42" s="21">
        <f t="shared" si="64"/>
        <v>120.0481171875</v>
      </c>
      <c r="K42" s="33">
        <f t="shared" si="65"/>
        <v>0.17777138877408366</v>
      </c>
      <c r="L42" s="21">
        <f t="shared" si="7"/>
        <v>121.86271388774082</v>
      </c>
      <c r="M42" s="21">
        <f t="shared" si="66"/>
        <v>-0.40947524045249484</v>
      </c>
      <c r="N42" s="128"/>
      <c r="O42" s="21"/>
      <c r="P42" s="32">
        <f t="shared" si="8"/>
        <v>0.52816901408448946</v>
      </c>
      <c r="Q42" s="21">
        <f t="shared" si="67"/>
        <v>0.18500000000000227</v>
      </c>
      <c r="R42" s="21">
        <f t="shared" si="68"/>
        <v>0.15437507301523379</v>
      </c>
      <c r="S42" s="21">
        <f t="shared" si="69"/>
        <v>0.15311065386374229</v>
      </c>
      <c r="T42" s="21">
        <f t="shared" si="70"/>
        <v>0.12763755059910781</v>
      </c>
      <c r="U42" s="21">
        <f t="shared" si="71"/>
        <v>0</v>
      </c>
      <c r="V42" s="21">
        <f t="shared" si="72"/>
        <v>0.18500000000000227</v>
      </c>
      <c r="W42" s="117">
        <f t="shared" si="73"/>
        <v>8.307270233195746E-3</v>
      </c>
      <c r="X42" s="117">
        <f t="shared" si="74"/>
        <v>0.13991632373113966</v>
      </c>
      <c r="Y42" s="21">
        <f t="shared" si="25"/>
        <v>5.4256643960182105</v>
      </c>
      <c r="Z42" s="21">
        <f t="shared" si="26"/>
        <v>91.38248724066932</v>
      </c>
      <c r="AA42" s="21">
        <f t="shared" si="27"/>
        <v>88.790893526445487</v>
      </c>
      <c r="AB42" s="21">
        <f t="shared" si="36"/>
        <v>88.790893526445487</v>
      </c>
      <c r="AC42" s="40">
        <f t="shared" si="75"/>
        <v>76.64769134249461</v>
      </c>
    </row>
    <row r="43" spans="1:29" x14ac:dyDescent="0.2">
      <c r="A43" s="100">
        <v>8.3333333333333329E-2</v>
      </c>
      <c r="B43" s="17">
        <v>8</v>
      </c>
      <c r="C43" s="17">
        <v>6</v>
      </c>
      <c r="D43" s="17">
        <v>0</v>
      </c>
      <c r="E43" s="6">
        <v>119.98</v>
      </c>
      <c r="F43" s="6">
        <v>119.98</v>
      </c>
      <c r="G43" s="6">
        <v>119.83799999999999</v>
      </c>
      <c r="H43" s="7">
        <v>119.86</v>
      </c>
      <c r="I43" s="21">
        <f t="shared" si="63"/>
        <v>120.07</v>
      </c>
      <c r="J43" s="21">
        <f t="shared" si="64"/>
        <v>120.02561718749999</v>
      </c>
      <c r="K43" s="33">
        <f t="shared" si="65"/>
        <v>0.19352691457951413</v>
      </c>
      <c r="L43" s="21">
        <f t="shared" si="7"/>
        <v>122.00526914579514</v>
      </c>
      <c r="M43" s="21">
        <f t="shared" si="66"/>
        <v>-0.44685127659928048</v>
      </c>
      <c r="N43" s="128"/>
      <c r="O43" s="21"/>
      <c r="P43" s="32">
        <f t="shared" si="8"/>
        <v>0.84507042253518305</v>
      </c>
      <c r="Q43" s="21">
        <f t="shared" si="67"/>
        <v>0.18500000000000227</v>
      </c>
      <c r="R43" s="21">
        <f t="shared" si="68"/>
        <v>0.15437507301523379</v>
      </c>
      <c r="S43" s="21">
        <f t="shared" si="69"/>
        <v>0.15311065386374229</v>
      </c>
      <c r="T43" s="21">
        <f t="shared" si="70"/>
        <v>0.12763755059910781</v>
      </c>
      <c r="U43" s="21">
        <f t="shared" si="71"/>
        <v>0</v>
      </c>
      <c r="V43" s="21">
        <f t="shared" si="72"/>
        <v>0.18500000000000227</v>
      </c>
      <c r="W43" s="117">
        <f t="shared" si="73"/>
        <v>8.307270233195746E-3</v>
      </c>
      <c r="X43" s="117">
        <f t="shared" si="74"/>
        <v>0.13991632373113966</v>
      </c>
      <c r="Y43" s="21">
        <f t="shared" si="25"/>
        <v>5.4256643960182105</v>
      </c>
      <c r="Z43" s="21">
        <f t="shared" si="26"/>
        <v>91.38248724066932</v>
      </c>
      <c r="AA43" s="21">
        <f t="shared" si="27"/>
        <v>88.790893526445487</v>
      </c>
      <c r="AB43" s="21">
        <f t="shared" si="36"/>
        <v>88.790893526445487</v>
      </c>
      <c r="AC43" s="40">
        <f t="shared" si="75"/>
        <v>76.64769134249461</v>
      </c>
    </row>
    <row r="44" spans="1:29" x14ac:dyDescent="0.2">
      <c r="A44" s="100">
        <v>8.3333333333333329E-2</v>
      </c>
      <c r="B44" s="17">
        <v>9</v>
      </c>
      <c r="C44" s="17">
        <v>6</v>
      </c>
      <c r="D44" s="17">
        <v>0</v>
      </c>
      <c r="E44" s="6">
        <v>119.98</v>
      </c>
      <c r="F44" s="6">
        <v>119.98</v>
      </c>
      <c r="G44" s="6">
        <v>119.709</v>
      </c>
      <c r="H44" s="7">
        <v>119.709</v>
      </c>
      <c r="I44" s="21">
        <f t="shared" si="63"/>
        <v>120.01966666666667</v>
      </c>
      <c r="J44" s="21">
        <f t="shared" si="64"/>
        <v>119.9501171875</v>
      </c>
      <c r="K44" s="33">
        <f t="shared" si="65"/>
        <v>0.25230845319876721</v>
      </c>
      <c r="L44" s="21">
        <f t="shared" si="7"/>
        <v>122.54275119865434</v>
      </c>
      <c r="M44" s="21">
        <f t="shared" si="66"/>
        <v>-0.57226864233624886</v>
      </c>
      <c r="N44" s="128"/>
      <c r="O44" s="21"/>
      <c r="P44" s="32">
        <f t="shared" si="8"/>
        <v>1</v>
      </c>
      <c r="Q44" s="21">
        <f t="shared" si="67"/>
        <v>0.31399999999999295</v>
      </c>
      <c r="R44" s="21">
        <f t="shared" si="68"/>
        <v>0.26230275083745092</v>
      </c>
      <c r="S44" s="21">
        <f t="shared" si="69"/>
        <v>0.19611065386373916</v>
      </c>
      <c r="T44" s="21">
        <f t="shared" si="70"/>
        <v>0.1636134432065135</v>
      </c>
      <c r="U44" s="21">
        <f t="shared" si="71"/>
        <v>0</v>
      </c>
      <c r="V44" s="21">
        <f t="shared" si="72"/>
        <v>0.31399999999999295</v>
      </c>
      <c r="W44" s="117">
        <f t="shared" si="73"/>
        <v>8.307270233195746E-3</v>
      </c>
      <c r="X44" s="117">
        <f t="shared" si="74"/>
        <v>0.18291632373113653</v>
      </c>
      <c r="Y44" s="21">
        <f t="shared" si="25"/>
        <v>4.2360116951972282</v>
      </c>
      <c r="Z44" s="21">
        <f t="shared" si="26"/>
        <v>93.271997276715908</v>
      </c>
      <c r="AA44" s="21">
        <f t="shared" si="27"/>
        <v>91.311458946069948</v>
      </c>
      <c r="AB44" s="21">
        <f t="shared" si="36"/>
        <v>91.311458946069962</v>
      </c>
      <c r="AC44" s="40">
        <f t="shared" si="75"/>
        <v>77.487879815702769</v>
      </c>
    </row>
    <row r="45" spans="1:29" x14ac:dyDescent="0.2">
      <c r="A45" s="100">
        <v>8.3333333333333329E-2</v>
      </c>
      <c r="B45" s="17">
        <v>9</v>
      </c>
      <c r="C45" s="17">
        <v>6</v>
      </c>
      <c r="D45" s="17">
        <v>0</v>
      </c>
      <c r="E45" s="6">
        <v>119.98</v>
      </c>
      <c r="F45" s="6">
        <v>119.98</v>
      </c>
      <c r="G45" s="6">
        <v>119.709</v>
      </c>
      <c r="H45" s="7">
        <v>119.777</v>
      </c>
      <c r="I45" s="21">
        <f t="shared" si="63"/>
        <v>120.04233333333333</v>
      </c>
      <c r="J45" s="21">
        <f t="shared" si="64"/>
        <v>119.9841171875</v>
      </c>
      <c r="K45" s="33">
        <f t="shared" si="65"/>
        <v>0.22495234063142147</v>
      </c>
      <c r="L45" s="21">
        <f t="shared" si="7"/>
        <v>122.29185673964754</v>
      </c>
      <c r="M45" s="21">
        <f t="shared" si="66"/>
        <v>-0.51578929882555302</v>
      </c>
      <c r="N45" s="128"/>
      <c r="O45" s="21"/>
      <c r="P45" s="32">
        <f t="shared" si="8"/>
        <v>0.74907749077491648</v>
      </c>
      <c r="Q45" s="21">
        <f t="shared" si="67"/>
        <v>0.31399999999999295</v>
      </c>
      <c r="R45" s="21">
        <f t="shared" si="68"/>
        <v>0.26230275083745092</v>
      </c>
      <c r="S45" s="21">
        <f t="shared" si="69"/>
        <v>0.19611065386373916</v>
      </c>
      <c r="T45" s="21">
        <f t="shared" si="70"/>
        <v>0.1636134432065135</v>
      </c>
      <c r="U45" s="21">
        <f t="shared" si="71"/>
        <v>0</v>
      </c>
      <c r="V45" s="21">
        <f t="shared" si="72"/>
        <v>0.31399999999999295</v>
      </c>
      <c r="W45" s="117">
        <f t="shared" si="73"/>
        <v>8.307270233195746E-3</v>
      </c>
      <c r="X45" s="117">
        <f t="shared" si="74"/>
        <v>0.18291632373113653</v>
      </c>
      <c r="Y45" s="21">
        <f t="shared" si="25"/>
        <v>4.2360116951972282</v>
      </c>
      <c r="Z45" s="21">
        <f t="shared" si="26"/>
        <v>93.271997276715908</v>
      </c>
      <c r="AA45" s="21">
        <f t="shared" si="27"/>
        <v>91.311458946069948</v>
      </c>
      <c r="AB45" s="21">
        <f t="shared" si="36"/>
        <v>91.311458946069962</v>
      </c>
      <c r="AC45" s="40">
        <f t="shared" si="75"/>
        <v>77.487879815702769</v>
      </c>
    </row>
    <row r="46" spans="1:29" x14ac:dyDescent="0.2">
      <c r="A46" s="100">
        <v>8.3333333333333329E-2</v>
      </c>
      <c r="B46" s="17">
        <v>9</v>
      </c>
      <c r="C46" s="17">
        <v>6</v>
      </c>
      <c r="D46" s="17">
        <v>0</v>
      </c>
      <c r="E46" s="6">
        <v>119.98</v>
      </c>
      <c r="F46" s="6">
        <v>119.98</v>
      </c>
      <c r="G46" s="6">
        <v>119.709</v>
      </c>
      <c r="H46" s="7">
        <v>119.85</v>
      </c>
      <c r="I46" s="21">
        <f t="shared" si="63"/>
        <v>120.06666666666666</v>
      </c>
      <c r="J46" s="21">
        <f t="shared" si="64"/>
        <v>120.02061718749999</v>
      </c>
      <c r="K46" s="33">
        <f t="shared" si="65"/>
        <v>0.19716715976269858</v>
      </c>
      <c r="L46" s="21">
        <f t="shared" si="7"/>
        <v>122.03833826429364</v>
      </c>
      <c r="M46" s="21">
        <f t="shared" si="66"/>
        <v>-0.45515706240967235</v>
      </c>
      <c r="N46" s="128"/>
      <c r="O46" s="21"/>
      <c r="P46" s="32">
        <f t="shared" si="8"/>
        <v>0.47970479704800473</v>
      </c>
      <c r="Q46" s="21">
        <f t="shared" si="67"/>
        <v>0.31399999999999295</v>
      </c>
      <c r="R46" s="21">
        <f t="shared" si="68"/>
        <v>0.26230275083745092</v>
      </c>
      <c r="S46" s="21">
        <f t="shared" si="69"/>
        <v>0.19611065386373916</v>
      </c>
      <c r="T46" s="21">
        <f t="shared" si="70"/>
        <v>0.1636134432065135</v>
      </c>
      <c r="U46" s="21">
        <f t="shared" si="71"/>
        <v>0</v>
      </c>
      <c r="V46" s="21">
        <f t="shared" si="72"/>
        <v>0.31399999999999295</v>
      </c>
      <c r="W46" s="117">
        <f t="shared" si="73"/>
        <v>8.307270233195746E-3</v>
      </c>
      <c r="X46" s="117">
        <f t="shared" si="74"/>
        <v>0.18291632373113653</v>
      </c>
      <c r="Y46" s="21">
        <f t="shared" si="25"/>
        <v>4.2360116951972282</v>
      </c>
      <c r="Z46" s="21">
        <f t="shared" si="26"/>
        <v>93.271997276715908</v>
      </c>
      <c r="AA46" s="21">
        <f t="shared" si="27"/>
        <v>91.311458946069948</v>
      </c>
      <c r="AB46" s="21">
        <f t="shared" si="36"/>
        <v>91.311458946069962</v>
      </c>
      <c r="AC46" s="40">
        <f t="shared" si="75"/>
        <v>77.487879815702769</v>
      </c>
    </row>
    <row r="47" spans="1:29" x14ac:dyDescent="0.2">
      <c r="A47" s="100">
        <v>8.3333333333333329E-2</v>
      </c>
      <c r="B47" s="17">
        <v>9</v>
      </c>
      <c r="C47" s="17">
        <v>6</v>
      </c>
      <c r="D47" s="17">
        <v>0</v>
      </c>
      <c r="E47" s="6">
        <v>119.98</v>
      </c>
      <c r="F47" s="6">
        <v>119.98</v>
      </c>
      <c r="G47" s="6">
        <v>119.709</v>
      </c>
      <c r="H47" s="7">
        <v>119.849</v>
      </c>
      <c r="I47" s="21">
        <f t="shared" si="63"/>
        <v>120.06633333333333</v>
      </c>
      <c r="J47" s="21">
        <f t="shared" si="64"/>
        <v>120.02011718750001</v>
      </c>
      <c r="K47" s="33">
        <f t="shared" si="65"/>
        <v>0.19753368207866429</v>
      </c>
      <c r="L47" s="21">
        <f t="shared" si="7"/>
        <v>122.04167015411997</v>
      </c>
      <c r="M47" s="21">
        <f t="shared" si="66"/>
        <v>-0.4559876409907071</v>
      </c>
      <c r="N47" s="128"/>
      <c r="O47" s="21"/>
      <c r="P47" s="32">
        <f t="shared" si="8"/>
        <v>0.48339483394833888</v>
      </c>
      <c r="Q47" s="21">
        <f t="shared" si="67"/>
        <v>0.31399999999999295</v>
      </c>
      <c r="R47" s="21">
        <f t="shared" si="68"/>
        <v>0.26230275083745092</v>
      </c>
      <c r="S47" s="21">
        <f t="shared" si="69"/>
        <v>0.19611065386373916</v>
      </c>
      <c r="T47" s="21">
        <f t="shared" si="70"/>
        <v>0.1636134432065135</v>
      </c>
      <c r="U47" s="21">
        <f t="shared" si="71"/>
        <v>0</v>
      </c>
      <c r="V47" s="21">
        <f t="shared" si="72"/>
        <v>0.31399999999999295</v>
      </c>
      <c r="W47" s="117">
        <f t="shared" si="73"/>
        <v>8.307270233195746E-3</v>
      </c>
      <c r="X47" s="117">
        <f t="shared" si="74"/>
        <v>0.18291632373113653</v>
      </c>
      <c r="Y47" s="21">
        <f t="shared" si="25"/>
        <v>4.2360116951972282</v>
      </c>
      <c r="Z47" s="21">
        <f t="shared" si="26"/>
        <v>93.271997276715908</v>
      </c>
      <c r="AA47" s="21">
        <f t="shared" si="27"/>
        <v>91.311458946069948</v>
      </c>
      <c r="AB47" s="21">
        <f t="shared" si="36"/>
        <v>91.311458946069962</v>
      </c>
      <c r="AC47" s="40">
        <f t="shared" si="75"/>
        <v>77.487879815702769</v>
      </c>
    </row>
    <row r="48" spans="1:29" ht="17" thickBot="1" x14ac:dyDescent="0.25">
      <c r="A48" s="103">
        <v>8.3333333333333329E-2</v>
      </c>
      <c r="B48" s="104">
        <v>9</v>
      </c>
      <c r="C48" s="104">
        <v>6</v>
      </c>
      <c r="D48" s="104">
        <v>0</v>
      </c>
      <c r="E48" s="105">
        <v>119.98</v>
      </c>
      <c r="F48" s="106">
        <v>119.98</v>
      </c>
      <c r="G48" s="106">
        <v>119.709</v>
      </c>
      <c r="H48" s="107">
        <v>119.857</v>
      </c>
      <c r="I48" s="108">
        <f t="shared" si="63"/>
        <v>120.06899999999999</v>
      </c>
      <c r="J48" s="109">
        <f t="shared" si="64"/>
        <v>120.0241171875</v>
      </c>
      <c r="K48" s="110">
        <f t="shared" si="65"/>
        <v>0.19461414816674188</v>
      </c>
      <c r="L48" s="109">
        <f t="shared" si="7"/>
        <v>122.01514148166741</v>
      </c>
      <c r="M48" s="109">
        <f t="shared" si="66"/>
        <v>-0.44934301234239582</v>
      </c>
      <c r="N48" s="132">
        <f>MAX(F39,F31,F28)</f>
        <v>120.455</v>
      </c>
      <c r="O48" s="109">
        <f>MIN(G39,G31,G28)</f>
        <v>120.023</v>
      </c>
      <c r="P48" s="111">
        <f t="shared" si="8"/>
        <v>0.45387453874540334</v>
      </c>
      <c r="Q48" s="112">
        <f t="shared" si="67"/>
        <v>0.31399999999999295</v>
      </c>
      <c r="R48" s="112">
        <f t="shared" si="68"/>
        <v>0.26230275083745092</v>
      </c>
      <c r="S48" s="109">
        <f t="shared" si="69"/>
        <v>0.19611065386373916</v>
      </c>
      <c r="T48" s="109">
        <f t="shared" si="70"/>
        <v>0.1636134432065135</v>
      </c>
      <c r="U48" s="112">
        <f t="shared" si="71"/>
        <v>0</v>
      </c>
      <c r="V48" s="112">
        <f t="shared" si="72"/>
        <v>0.31399999999999295</v>
      </c>
      <c r="W48" s="120">
        <f t="shared" si="73"/>
        <v>8.307270233195746E-3</v>
      </c>
      <c r="X48" s="120">
        <f t="shared" si="74"/>
        <v>0.18291632373113653</v>
      </c>
      <c r="Y48" s="112">
        <f t="shared" si="25"/>
        <v>4.2360116951972282</v>
      </c>
      <c r="Z48" s="112">
        <f t="shared" si="26"/>
        <v>93.271997276715908</v>
      </c>
      <c r="AA48" s="112">
        <f t="shared" si="27"/>
        <v>91.311458946069948</v>
      </c>
      <c r="AB48" s="112">
        <f t="shared" si="36"/>
        <v>91.311458946069962</v>
      </c>
      <c r="AC48" s="113">
        <f t="shared" si="75"/>
        <v>77.487879815702769</v>
      </c>
    </row>
    <row r="49" spans="1:17" x14ac:dyDescent="0.2">
      <c r="A49" s="12"/>
      <c r="B49" s="17"/>
      <c r="C49" s="17"/>
      <c r="D49" s="17"/>
      <c r="E49" s="6"/>
      <c r="F49" s="6"/>
      <c r="G49" s="6"/>
      <c r="H49" s="6"/>
      <c r="I49" s="21"/>
      <c r="J49" s="21"/>
      <c r="K49" s="4"/>
      <c r="L49" s="2"/>
      <c r="M49" s="21"/>
      <c r="N49" s="21"/>
      <c r="O49" s="21"/>
      <c r="P49" s="21"/>
      <c r="Q49" s="21"/>
    </row>
    <row r="50" spans="1:17" x14ac:dyDescent="0.2">
      <c r="A50" s="11"/>
    </row>
  </sheetData>
  <mergeCells count="4">
    <mergeCell ref="A3:G3"/>
    <mergeCell ref="A1:G1"/>
    <mergeCell ref="A4:G4"/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Z36"/>
  <sheetViews>
    <sheetView showGridLines="0" tabSelected="1" zoomScale="110" zoomScaleNormal="110" zoomScalePageLayoutView="110" workbookViewId="0">
      <selection activeCell="P6" sqref="P6"/>
    </sheetView>
  </sheetViews>
  <sheetFormatPr baseColWidth="10" defaultColWidth="4.85546875" defaultRowHeight="11.5" customHeight="1" x14ac:dyDescent="0.15"/>
  <cols>
    <col min="1" max="2" width="4.28515625" style="44" customWidth="1"/>
    <col min="3" max="3" width="7.28515625" style="44" customWidth="1"/>
    <col min="4" max="4" width="8.5703125" style="44" customWidth="1"/>
    <col min="5" max="5" width="8.42578125" style="44" customWidth="1"/>
    <col min="6" max="6" width="7.28515625" style="44" customWidth="1"/>
    <col min="7" max="15" width="7.85546875" style="49" customWidth="1"/>
    <col min="16" max="16" width="7.5703125" style="49" customWidth="1"/>
    <col min="17" max="18" width="5.85546875" style="49" customWidth="1"/>
    <col min="19" max="19" width="5" style="49" customWidth="1"/>
    <col min="20" max="20" width="7.7109375" style="49" customWidth="1"/>
    <col min="21" max="21" width="8.7109375" style="49" customWidth="1"/>
    <col min="22" max="22" width="9.28515625" style="49" customWidth="1"/>
    <col min="23" max="23" width="6.85546875" style="49" customWidth="1"/>
    <col min="24" max="24" width="9.42578125" style="49" customWidth="1"/>
    <col min="25" max="25" width="6.85546875" style="49" customWidth="1"/>
    <col min="26" max="26" width="9.7109375" style="49" customWidth="1"/>
    <col min="27" max="27" width="8.5703125" style="49" customWidth="1"/>
    <col min="28" max="28" width="6.7109375" style="49" customWidth="1"/>
    <col min="29" max="29" width="14.42578125" style="49" customWidth="1"/>
    <col min="30" max="30" width="8.5703125" style="49" customWidth="1"/>
    <col min="31" max="260" width="4.85546875" style="44" customWidth="1"/>
    <col min="261" max="16384" width="4.85546875" style="45"/>
  </cols>
  <sheetData>
    <row r="1" spans="1:260" ht="13" customHeight="1" x14ac:dyDescent="0.15">
      <c r="A1" s="141" t="s">
        <v>40</v>
      </c>
      <c r="B1" s="141"/>
      <c r="C1" s="141"/>
      <c r="D1" s="141"/>
      <c r="E1" s="141"/>
      <c r="F1" s="141"/>
      <c r="G1" s="141"/>
    </row>
    <row r="2" spans="1:260" ht="13" customHeight="1" x14ac:dyDescent="0.15">
      <c r="A2" s="141" t="s">
        <v>37</v>
      </c>
      <c r="B2" s="141"/>
      <c r="C2" s="141"/>
      <c r="D2" s="141"/>
      <c r="E2" s="141"/>
      <c r="F2" s="141"/>
      <c r="G2" s="141"/>
    </row>
    <row r="3" spans="1:260" ht="14" customHeight="1" thickBot="1" x14ac:dyDescent="0.2">
      <c r="A3" s="45"/>
      <c r="B3" s="45"/>
      <c r="C3" s="45"/>
      <c r="D3" s="45"/>
      <c r="E3" s="45"/>
      <c r="F3" s="45"/>
      <c r="G3" s="45"/>
    </row>
    <row r="4" spans="1:260" s="43" customFormat="1" ht="43.5" customHeight="1" thickBot="1" x14ac:dyDescent="0.2">
      <c r="A4" s="84" t="s">
        <v>23</v>
      </c>
      <c r="B4" s="85" t="s">
        <v>24</v>
      </c>
      <c r="C4" s="85" t="s">
        <v>0</v>
      </c>
      <c r="D4" s="85" t="s">
        <v>1</v>
      </c>
      <c r="E4" s="85" t="s">
        <v>2</v>
      </c>
      <c r="F4" s="85" t="s">
        <v>3</v>
      </c>
      <c r="G4" s="85" t="s">
        <v>41</v>
      </c>
      <c r="H4" s="85" t="s">
        <v>42</v>
      </c>
      <c r="I4" s="85" t="s">
        <v>8</v>
      </c>
      <c r="J4" s="86" t="s">
        <v>25</v>
      </c>
      <c r="K4" s="86" t="s">
        <v>26</v>
      </c>
      <c r="L4" s="86" t="s">
        <v>27</v>
      </c>
      <c r="M4" s="121" t="s">
        <v>45</v>
      </c>
      <c r="N4" s="121" t="s">
        <v>46</v>
      </c>
      <c r="O4" s="121" t="s">
        <v>49</v>
      </c>
      <c r="P4" s="85" t="s">
        <v>9</v>
      </c>
      <c r="Q4" s="85" t="s">
        <v>10</v>
      </c>
      <c r="R4" s="85" t="s">
        <v>11</v>
      </c>
      <c r="S4" s="85" t="s">
        <v>12</v>
      </c>
      <c r="T4" s="85" t="s">
        <v>50</v>
      </c>
      <c r="U4" s="85" t="s">
        <v>14</v>
      </c>
      <c r="V4" s="85" t="s">
        <v>28</v>
      </c>
      <c r="W4" s="85" t="s">
        <v>29</v>
      </c>
      <c r="X4" s="87" t="s">
        <v>30</v>
      </c>
      <c r="Y4" s="87" t="s">
        <v>31</v>
      </c>
      <c r="Z4" s="87" t="s">
        <v>32</v>
      </c>
      <c r="AA4" s="87" t="s">
        <v>33</v>
      </c>
      <c r="AB4" s="85" t="s">
        <v>34</v>
      </c>
      <c r="AC4" s="88" t="s">
        <v>35</v>
      </c>
      <c r="AD4" s="89" t="s">
        <v>17</v>
      </c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/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/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/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42"/>
      <c r="II4" s="42"/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2"/>
      <c r="IU4" s="42"/>
      <c r="IV4" s="42"/>
      <c r="IW4" s="42"/>
      <c r="IX4" s="42"/>
      <c r="IY4" s="42"/>
      <c r="IZ4" s="42"/>
    </row>
    <row r="5" spans="1:260" ht="12" customHeight="1" x14ac:dyDescent="0.15">
      <c r="A5" s="77">
        <v>0</v>
      </c>
      <c r="B5" s="78">
        <v>29</v>
      </c>
      <c r="C5" s="137">
        <v>29.41</v>
      </c>
      <c r="D5" s="79">
        <v>30.1983</v>
      </c>
      <c r="E5" s="79">
        <v>29.4072</v>
      </c>
      <c r="F5" s="79">
        <v>29.872</v>
      </c>
      <c r="G5" s="80"/>
      <c r="H5" s="80">
        <f>F5</f>
        <v>29.872</v>
      </c>
      <c r="I5" s="81"/>
      <c r="J5" s="80"/>
      <c r="K5" s="80"/>
      <c r="L5" s="80"/>
      <c r="M5" s="80"/>
      <c r="N5" s="80"/>
      <c r="O5" s="80">
        <f>IF(D5&gt;E5,ABS(C5-F5)/(D5-E5), -1)</f>
        <v>0.58399696624952557</v>
      </c>
      <c r="P5" s="80">
        <f>ABS(D5-E5)</f>
        <v>0.79110000000000014</v>
      </c>
      <c r="Q5" s="80">
        <f>ABS(D5-E5)</f>
        <v>0.79110000000000014</v>
      </c>
      <c r="R5" s="82"/>
      <c r="S5" s="82"/>
      <c r="T5" s="82"/>
      <c r="U5" s="82"/>
      <c r="V5" s="82"/>
      <c r="W5" s="81"/>
      <c r="X5" s="80"/>
      <c r="Y5" s="80"/>
      <c r="Z5" s="82"/>
      <c r="AA5" s="82"/>
      <c r="AB5" s="82"/>
      <c r="AC5" s="80"/>
      <c r="AD5" s="83"/>
    </row>
    <row r="6" spans="1:260" ht="12" customHeight="1" x14ac:dyDescent="0.15">
      <c r="A6" s="67">
        <v>1</v>
      </c>
      <c r="B6" s="60">
        <v>28</v>
      </c>
      <c r="C6" s="138">
        <v>29.87</v>
      </c>
      <c r="D6" s="61">
        <v>30.2776</v>
      </c>
      <c r="E6" s="61">
        <v>29.318200000000001</v>
      </c>
      <c r="F6" s="61">
        <v>30.238099999999999</v>
      </c>
      <c r="G6" s="62"/>
      <c r="H6" s="64">
        <f t="shared" ref="H6:H34" si="0">H5*(1-2/15)+(F6)*(2/15)</f>
        <v>29.920813333333335</v>
      </c>
      <c r="I6" s="65"/>
      <c r="J6" s="64"/>
      <c r="K6" s="64"/>
      <c r="L6" s="64"/>
      <c r="M6" s="64"/>
      <c r="N6" s="64"/>
      <c r="O6" s="80">
        <f t="shared" ref="O6:O34" si="1">IF(D6&gt;E6,ABS(C6-F6)/(D6-E6), -1)</f>
        <v>0.38367729831144343</v>
      </c>
      <c r="P6" s="64">
        <f t="shared" ref="P6:P34" si="2">MAX(D6,F5)-MIN(E6,F5)</f>
        <v>0.9593999999999987</v>
      </c>
      <c r="Q6" s="64">
        <f t="shared" ref="Q6:Q34" si="3">(MAX(D6,F5)/MIN(E6,F5)-1)*100</f>
        <v>3.2723700636464681</v>
      </c>
      <c r="R6" s="66">
        <f t="shared" ref="R6:R34" si="4">IF(D6-D5&gt;E5-E6,MAX(D6-D5,0),0)</f>
        <v>0</v>
      </c>
      <c r="S6" s="66">
        <f t="shared" ref="S6:S34" si="5">IF(E5-E6&gt;D6-D5,MAX(E5-E6,0),0)</f>
        <v>8.8999999999998636E-2</v>
      </c>
      <c r="T6" s="66"/>
      <c r="U6" s="66"/>
      <c r="V6" s="66"/>
      <c r="W6" s="63"/>
      <c r="X6" s="62"/>
      <c r="Y6" s="62"/>
      <c r="Z6" s="66"/>
      <c r="AA6" s="66"/>
      <c r="AB6" s="66"/>
      <c r="AC6" s="62"/>
      <c r="AD6" s="68"/>
    </row>
    <row r="7" spans="1:260" ht="12" customHeight="1" x14ac:dyDescent="0.15">
      <c r="A7" s="67">
        <v>2</v>
      </c>
      <c r="B7" s="60">
        <v>27</v>
      </c>
      <c r="C7" s="138">
        <v>30.23</v>
      </c>
      <c r="D7" s="61">
        <v>30.445799999999998</v>
      </c>
      <c r="E7" s="61">
        <v>29.961099999999998</v>
      </c>
      <c r="F7" s="61">
        <v>30.099599999999999</v>
      </c>
      <c r="G7" s="62"/>
      <c r="H7" s="64">
        <f t="shared" si="0"/>
        <v>29.944651555555559</v>
      </c>
      <c r="I7" s="65"/>
      <c r="J7" s="64"/>
      <c r="K7" s="64"/>
      <c r="L7" s="64"/>
      <c r="M7" s="64"/>
      <c r="N7" s="64"/>
      <c r="O7" s="80">
        <f t="shared" si="1"/>
        <v>0.26903239116979905</v>
      </c>
      <c r="P7" s="64">
        <f t="shared" si="2"/>
        <v>0.48470000000000013</v>
      </c>
      <c r="Q7" s="64">
        <f t="shared" si="3"/>
        <v>1.6177643677969034</v>
      </c>
      <c r="R7" s="66">
        <f t="shared" si="4"/>
        <v>0.16819999999999879</v>
      </c>
      <c r="S7" s="66">
        <f t="shared" si="5"/>
        <v>0</v>
      </c>
      <c r="T7" s="66"/>
      <c r="U7" s="66"/>
      <c r="V7" s="66"/>
      <c r="W7" s="63"/>
      <c r="X7" s="62"/>
      <c r="Y7" s="62"/>
      <c r="Z7" s="66"/>
      <c r="AA7" s="66"/>
      <c r="AB7" s="66"/>
      <c r="AC7" s="62"/>
      <c r="AD7" s="68"/>
    </row>
    <row r="8" spans="1:260" ht="12" customHeight="1" x14ac:dyDescent="0.15">
      <c r="A8" s="67">
        <v>3</v>
      </c>
      <c r="B8" s="60">
        <v>26</v>
      </c>
      <c r="C8" s="138">
        <v>30.09</v>
      </c>
      <c r="D8" s="61">
        <v>29.347799999999999</v>
      </c>
      <c r="E8" s="61">
        <v>28.744299999999999</v>
      </c>
      <c r="F8" s="61">
        <v>28.902799999999999</v>
      </c>
      <c r="G8" s="64"/>
      <c r="H8" s="64">
        <f t="shared" si="0"/>
        <v>29.805738014814821</v>
      </c>
      <c r="I8" s="65"/>
      <c r="J8" s="64"/>
      <c r="K8" s="64"/>
      <c r="L8" s="64"/>
      <c r="M8" s="64"/>
      <c r="N8" s="64"/>
      <c r="O8" s="80">
        <f t="shared" si="1"/>
        <v>1.9671913835956918</v>
      </c>
      <c r="P8" s="64">
        <f t="shared" si="2"/>
        <v>1.3552999999999997</v>
      </c>
      <c r="Q8" s="64">
        <f t="shared" si="3"/>
        <v>4.7150217608360689</v>
      </c>
      <c r="R8" s="66">
        <f t="shared" si="4"/>
        <v>0</v>
      </c>
      <c r="S8" s="66">
        <f t="shared" si="5"/>
        <v>1.2167999999999992</v>
      </c>
      <c r="T8" s="66"/>
      <c r="U8" s="66"/>
      <c r="V8" s="66"/>
      <c r="W8" s="63"/>
      <c r="X8" s="62"/>
      <c r="Y8" s="62"/>
      <c r="Z8" s="66"/>
      <c r="AA8" s="66"/>
      <c r="AB8" s="66"/>
      <c r="AC8" s="62"/>
      <c r="AD8" s="68"/>
    </row>
    <row r="9" spans="1:260" ht="12" customHeight="1" x14ac:dyDescent="0.15">
      <c r="A9" s="67">
        <v>4</v>
      </c>
      <c r="B9" s="60">
        <v>25</v>
      </c>
      <c r="C9" s="138">
        <v>28.9</v>
      </c>
      <c r="D9" s="61">
        <v>29.3477</v>
      </c>
      <c r="E9" s="61">
        <v>28.5566</v>
      </c>
      <c r="F9" s="61">
        <v>28.922499999999999</v>
      </c>
      <c r="G9" s="64"/>
      <c r="H9" s="64">
        <f t="shared" si="0"/>
        <v>29.687972946172845</v>
      </c>
      <c r="I9" s="65"/>
      <c r="J9" s="64"/>
      <c r="K9" s="64"/>
      <c r="L9" s="64"/>
      <c r="M9" s="64"/>
      <c r="N9" s="64"/>
      <c r="O9" s="80">
        <f t="shared" si="1"/>
        <v>2.8441410693971495E-2</v>
      </c>
      <c r="P9" s="64">
        <f t="shared" si="2"/>
        <v>0.79110000000000014</v>
      </c>
      <c r="Q9" s="64">
        <f t="shared" si="3"/>
        <v>2.7702877793574832</v>
      </c>
      <c r="R9" s="66">
        <f t="shared" si="4"/>
        <v>0</v>
      </c>
      <c r="S9" s="66">
        <f t="shared" si="5"/>
        <v>0.18769999999999953</v>
      </c>
      <c r="T9" s="66"/>
      <c r="U9" s="66"/>
      <c r="V9" s="66"/>
      <c r="W9" s="63"/>
      <c r="X9" s="62"/>
      <c r="Y9" s="62"/>
      <c r="Z9" s="66"/>
      <c r="AA9" s="66"/>
      <c r="AB9" s="66"/>
      <c r="AC9" s="62"/>
      <c r="AD9" s="68"/>
    </row>
    <row r="10" spans="1:260" ht="12" customHeight="1" x14ac:dyDescent="0.15">
      <c r="A10" s="67">
        <v>5</v>
      </c>
      <c r="B10" s="60">
        <v>24</v>
      </c>
      <c r="C10" s="138">
        <v>28.92</v>
      </c>
      <c r="D10" s="61">
        <v>29.288599999999999</v>
      </c>
      <c r="E10" s="61">
        <v>28.408100000000001</v>
      </c>
      <c r="F10" s="61">
        <v>28.477499999999999</v>
      </c>
      <c r="G10" s="64"/>
      <c r="H10" s="64">
        <f t="shared" si="0"/>
        <v>29.526576553349802</v>
      </c>
      <c r="I10" s="65"/>
      <c r="J10" s="64"/>
      <c r="K10" s="64"/>
      <c r="L10" s="64">
        <f t="shared" ref="L10:L34" si="6">(F10/F5-1)*100</f>
        <v>-4.6682512051419378</v>
      </c>
      <c r="M10" s="64">
        <f>MAX(D5:D9)</f>
        <v>30.445799999999998</v>
      </c>
      <c r="N10" s="64">
        <f>MIN(E5:E9)</f>
        <v>28.5566</v>
      </c>
      <c r="O10" s="80">
        <f t="shared" si="1"/>
        <v>0.50255536626916941</v>
      </c>
      <c r="P10" s="64">
        <f t="shared" si="2"/>
        <v>0.88049999999999784</v>
      </c>
      <c r="Q10" s="64">
        <f t="shared" si="3"/>
        <v>3.0994681094476562</v>
      </c>
      <c r="R10" s="66">
        <f t="shared" si="4"/>
        <v>0</v>
      </c>
      <c r="S10" s="66">
        <f t="shared" si="5"/>
        <v>0.14849999999999852</v>
      </c>
      <c r="T10" s="66"/>
      <c r="U10" s="66"/>
      <c r="V10" s="66"/>
      <c r="W10" s="63"/>
      <c r="X10" s="62"/>
      <c r="Y10" s="62"/>
      <c r="Z10" s="66"/>
      <c r="AA10" s="66"/>
      <c r="AB10" s="66"/>
      <c r="AC10" s="62"/>
      <c r="AD10" s="68"/>
    </row>
    <row r="11" spans="1:260" ht="12" customHeight="1" x14ac:dyDescent="0.15">
      <c r="A11" s="67">
        <v>6</v>
      </c>
      <c r="B11" s="60">
        <v>23</v>
      </c>
      <c r="C11" s="138">
        <v>26.47</v>
      </c>
      <c r="D11" s="61">
        <v>28.833400000000001</v>
      </c>
      <c r="E11" s="61">
        <v>28.081800000000001</v>
      </c>
      <c r="F11" s="61">
        <v>28.5566</v>
      </c>
      <c r="G11" s="64"/>
      <c r="H11" s="64">
        <f t="shared" si="0"/>
        <v>29.397246346236496</v>
      </c>
      <c r="I11" s="65"/>
      <c r="J11" s="64"/>
      <c r="K11" s="64"/>
      <c r="L11" s="64">
        <f t="shared" si="6"/>
        <v>-5.5608652660054663</v>
      </c>
      <c r="M11" s="64">
        <f t="shared" ref="M11:M34" si="7">MAX(D6:D10)</f>
        <v>30.445799999999998</v>
      </c>
      <c r="N11" s="64">
        <f t="shared" ref="N11:N34" si="8">MIN(E6:E10)</f>
        <v>28.408100000000001</v>
      </c>
      <c r="O11" s="80">
        <f t="shared" si="1"/>
        <v>2.7762107503991502</v>
      </c>
      <c r="P11" s="64">
        <f t="shared" si="2"/>
        <v>0.75159999999999982</v>
      </c>
      <c r="Q11" s="64">
        <f t="shared" si="3"/>
        <v>2.6764666082658595</v>
      </c>
      <c r="R11" s="66">
        <f t="shared" si="4"/>
        <v>0</v>
      </c>
      <c r="S11" s="66">
        <f t="shared" si="5"/>
        <v>0.32629999999999981</v>
      </c>
      <c r="T11" s="66"/>
      <c r="U11" s="66"/>
      <c r="V11" s="66"/>
      <c r="W11" s="63"/>
      <c r="X11" s="62"/>
      <c r="Y11" s="62"/>
      <c r="Z11" s="66"/>
      <c r="AA11" s="66"/>
      <c r="AB11" s="66"/>
      <c r="AC11" s="62"/>
      <c r="AD11" s="68"/>
    </row>
    <row r="12" spans="1:260" ht="12" customHeight="1" x14ac:dyDescent="0.15">
      <c r="A12" s="67">
        <v>7</v>
      </c>
      <c r="B12" s="60">
        <v>22</v>
      </c>
      <c r="C12" s="138">
        <v>28.55</v>
      </c>
      <c r="D12" s="61">
        <v>28.7346</v>
      </c>
      <c r="E12" s="61">
        <v>27.428899999999999</v>
      </c>
      <c r="F12" s="61">
        <v>27.557600000000001</v>
      </c>
      <c r="G12" s="64"/>
      <c r="H12" s="64">
        <f t="shared" si="0"/>
        <v>29.151960166738299</v>
      </c>
      <c r="I12" s="65"/>
      <c r="J12" s="64"/>
      <c r="K12" s="64"/>
      <c r="L12" s="64">
        <f t="shared" si="6"/>
        <v>-8.4452949540857585</v>
      </c>
      <c r="M12" s="64">
        <f t="shared" si="7"/>
        <v>30.445799999999998</v>
      </c>
      <c r="N12" s="64">
        <f t="shared" si="8"/>
        <v>28.081800000000001</v>
      </c>
      <c r="O12" s="80">
        <f t="shared" si="1"/>
        <v>0.76005207934441199</v>
      </c>
      <c r="P12" s="64">
        <f>MAX(D12,F11)-MIN(E12,F11)</f>
        <v>1.3057000000000016</v>
      </c>
      <c r="Q12" s="64">
        <f t="shared" si="3"/>
        <v>4.7603075588157129</v>
      </c>
      <c r="R12" s="66">
        <f t="shared" si="4"/>
        <v>0</v>
      </c>
      <c r="S12" s="66">
        <f t="shared" si="5"/>
        <v>0.65290000000000248</v>
      </c>
      <c r="T12" s="66"/>
      <c r="U12" s="66"/>
      <c r="V12" s="66"/>
      <c r="W12" s="63"/>
      <c r="X12" s="62"/>
      <c r="Y12" s="62"/>
      <c r="Z12" s="66"/>
      <c r="AA12" s="66"/>
      <c r="AB12" s="66"/>
      <c r="AC12" s="62"/>
      <c r="AD12" s="68"/>
    </row>
    <row r="13" spans="1:260" ht="12" customHeight="1" x14ac:dyDescent="0.15">
      <c r="A13" s="67">
        <v>8</v>
      </c>
      <c r="B13" s="60">
        <v>21</v>
      </c>
      <c r="C13" s="138">
        <v>27.55</v>
      </c>
      <c r="D13" s="61">
        <v>28.665400000000002</v>
      </c>
      <c r="E13" s="61">
        <v>27.656500000000001</v>
      </c>
      <c r="F13" s="61">
        <v>28.467500000000001</v>
      </c>
      <c r="G13" s="64"/>
      <c r="H13" s="64">
        <f t="shared" si="0"/>
        <v>29.060698811173193</v>
      </c>
      <c r="I13" s="65"/>
      <c r="J13" s="64"/>
      <c r="K13" s="64"/>
      <c r="L13" s="64">
        <f t="shared" si="6"/>
        <v>-1.5060824556790253</v>
      </c>
      <c r="M13" s="64">
        <f t="shared" si="7"/>
        <v>29.347799999999999</v>
      </c>
      <c r="N13" s="64">
        <f t="shared" si="8"/>
        <v>27.428899999999999</v>
      </c>
      <c r="O13" s="80">
        <f t="shared" si="1"/>
        <v>0.90940628407176127</v>
      </c>
      <c r="P13" s="64">
        <f t="shared" si="2"/>
        <v>1.107800000000001</v>
      </c>
      <c r="Q13" s="64">
        <f t="shared" si="3"/>
        <v>4.0199436815978151</v>
      </c>
      <c r="R13" s="66">
        <f t="shared" si="4"/>
        <v>0</v>
      </c>
      <c r="S13" s="66">
        <f t="shared" si="5"/>
        <v>0</v>
      </c>
      <c r="T13" s="66"/>
      <c r="U13" s="66"/>
      <c r="V13" s="66"/>
      <c r="W13" s="63"/>
      <c r="X13" s="62"/>
      <c r="Y13" s="62"/>
      <c r="Z13" s="66"/>
      <c r="AA13" s="66"/>
      <c r="AB13" s="66"/>
      <c r="AC13" s="62"/>
      <c r="AD13" s="68"/>
    </row>
    <row r="14" spans="1:260" ht="12" customHeight="1" x14ac:dyDescent="0.15">
      <c r="A14" s="67">
        <v>9</v>
      </c>
      <c r="B14" s="60">
        <v>20</v>
      </c>
      <c r="C14" s="138">
        <v>28.46</v>
      </c>
      <c r="D14" s="61">
        <v>28.853200000000001</v>
      </c>
      <c r="E14" s="61">
        <v>27.834499999999998</v>
      </c>
      <c r="F14" s="61">
        <v>28.279599999999999</v>
      </c>
      <c r="G14" s="64"/>
      <c r="H14" s="64">
        <f t="shared" si="0"/>
        <v>28.956552303016768</v>
      </c>
      <c r="I14" s="65"/>
      <c r="J14" s="64"/>
      <c r="K14" s="64"/>
      <c r="L14" s="64">
        <f t="shared" si="6"/>
        <v>-2.222836891693325</v>
      </c>
      <c r="M14" s="64">
        <f t="shared" si="7"/>
        <v>29.3477</v>
      </c>
      <c r="N14" s="64">
        <f t="shared" si="8"/>
        <v>27.428899999999999</v>
      </c>
      <c r="O14" s="80">
        <f t="shared" si="1"/>
        <v>0.17708844605870411</v>
      </c>
      <c r="P14" s="64">
        <f t="shared" si="2"/>
        <v>1.0187000000000026</v>
      </c>
      <c r="Q14" s="64">
        <f t="shared" si="3"/>
        <v>3.6598465932565771</v>
      </c>
      <c r="R14" s="66">
        <f t="shared" si="4"/>
        <v>0.1877999999999993</v>
      </c>
      <c r="S14" s="66">
        <f t="shared" si="5"/>
        <v>0</v>
      </c>
      <c r="T14" s="66"/>
      <c r="U14" s="66"/>
      <c r="V14" s="66"/>
      <c r="W14" s="63"/>
      <c r="X14" s="62"/>
      <c r="Y14" s="62"/>
      <c r="Z14" s="66"/>
      <c r="AA14" s="66"/>
      <c r="AB14" s="66"/>
      <c r="AC14" s="62"/>
      <c r="AD14" s="68"/>
    </row>
    <row r="15" spans="1:260" ht="12" customHeight="1" x14ac:dyDescent="0.15">
      <c r="A15" s="67">
        <v>10</v>
      </c>
      <c r="B15" s="60">
        <v>19</v>
      </c>
      <c r="C15" s="138">
        <v>28.27</v>
      </c>
      <c r="D15" s="61">
        <v>28.6356</v>
      </c>
      <c r="E15" s="61">
        <v>27.3992</v>
      </c>
      <c r="F15" s="61">
        <v>27.488199999999999</v>
      </c>
      <c r="G15" s="64"/>
      <c r="H15" s="64">
        <f t="shared" si="0"/>
        <v>28.760771995947863</v>
      </c>
      <c r="I15" s="65"/>
      <c r="J15" s="64"/>
      <c r="K15" s="64"/>
      <c r="L15" s="64">
        <f t="shared" si="6"/>
        <v>-3.4739706786059199</v>
      </c>
      <c r="M15" s="64">
        <f t="shared" si="7"/>
        <v>29.288599999999999</v>
      </c>
      <c r="N15" s="64">
        <f t="shared" si="8"/>
        <v>27.428899999999999</v>
      </c>
      <c r="O15" s="80">
        <f t="shared" si="1"/>
        <v>0.63231963765771648</v>
      </c>
      <c r="P15" s="64">
        <f t="shared" si="2"/>
        <v>1.2363999999999997</v>
      </c>
      <c r="Q15" s="64">
        <f t="shared" si="3"/>
        <v>4.5125405121317463</v>
      </c>
      <c r="R15" s="66">
        <f t="shared" si="4"/>
        <v>0</v>
      </c>
      <c r="S15" s="66">
        <f t="shared" si="5"/>
        <v>0.43529999999999802</v>
      </c>
      <c r="T15" s="66"/>
      <c r="U15" s="66"/>
      <c r="V15" s="66"/>
      <c r="W15" s="63"/>
      <c r="X15" s="62"/>
      <c r="Y15" s="62"/>
      <c r="Z15" s="66"/>
      <c r="AA15" s="66"/>
      <c r="AB15" s="66"/>
      <c r="AC15" s="62"/>
      <c r="AD15" s="68"/>
    </row>
    <row r="16" spans="1:260" ht="12" customHeight="1" x14ac:dyDescent="0.15">
      <c r="A16" s="67">
        <v>11</v>
      </c>
      <c r="B16" s="60">
        <v>18</v>
      </c>
      <c r="C16" s="138">
        <v>27.48</v>
      </c>
      <c r="D16" s="61">
        <v>27.676100000000002</v>
      </c>
      <c r="E16" s="61">
        <v>27.092700000000001</v>
      </c>
      <c r="F16" s="61">
        <v>27.231000000000002</v>
      </c>
      <c r="G16" s="64"/>
      <c r="H16" s="64">
        <f t="shared" si="0"/>
        <v>28.556802396488148</v>
      </c>
      <c r="I16" s="65"/>
      <c r="J16" s="64"/>
      <c r="K16" s="64"/>
      <c r="L16" s="64">
        <f t="shared" si="6"/>
        <v>-4.6420092027762312</v>
      </c>
      <c r="M16" s="64">
        <f t="shared" si="7"/>
        <v>28.853200000000001</v>
      </c>
      <c r="N16" s="64">
        <f t="shared" si="8"/>
        <v>27.3992</v>
      </c>
      <c r="O16" s="80">
        <f t="shared" si="1"/>
        <v>0.42680836475831047</v>
      </c>
      <c r="P16" s="64">
        <f t="shared" si="2"/>
        <v>0.58340000000000103</v>
      </c>
      <c r="Q16" s="64">
        <f t="shared" si="3"/>
        <v>2.1533475807136382</v>
      </c>
      <c r="R16" s="66">
        <f t="shared" si="4"/>
        <v>0</v>
      </c>
      <c r="S16" s="66">
        <f t="shared" si="5"/>
        <v>0.30649999999999977</v>
      </c>
      <c r="T16" s="66"/>
      <c r="U16" s="66"/>
      <c r="V16" s="66"/>
      <c r="W16" s="63"/>
      <c r="X16" s="62"/>
      <c r="Y16" s="62"/>
      <c r="Z16" s="66"/>
      <c r="AA16" s="66"/>
      <c r="AB16" s="66"/>
      <c r="AC16" s="62"/>
      <c r="AD16" s="68"/>
    </row>
    <row r="17" spans="1:30" ht="12" customHeight="1" x14ac:dyDescent="0.15">
      <c r="A17" s="67">
        <v>12</v>
      </c>
      <c r="B17" s="60">
        <v>17</v>
      </c>
      <c r="C17" s="138">
        <v>27.23</v>
      </c>
      <c r="D17" s="61">
        <v>27.211200000000002</v>
      </c>
      <c r="E17" s="61">
        <v>26.182600000000001</v>
      </c>
      <c r="F17" s="61">
        <v>26.3507</v>
      </c>
      <c r="G17" s="64"/>
      <c r="H17" s="64">
        <f t="shared" si="0"/>
        <v>28.262655410289732</v>
      </c>
      <c r="I17" s="65"/>
      <c r="J17" s="64"/>
      <c r="K17" s="64"/>
      <c r="L17" s="64">
        <f t="shared" si="6"/>
        <v>-4.3795540975992147</v>
      </c>
      <c r="M17" s="64">
        <f t="shared" si="7"/>
        <v>28.853200000000001</v>
      </c>
      <c r="N17" s="64">
        <f t="shared" si="8"/>
        <v>27.092700000000001</v>
      </c>
      <c r="O17" s="80">
        <f t="shared" si="1"/>
        <v>0.85485125413182961</v>
      </c>
      <c r="P17" s="64">
        <f t="shared" si="2"/>
        <v>1.0484000000000009</v>
      </c>
      <c r="Q17" s="64">
        <f t="shared" si="3"/>
        <v>4.0041859861129181</v>
      </c>
      <c r="R17" s="66">
        <f t="shared" si="4"/>
        <v>0</v>
      </c>
      <c r="S17" s="66">
        <f t="shared" si="5"/>
        <v>0.91009999999999991</v>
      </c>
      <c r="T17" s="66"/>
      <c r="U17" s="66"/>
      <c r="V17" s="66"/>
      <c r="W17" s="63"/>
      <c r="X17" s="62"/>
      <c r="Y17" s="62"/>
      <c r="Z17" s="66"/>
      <c r="AA17" s="66"/>
      <c r="AB17" s="66"/>
      <c r="AC17" s="62"/>
      <c r="AD17" s="68"/>
    </row>
    <row r="18" spans="1:30" ht="12" customHeight="1" x14ac:dyDescent="0.15">
      <c r="A18" s="67">
        <v>13</v>
      </c>
      <c r="B18" s="60">
        <v>16</v>
      </c>
      <c r="C18" s="138">
        <v>26.35</v>
      </c>
      <c r="D18" s="61">
        <v>26.865100000000002</v>
      </c>
      <c r="E18" s="61">
        <v>26.133199999999999</v>
      </c>
      <c r="F18" s="61">
        <v>26.3309</v>
      </c>
      <c r="G18" s="64">
        <f>AVERAGE(F5:F18)</f>
        <v>28.34104285714286</v>
      </c>
      <c r="H18" s="64">
        <f t="shared" si="0"/>
        <v>28.005088022251105</v>
      </c>
      <c r="I18" s="64">
        <f t="shared" ref="I18:I34" si="9">STDEV(F5:F18)*SQRT(13/14)</f>
        <v>1.2056163851587554</v>
      </c>
      <c r="J18" s="64">
        <f t="shared" ref="J18:J34" si="10">G18+I18</f>
        <v>29.546659242301615</v>
      </c>
      <c r="K18" s="64">
        <f t="shared" ref="K18:K34" si="11">G18-I18</f>
        <v>27.135426471984104</v>
      </c>
      <c r="L18" s="64">
        <f t="shared" si="6"/>
        <v>-7.5054008957583296</v>
      </c>
      <c r="M18" s="64">
        <f t="shared" si="7"/>
        <v>28.853200000000001</v>
      </c>
      <c r="N18" s="64">
        <f t="shared" si="8"/>
        <v>26.182600000000001</v>
      </c>
      <c r="O18" s="80">
        <f t="shared" si="1"/>
        <v>2.6096461265202337E-2</v>
      </c>
      <c r="P18" s="64">
        <f t="shared" si="2"/>
        <v>0.7319000000000031</v>
      </c>
      <c r="Q18" s="64">
        <f t="shared" si="3"/>
        <v>2.8006520441431038</v>
      </c>
      <c r="R18" s="66">
        <f t="shared" si="4"/>
        <v>0</v>
      </c>
      <c r="S18" s="66">
        <f>IF(E17-E18&gt;D18-D17,MAX(E17-E18,0),0)</f>
        <v>4.9400000000002109E-2</v>
      </c>
      <c r="T18" s="63">
        <f>AVERAGE(P5:P18)</f>
        <v>0.93185714285714327</v>
      </c>
      <c r="U18" s="63">
        <f>AVERAGE(Q5:Q18)</f>
        <v>3.2038073318658538</v>
      </c>
      <c r="V18" s="66"/>
      <c r="W18" s="63"/>
      <c r="X18" s="62"/>
      <c r="Y18" s="62"/>
      <c r="Z18" s="66"/>
      <c r="AA18" s="66"/>
      <c r="AB18" s="66"/>
      <c r="AC18" s="62"/>
      <c r="AD18" s="68"/>
    </row>
    <row r="19" spans="1:30" ht="12" customHeight="1" x14ac:dyDescent="0.15">
      <c r="A19" s="67">
        <v>14</v>
      </c>
      <c r="B19" s="60">
        <v>15</v>
      </c>
      <c r="C19" s="138">
        <v>26.33</v>
      </c>
      <c r="D19" s="61">
        <v>27.408999999999999</v>
      </c>
      <c r="E19" s="61">
        <v>26.627700000000001</v>
      </c>
      <c r="F19" s="61">
        <v>27.033300000000001</v>
      </c>
      <c r="G19" s="64">
        <f t="shared" ref="G19:G34" si="12">G18+(F19-F5)/14</f>
        <v>28.138278571428575</v>
      </c>
      <c r="H19" s="64">
        <f t="shared" si="0"/>
        <v>27.875516285950958</v>
      </c>
      <c r="I19" s="64">
        <f t="shared" si="9"/>
        <v>1.169246606750671</v>
      </c>
      <c r="J19" s="64">
        <f t="shared" si="10"/>
        <v>29.307525178179247</v>
      </c>
      <c r="K19" s="64">
        <f t="shared" si="11"/>
        <v>26.969031964677903</v>
      </c>
      <c r="L19" s="64">
        <f t="shared" si="6"/>
        <v>-4.407063749133644</v>
      </c>
      <c r="M19" s="64">
        <f t="shared" si="7"/>
        <v>28.853200000000001</v>
      </c>
      <c r="N19" s="64">
        <f t="shared" si="8"/>
        <v>26.133199999999999</v>
      </c>
      <c r="O19" s="80">
        <f t="shared" si="1"/>
        <v>0.90016638935108662</v>
      </c>
      <c r="P19" s="64">
        <f t="shared" si="2"/>
        <v>1.0780999999999992</v>
      </c>
      <c r="Q19" s="64">
        <f t="shared" si="3"/>
        <v>4.0944289788803268</v>
      </c>
      <c r="R19" s="66">
        <f t="shared" si="4"/>
        <v>0.54389999999999716</v>
      </c>
      <c r="S19" s="66">
        <f t="shared" si="5"/>
        <v>0</v>
      </c>
      <c r="T19" s="63">
        <f t="shared" ref="T19:W34" si="13">T18*(13/14)+P19/14</f>
        <v>0.94230306122449015</v>
      </c>
      <c r="U19" s="63">
        <f t="shared" si="13"/>
        <v>3.2674231637954589</v>
      </c>
      <c r="V19" s="63">
        <f>AVERAGE(R6:R19)</f>
        <v>6.4278571428571088E-2</v>
      </c>
      <c r="W19" s="63">
        <f>AVERAGE(S6:S19)</f>
        <v>0.30874999999999986</v>
      </c>
      <c r="X19" s="62">
        <f t="shared" ref="X19:X34" si="14">(100*(V19/T19))</f>
        <v>6.821432941652902</v>
      </c>
      <c r="Y19" s="62">
        <f t="shared" ref="Y19:Y34" si="15">(100*(W19/T19))</f>
        <v>32.765467152233377</v>
      </c>
      <c r="Z19" s="66">
        <f t="shared" ref="Z19:Z34" si="16">ABS(X19-Y19)</f>
        <v>25.944034210580476</v>
      </c>
      <c r="AA19" s="66">
        <f t="shared" ref="AA19:AA34" si="17">X19+Y19</f>
        <v>39.586900093886278</v>
      </c>
      <c r="AB19" s="62">
        <f t="shared" ref="AB19:AB34" si="18">(100*(Z19/AA19))</f>
        <v>65.536917892157007</v>
      </c>
      <c r="AC19" s="62">
        <f t="shared" ref="AC19:AC34" si="19">ABS(V19-W19)/(V19+W19)*100</f>
        <v>65.536917892157007</v>
      </c>
      <c r="AD19" s="68"/>
    </row>
    <row r="20" spans="1:30" s="44" customFormat="1" ht="12" customHeight="1" x14ac:dyDescent="0.15">
      <c r="A20" s="67">
        <v>15</v>
      </c>
      <c r="B20" s="60">
        <v>14</v>
      </c>
      <c r="C20" s="138">
        <v>27.03</v>
      </c>
      <c r="D20" s="61">
        <v>26.944099999999999</v>
      </c>
      <c r="E20" s="61">
        <v>26.133199999999999</v>
      </c>
      <c r="F20" s="61">
        <v>26.222100000000001</v>
      </c>
      <c r="G20" s="64">
        <f t="shared" si="12"/>
        <v>27.851421428571431</v>
      </c>
      <c r="H20" s="64">
        <f t="shared" si="0"/>
        <v>27.655060781157495</v>
      </c>
      <c r="I20" s="64">
        <f t="shared" si="9"/>
        <v>1.1100321354283724</v>
      </c>
      <c r="J20" s="64">
        <f t="shared" si="10"/>
        <v>28.961453563999804</v>
      </c>
      <c r="K20" s="64">
        <f t="shared" si="11"/>
        <v>26.741389293143058</v>
      </c>
      <c r="L20" s="64">
        <f t="shared" si="6"/>
        <v>-4.605976382593246</v>
      </c>
      <c r="M20" s="64">
        <f t="shared" si="7"/>
        <v>28.6356</v>
      </c>
      <c r="N20" s="64">
        <f t="shared" si="8"/>
        <v>26.133199999999999</v>
      </c>
      <c r="O20" s="80">
        <f t="shared" si="1"/>
        <v>0.99630040695523481</v>
      </c>
      <c r="P20" s="64">
        <f t="shared" si="2"/>
        <v>0.9001000000000019</v>
      </c>
      <c r="Q20" s="64">
        <f t="shared" si="3"/>
        <v>3.4442777769274402</v>
      </c>
      <c r="R20" s="66">
        <f t="shared" si="4"/>
        <v>0</v>
      </c>
      <c r="S20" s="66">
        <f t="shared" si="5"/>
        <v>0.49450000000000216</v>
      </c>
      <c r="T20" s="63">
        <f t="shared" si="13"/>
        <v>0.93928855685131241</v>
      </c>
      <c r="U20" s="63">
        <f t="shared" si="13"/>
        <v>3.2800556361620292</v>
      </c>
      <c r="V20" s="63">
        <f t="shared" si="13"/>
        <v>5.9687244897958867E-2</v>
      </c>
      <c r="W20" s="63">
        <f t="shared" si="13"/>
        <v>0.32201785714285719</v>
      </c>
      <c r="X20" s="62">
        <f t="shared" si="14"/>
        <v>6.3545163477816375</v>
      </c>
      <c r="Y20" s="62">
        <f t="shared" si="15"/>
        <v>34.283166210639997</v>
      </c>
      <c r="Z20" s="66">
        <f t="shared" si="16"/>
        <v>27.928649862858361</v>
      </c>
      <c r="AA20" s="66">
        <f t="shared" si="17"/>
        <v>40.637682558421638</v>
      </c>
      <c r="AB20" s="62">
        <f t="shared" si="18"/>
        <v>68.725990520516305</v>
      </c>
      <c r="AC20" s="62">
        <f t="shared" si="19"/>
        <v>68.725990520516305</v>
      </c>
      <c r="AD20" s="68"/>
    </row>
    <row r="21" spans="1:30" s="44" customFormat="1" ht="12" customHeight="1" x14ac:dyDescent="0.15">
      <c r="A21" s="67">
        <v>16</v>
      </c>
      <c r="B21" s="60">
        <v>13</v>
      </c>
      <c r="C21" s="138">
        <v>26.22</v>
      </c>
      <c r="D21" s="61">
        <v>26.518899999999999</v>
      </c>
      <c r="E21" s="61">
        <v>25.430700000000002</v>
      </c>
      <c r="F21" s="61">
        <v>26.014399999999998</v>
      </c>
      <c r="G21" s="64">
        <f t="shared" si="12"/>
        <v>27.559621428571432</v>
      </c>
      <c r="H21" s="64">
        <f t="shared" si="0"/>
        <v>27.436306010336498</v>
      </c>
      <c r="I21" s="64">
        <f t="shared" si="9"/>
        <v>1.0134339876864003</v>
      </c>
      <c r="J21" s="64">
        <f t="shared" si="10"/>
        <v>28.573055416257834</v>
      </c>
      <c r="K21" s="64">
        <f t="shared" si="11"/>
        <v>26.546187440885031</v>
      </c>
      <c r="L21" s="64">
        <f t="shared" si="6"/>
        <v>-4.4677022511108833</v>
      </c>
      <c r="M21" s="64">
        <f t="shared" si="7"/>
        <v>27.676100000000002</v>
      </c>
      <c r="N21" s="64">
        <f t="shared" si="8"/>
        <v>26.133199999999999</v>
      </c>
      <c r="O21" s="80">
        <f t="shared" si="1"/>
        <v>0.18893585737915919</v>
      </c>
      <c r="P21" s="64">
        <f t="shared" si="2"/>
        <v>1.0881999999999969</v>
      </c>
      <c r="Q21" s="64">
        <f t="shared" si="3"/>
        <v>4.2790800095946935</v>
      </c>
      <c r="R21" s="66">
        <f t="shared" si="4"/>
        <v>0</v>
      </c>
      <c r="S21" s="66">
        <f t="shared" si="5"/>
        <v>0.70249999999999702</v>
      </c>
      <c r="T21" s="63">
        <f t="shared" si="13"/>
        <v>0.94992508850478996</v>
      </c>
      <c r="U21" s="63">
        <f t="shared" si="13"/>
        <v>3.3514145199786483</v>
      </c>
      <c r="V21" s="63">
        <f t="shared" si="13"/>
        <v>5.542387026239038E-2</v>
      </c>
      <c r="W21" s="63">
        <f t="shared" si="13"/>
        <v>0.34919515306122434</v>
      </c>
      <c r="X21" s="62">
        <f t="shared" si="14"/>
        <v>5.834551685504926</v>
      </c>
      <c r="Y21" s="62">
        <f t="shared" si="15"/>
        <v>36.760283235688384</v>
      </c>
      <c r="Z21" s="66">
        <f t="shared" si="16"/>
        <v>30.925731550183457</v>
      </c>
      <c r="AA21" s="66">
        <f t="shared" si="17"/>
        <v>42.594834921193311</v>
      </c>
      <c r="AB21" s="62">
        <f t="shared" si="18"/>
        <v>72.604416961353635</v>
      </c>
      <c r="AC21" s="62">
        <f t="shared" si="19"/>
        <v>72.60441696135365</v>
      </c>
      <c r="AD21" s="68"/>
    </row>
    <row r="22" spans="1:30" s="44" customFormat="1" ht="12" customHeight="1" x14ac:dyDescent="0.15">
      <c r="A22" s="67">
        <v>17</v>
      </c>
      <c r="B22" s="60">
        <v>12</v>
      </c>
      <c r="C22" s="138">
        <v>26.01</v>
      </c>
      <c r="D22" s="61">
        <v>26.518899999999999</v>
      </c>
      <c r="E22" s="61">
        <v>25.351800000000001</v>
      </c>
      <c r="F22" s="61">
        <v>25.4605</v>
      </c>
      <c r="G22" s="64">
        <f t="shared" si="12"/>
        <v>27.313742857142863</v>
      </c>
      <c r="H22" s="64">
        <f t="shared" si="0"/>
        <v>27.172865208958299</v>
      </c>
      <c r="I22" s="64">
        <f t="shared" si="9"/>
        <v>1.0735279806815106</v>
      </c>
      <c r="J22" s="64">
        <f t="shared" si="10"/>
        <v>28.387270837824374</v>
      </c>
      <c r="K22" s="64">
        <f t="shared" si="11"/>
        <v>26.240214876461351</v>
      </c>
      <c r="L22" s="64">
        <f t="shared" si="6"/>
        <v>-3.3782783759065182</v>
      </c>
      <c r="M22" s="64">
        <f t="shared" si="7"/>
        <v>27.408999999999999</v>
      </c>
      <c r="N22" s="64">
        <f t="shared" si="8"/>
        <v>25.430700000000002</v>
      </c>
      <c r="O22" s="80">
        <f t="shared" si="1"/>
        <v>0.47082512209750915</v>
      </c>
      <c r="P22" s="64">
        <f t="shared" si="2"/>
        <v>1.1670999999999978</v>
      </c>
      <c r="Q22" s="64">
        <f t="shared" si="3"/>
        <v>4.6036178890650703</v>
      </c>
      <c r="R22" s="66">
        <f t="shared" si="4"/>
        <v>0</v>
      </c>
      <c r="S22" s="66">
        <f t="shared" si="5"/>
        <v>7.8900000000000858E-2</v>
      </c>
      <c r="T22" s="63">
        <f t="shared" si="13"/>
        <v>0.96543758218301912</v>
      </c>
      <c r="U22" s="63">
        <f t="shared" si="13"/>
        <v>3.4408576177705359</v>
      </c>
      <c r="V22" s="63">
        <f t="shared" si="13"/>
        <v>5.1465022386505355E-2</v>
      </c>
      <c r="W22" s="63">
        <f t="shared" si="13"/>
        <v>0.32988835641399411</v>
      </c>
      <c r="X22" s="62">
        <f t="shared" si="14"/>
        <v>5.3307456987674087</v>
      </c>
      <c r="Y22" s="62">
        <f t="shared" si="15"/>
        <v>34.169827496052122</v>
      </c>
      <c r="Z22" s="66">
        <f t="shared" si="16"/>
        <v>28.839081797284713</v>
      </c>
      <c r="AA22" s="66">
        <f t="shared" si="17"/>
        <v>39.50057319481953</v>
      </c>
      <c r="AB22" s="62">
        <f t="shared" si="18"/>
        <v>73.009274207359951</v>
      </c>
      <c r="AC22" s="62">
        <f t="shared" si="19"/>
        <v>73.009274207359951</v>
      </c>
      <c r="AD22" s="68"/>
    </row>
    <row r="23" spans="1:30" s="44" customFormat="1" ht="12" customHeight="1" x14ac:dyDescent="0.15">
      <c r="A23" s="67">
        <v>18</v>
      </c>
      <c r="B23" s="60">
        <v>11</v>
      </c>
      <c r="C23" s="138">
        <v>25.46</v>
      </c>
      <c r="D23" s="61">
        <v>27.092700000000001</v>
      </c>
      <c r="E23" s="61">
        <v>25.876000000000001</v>
      </c>
      <c r="F23" s="61">
        <v>27.033300000000001</v>
      </c>
      <c r="G23" s="64">
        <f t="shared" si="12"/>
        <v>27.178800000000006</v>
      </c>
      <c r="H23" s="64">
        <f t="shared" si="0"/>
        <v>27.154256514430529</v>
      </c>
      <c r="I23" s="64">
        <f t="shared" si="9"/>
        <v>0.97724419963194753</v>
      </c>
      <c r="J23" s="64">
        <f t="shared" si="10"/>
        <v>28.156044199631953</v>
      </c>
      <c r="K23" s="64">
        <f t="shared" si="11"/>
        <v>26.201555800368059</v>
      </c>
      <c r="L23" s="64">
        <f t="shared" si="6"/>
        <v>2.6675882708149024</v>
      </c>
      <c r="M23" s="64">
        <f t="shared" si="7"/>
        <v>27.408999999999999</v>
      </c>
      <c r="N23" s="64">
        <f t="shared" si="8"/>
        <v>25.351800000000001</v>
      </c>
      <c r="O23" s="80">
        <f t="shared" si="1"/>
        <v>1.293087860606559</v>
      </c>
      <c r="P23" s="64">
        <f t="shared" si="2"/>
        <v>1.632200000000001</v>
      </c>
      <c r="Q23" s="64">
        <f t="shared" si="3"/>
        <v>6.410714636397552</v>
      </c>
      <c r="R23" s="66">
        <f t="shared" si="4"/>
        <v>0.57380000000000209</v>
      </c>
      <c r="S23" s="66">
        <f t="shared" si="5"/>
        <v>0</v>
      </c>
      <c r="T23" s="63">
        <f t="shared" si="13"/>
        <v>1.0130634691699465</v>
      </c>
      <c r="U23" s="63">
        <f t="shared" si="13"/>
        <v>3.65299026195818</v>
      </c>
      <c r="V23" s="63">
        <f t="shared" si="13"/>
        <v>8.877466364461227E-2</v>
      </c>
      <c r="W23" s="63">
        <f t="shared" si="13"/>
        <v>0.30632490238442311</v>
      </c>
      <c r="X23" s="62">
        <f t="shared" si="14"/>
        <v>8.7629912978058311</v>
      </c>
      <c r="Y23" s="62">
        <f t="shared" si="15"/>
        <v>30.237483801030791</v>
      </c>
      <c r="Z23" s="66">
        <f t="shared" si="16"/>
        <v>21.474492503224958</v>
      </c>
      <c r="AA23" s="66">
        <f t="shared" si="17"/>
        <v>39.000475098836624</v>
      </c>
      <c r="AB23" s="62">
        <f t="shared" si="18"/>
        <v>55.062130522265193</v>
      </c>
      <c r="AC23" s="62">
        <f t="shared" si="19"/>
        <v>55.062130522265193</v>
      </c>
      <c r="AD23" s="68"/>
    </row>
    <row r="24" spans="1:30" s="44" customFormat="1" ht="12" customHeight="1" x14ac:dyDescent="0.15">
      <c r="A24" s="67">
        <v>19</v>
      </c>
      <c r="B24" s="60">
        <v>10</v>
      </c>
      <c r="C24" s="138">
        <v>27.03</v>
      </c>
      <c r="D24" s="61">
        <v>27.686</v>
      </c>
      <c r="E24" s="61">
        <v>26.963999999999999</v>
      </c>
      <c r="F24" s="61">
        <v>27.448699999999999</v>
      </c>
      <c r="G24" s="64">
        <f t="shared" si="12"/>
        <v>27.105314285714293</v>
      </c>
      <c r="H24" s="64">
        <f t="shared" si="0"/>
        <v>27.193515645839792</v>
      </c>
      <c r="I24" s="64">
        <f t="shared" si="9"/>
        <v>0.91342015747498839</v>
      </c>
      <c r="J24" s="64">
        <f t="shared" si="10"/>
        <v>28.018734443189281</v>
      </c>
      <c r="K24" s="64">
        <f t="shared" si="11"/>
        <v>26.191894128239305</v>
      </c>
      <c r="L24" s="64">
        <f t="shared" si="6"/>
        <v>1.5366233497205339</v>
      </c>
      <c r="M24" s="64">
        <f t="shared" si="7"/>
        <v>27.408999999999999</v>
      </c>
      <c r="N24" s="64">
        <f t="shared" si="8"/>
        <v>25.351800000000001</v>
      </c>
      <c r="O24" s="80">
        <f t="shared" si="1"/>
        <v>0.57991689750692088</v>
      </c>
      <c r="P24" s="64">
        <f t="shared" si="2"/>
        <v>0.72200000000000131</v>
      </c>
      <c r="Q24" s="64">
        <f t="shared" si="3"/>
        <v>2.6776442664293132</v>
      </c>
      <c r="R24" s="66">
        <f t="shared" si="4"/>
        <v>0.59329999999999927</v>
      </c>
      <c r="S24" s="66">
        <f t="shared" si="5"/>
        <v>0</v>
      </c>
      <c r="T24" s="63">
        <f t="shared" si="13"/>
        <v>0.99227322137209339</v>
      </c>
      <c r="U24" s="63">
        <f t="shared" si="13"/>
        <v>3.5833226908489753</v>
      </c>
      <c r="V24" s="63">
        <f t="shared" si="13"/>
        <v>0.12481218766999706</v>
      </c>
      <c r="W24" s="63">
        <f t="shared" si="13"/>
        <v>0.28444455221410719</v>
      </c>
      <c r="X24" s="62">
        <f t="shared" si="14"/>
        <v>12.578409351550327</v>
      </c>
      <c r="Y24" s="62">
        <f t="shared" si="15"/>
        <v>28.665950676446105</v>
      </c>
      <c r="Z24" s="66">
        <f t="shared" si="16"/>
        <v>16.087541324895778</v>
      </c>
      <c r="AA24" s="66">
        <f t="shared" si="17"/>
        <v>41.244360027996436</v>
      </c>
      <c r="AB24" s="62">
        <f t="shared" si="18"/>
        <v>39.005433261603883</v>
      </c>
      <c r="AC24" s="62">
        <f t="shared" si="19"/>
        <v>39.005433261603891</v>
      </c>
      <c r="AD24" s="68"/>
    </row>
    <row r="25" spans="1:30" s="44" customFormat="1" ht="12" customHeight="1" x14ac:dyDescent="0.15">
      <c r="A25" s="67">
        <v>20</v>
      </c>
      <c r="B25" s="60">
        <v>9</v>
      </c>
      <c r="C25" s="138">
        <v>27.44</v>
      </c>
      <c r="D25" s="61">
        <v>28.447700000000001</v>
      </c>
      <c r="E25" s="61">
        <v>27.142099999999999</v>
      </c>
      <c r="F25" s="61">
        <v>28.358599999999999</v>
      </c>
      <c r="G25" s="64">
        <f t="shared" si="12"/>
        <v>27.091171428571435</v>
      </c>
      <c r="H25" s="64">
        <f t="shared" si="0"/>
        <v>27.348860226394486</v>
      </c>
      <c r="I25" s="64">
        <f t="shared" si="9"/>
        <v>0.89212442872422826</v>
      </c>
      <c r="J25" s="64">
        <f t="shared" si="10"/>
        <v>27.983295857295662</v>
      </c>
      <c r="K25" s="64">
        <f t="shared" si="11"/>
        <v>26.199046999847209</v>
      </c>
      <c r="L25" s="64">
        <f t="shared" si="6"/>
        <v>8.1477074681280293</v>
      </c>
      <c r="M25" s="64">
        <f t="shared" si="7"/>
        <v>27.686</v>
      </c>
      <c r="N25" s="64">
        <f t="shared" si="8"/>
        <v>25.351800000000001</v>
      </c>
      <c r="O25" s="80">
        <f t="shared" si="1"/>
        <v>0.70358455882352677</v>
      </c>
      <c r="P25" s="64">
        <f t="shared" si="2"/>
        <v>1.3056000000000019</v>
      </c>
      <c r="Q25" s="64">
        <f t="shared" si="3"/>
        <v>4.8102394435213247</v>
      </c>
      <c r="R25" s="66">
        <f t="shared" si="4"/>
        <v>0.76170000000000115</v>
      </c>
      <c r="S25" s="66">
        <f t="shared" si="5"/>
        <v>0</v>
      </c>
      <c r="T25" s="62">
        <f t="shared" si="13"/>
        <v>1.0146537055598011</v>
      </c>
      <c r="U25" s="63">
        <f t="shared" si="13"/>
        <v>3.6709596017541433</v>
      </c>
      <c r="V25" s="63">
        <f t="shared" si="13"/>
        <v>0.17030417426499736</v>
      </c>
      <c r="W25" s="63">
        <f t="shared" si="13"/>
        <v>0.26412708419881381</v>
      </c>
      <c r="X25" s="62">
        <f t="shared" si="14"/>
        <v>16.784462849917624</v>
      </c>
      <c r="Y25" s="62">
        <f t="shared" si="15"/>
        <v>26.031254087136119</v>
      </c>
      <c r="Z25" s="66">
        <f t="shared" si="16"/>
        <v>9.2467912372184955</v>
      </c>
      <c r="AA25" s="66">
        <f t="shared" si="17"/>
        <v>42.815716937053743</v>
      </c>
      <c r="AB25" s="62">
        <f t="shared" si="18"/>
        <v>21.59672171509547</v>
      </c>
      <c r="AC25" s="62">
        <f t="shared" si="19"/>
        <v>21.596721715095477</v>
      </c>
      <c r="AD25" s="68"/>
    </row>
    <row r="26" spans="1:30" s="44" customFormat="1" ht="12" customHeight="1" x14ac:dyDescent="0.15">
      <c r="A26" s="67">
        <v>21</v>
      </c>
      <c r="B26" s="60">
        <v>8</v>
      </c>
      <c r="C26" s="138">
        <v>28.35</v>
      </c>
      <c r="D26" s="61">
        <v>28.526700000000002</v>
      </c>
      <c r="E26" s="61">
        <v>28.0123</v>
      </c>
      <c r="F26" s="61">
        <v>28.427800000000001</v>
      </c>
      <c r="G26" s="64">
        <f t="shared" si="12"/>
        <v>27.153328571428577</v>
      </c>
      <c r="H26" s="64">
        <f t="shared" si="0"/>
        <v>27.492718862875222</v>
      </c>
      <c r="I26" s="64">
        <f t="shared" si="9"/>
        <v>0.95083929574167825</v>
      </c>
      <c r="J26" s="64">
        <f t="shared" si="10"/>
        <v>28.104167867170254</v>
      </c>
      <c r="K26" s="64">
        <f t="shared" si="11"/>
        <v>26.202489275686901</v>
      </c>
      <c r="L26" s="64">
        <f t="shared" si="6"/>
        <v>9.2771695676240995</v>
      </c>
      <c r="M26" s="64">
        <f t="shared" si="7"/>
        <v>28.447700000000001</v>
      </c>
      <c r="N26" s="64">
        <f t="shared" si="8"/>
        <v>25.351800000000001</v>
      </c>
      <c r="O26" s="80">
        <f t="shared" si="1"/>
        <v>0.15124416796267412</v>
      </c>
      <c r="P26" s="64">
        <f t="shared" si="2"/>
        <v>0.51440000000000197</v>
      </c>
      <c r="Q26" s="64">
        <f t="shared" si="3"/>
        <v>1.836336180891962</v>
      </c>
      <c r="R26" s="66">
        <f t="shared" si="4"/>
        <v>7.9000000000000625E-2</v>
      </c>
      <c r="S26" s="66">
        <f t="shared" si="5"/>
        <v>0</v>
      </c>
      <c r="T26" s="62">
        <f t="shared" si="13"/>
        <v>0.97892129801981542</v>
      </c>
      <c r="U26" s="63">
        <f t="shared" si="13"/>
        <v>3.5399150716925591</v>
      </c>
      <c r="V26" s="63">
        <f t="shared" si="13"/>
        <v>0.16378244753178334</v>
      </c>
      <c r="W26" s="63">
        <f t="shared" si="13"/>
        <v>0.24526086389889853</v>
      </c>
      <c r="X26" s="62">
        <f t="shared" si="14"/>
        <v>16.730910632252691</v>
      </c>
      <c r="Y26" s="62">
        <f t="shared" si="15"/>
        <v>25.054196327633065</v>
      </c>
      <c r="Z26" s="66">
        <f t="shared" si="16"/>
        <v>8.323285695380374</v>
      </c>
      <c r="AA26" s="66">
        <f t="shared" si="17"/>
        <v>41.785106959885752</v>
      </c>
      <c r="AB26" s="62">
        <f t="shared" si="18"/>
        <v>19.919263826154225</v>
      </c>
      <c r="AC26" s="62">
        <f t="shared" si="19"/>
        <v>19.919263826154229</v>
      </c>
      <c r="AD26" s="68"/>
    </row>
    <row r="27" spans="1:30" s="44" customFormat="1" ht="12" customHeight="1" x14ac:dyDescent="0.15">
      <c r="A27" s="67">
        <v>22</v>
      </c>
      <c r="B27" s="60">
        <v>7</v>
      </c>
      <c r="C27" s="138">
        <v>28.42</v>
      </c>
      <c r="D27" s="61">
        <v>28.665400000000002</v>
      </c>
      <c r="E27" s="61">
        <v>27.884</v>
      </c>
      <c r="F27" s="61">
        <v>27.952999999999999</v>
      </c>
      <c r="G27" s="64">
        <f t="shared" si="12"/>
        <v>27.116578571428576</v>
      </c>
      <c r="H27" s="64">
        <f t="shared" si="0"/>
        <v>27.554089681158526</v>
      </c>
      <c r="I27" s="64">
        <f>STDEV(F14:F27)*SQRT(13/14)</f>
        <v>0.90832872839436851</v>
      </c>
      <c r="J27" s="64">
        <f t="shared" si="10"/>
        <v>28.024907299822946</v>
      </c>
      <c r="K27" s="64">
        <f t="shared" si="11"/>
        <v>26.208249843034206</v>
      </c>
      <c r="L27" s="64">
        <f t="shared" si="6"/>
        <v>9.7896742012136393</v>
      </c>
      <c r="M27" s="64">
        <f t="shared" si="7"/>
        <v>28.526700000000002</v>
      </c>
      <c r="N27" s="64">
        <f t="shared" si="8"/>
        <v>25.351800000000001</v>
      </c>
      <c r="O27" s="80">
        <f t="shared" si="1"/>
        <v>0.59764525211159647</v>
      </c>
      <c r="P27" s="64">
        <f t="shared" si="2"/>
        <v>0.78140000000000143</v>
      </c>
      <c r="Q27" s="64">
        <f t="shared" si="3"/>
        <v>2.8023239133553313</v>
      </c>
      <c r="R27" s="66">
        <f t="shared" si="4"/>
        <v>0.13870000000000005</v>
      </c>
      <c r="S27" s="66">
        <f t="shared" si="5"/>
        <v>0</v>
      </c>
      <c r="T27" s="62">
        <f t="shared" si="13"/>
        <v>0.96481263387554306</v>
      </c>
      <c r="U27" s="63">
        <f t="shared" si="13"/>
        <v>3.4872299889541858</v>
      </c>
      <c r="V27" s="63">
        <f t="shared" si="13"/>
        <v>0.16199084413665596</v>
      </c>
      <c r="W27" s="63">
        <f t="shared" si="13"/>
        <v>0.22774223076326294</v>
      </c>
      <c r="X27" s="62">
        <f t="shared" si="14"/>
        <v>16.789875925023605</v>
      </c>
      <c r="Y27" s="62">
        <f t="shared" si="15"/>
        <v>23.604814320107749</v>
      </c>
      <c r="Z27" s="66">
        <f t="shared" si="16"/>
        <v>6.8149383950841447</v>
      </c>
      <c r="AA27" s="66">
        <f t="shared" si="17"/>
        <v>40.394690245131358</v>
      </c>
      <c r="AB27" s="62">
        <f t="shared" si="18"/>
        <v>16.87087672594674</v>
      </c>
      <c r="AC27" s="62">
        <f t="shared" si="19"/>
        <v>16.870876725946736</v>
      </c>
      <c r="AD27" s="68"/>
    </row>
    <row r="28" spans="1:30" s="44" customFormat="1" ht="12" customHeight="1" x14ac:dyDescent="0.15">
      <c r="A28" s="67">
        <v>23</v>
      </c>
      <c r="B28" s="60">
        <v>6</v>
      </c>
      <c r="C28" s="138">
        <v>27.95</v>
      </c>
      <c r="D28" s="61">
        <v>29.011600000000001</v>
      </c>
      <c r="E28" s="61">
        <v>27.992799999999999</v>
      </c>
      <c r="F28" s="61">
        <v>29.011600000000001</v>
      </c>
      <c r="G28" s="64">
        <f t="shared" si="12"/>
        <v>27.168864285714292</v>
      </c>
      <c r="H28" s="64">
        <f t="shared" si="0"/>
        <v>27.748424390337391</v>
      </c>
      <c r="I28" s="64">
        <f t="shared" si="9"/>
        <v>0.99106974427141348</v>
      </c>
      <c r="J28" s="64">
        <f t="shared" si="10"/>
        <v>28.159934029985706</v>
      </c>
      <c r="K28" s="64">
        <f t="shared" si="11"/>
        <v>26.177794541442879</v>
      </c>
      <c r="L28" s="64">
        <f t="shared" si="6"/>
        <v>7.3180114895332826</v>
      </c>
      <c r="M28" s="64">
        <f t="shared" si="7"/>
        <v>28.665400000000002</v>
      </c>
      <c r="N28" s="64">
        <f t="shared" si="8"/>
        <v>25.876000000000001</v>
      </c>
      <c r="O28" s="80">
        <f t="shared" si="1"/>
        <v>1.0420102080879463</v>
      </c>
      <c r="P28" s="64">
        <f t="shared" si="2"/>
        <v>1.058600000000002</v>
      </c>
      <c r="Q28" s="64">
        <f t="shared" si="3"/>
        <v>3.7870711551533098</v>
      </c>
      <c r="R28" s="66">
        <f t="shared" si="4"/>
        <v>0.34619999999999962</v>
      </c>
      <c r="S28" s="66">
        <f t="shared" si="5"/>
        <v>0</v>
      </c>
      <c r="T28" s="62">
        <f t="shared" si="13"/>
        <v>0.97151173145586156</v>
      </c>
      <c r="U28" s="63">
        <f t="shared" si="13"/>
        <v>3.508647215111266</v>
      </c>
      <c r="V28" s="63">
        <f t="shared" si="13"/>
        <v>0.17514864098403765</v>
      </c>
      <c r="W28" s="63">
        <f t="shared" si="13"/>
        <v>0.21147492856588704</v>
      </c>
      <c r="X28" s="62">
        <f t="shared" si="14"/>
        <v>18.028463817062526</v>
      </c>
      <c r="Y28" s="62">
        <f t="shared" si="15"/>
        <v>21.76761450414816</v>
      </c>
      <c r="Z28" s="66">
        <f t="shared" si="16"/>
        <v>3.7391506870856333</v>
      </c>
      <c r="AA28" s="66">
        <f t="shared" si="17"/>
        <v>39.796078321210686</v>
      </c>
      <c r="AB28" s="62">
        <f t="shared" si="18"/>
        <v>9.3957767820874061</v>
      </c>
      <c r="AC28" s="62">
        <f t="shared" si="19"/>
        <v>9.3957767820874079</v>
      </c>
      <c r="AD28" s="68"/>
    </row>
    <row r="29" spans="1:30" s="44" customFormat="1" ht="12" customHeight="1" x14ac:dyDescent="0.15">
      <c r="A29" s="67">
        <v>24</v>
      </c>
      <c r="B29" s="60">
        <v>5</v>
      </c>
      <c r="C29" s="138">
        <v>29.01</v>
      </c>
      <c r="D29" s="61">
        <v>29.872</v>
      </c>
      <c r="E29" s="61">
        <v>28.764299999999999</v>
      </c>
      <c r="F29" s="61">
        <v>29.377600000000001</v>
      </c>
      <c r="G29" s="64">
        <f t="shared" si="12"/>
        <v>27.303821428571435</v>
      </c>
      <c r="H29" s="64">
        <f t="shared" si="0"/>
        <v>27.965647804959072</v>
      </c>
      <c r="I29" s="64">
        <f t="shared" si="9"/>
        <v>1.1424478563771814</v>
      </c>
      <c r="J29" s="64">
        <f t="shared" si="10"/>
        <v>28.446269284948617</v>
      </c>
      <c r="K29" s="64">
        <f t="shared" si="11"/>
        <v>26.161373572194254</v>
      </c>
      <c r="L29" s="64">
        <f t="shared" si="6"/>
        <v>7.027290909952022</v>
      </c>
      <c r="M29" s="64">
        <f t="shared" si="7"/>
        <v>29.011600000000001</v>
      </c>
      <c r="N29" s="64">
        <f t="shared" si="8"/>
        <v>26.963999999999999</v>
      </c>
      <c r="O29" s="80">
        <f t="shared" si="1"/>
        <v>0.33185880653606487</v>
      </c>
      <c r="P29" s="64">
        <f t="shared" si="2"/>
        <v>1.1077000000000012</v>
      </c>
      <c r="Q29" s="64">
        <f t="shared" si="3"/>
        <v>3.8509541341176456</v>
      </c>
      <c r="R29" s="66">
        <f t="shared" si="4"/>
        <v>0.8603999999999985</v>
      </c>
      <c r="S29" s="66">
        <f t="shared" si="5"/>
        <v>0</v>
      </c>
      <c r="T29" s="62">
        <f t="shared" si="13"/>
        <v>0.98123946492330016</v>
      </c>
      <c r="U29" s="63">
        <f t="shared" si="13"/>
        <v>3.5330977093260074</v>
      </c>
      <c r="V29" s="63">
        <f t="shared" si="13"/>
        <v>0.22409516662803486</v>
      </c>
      <c r="W29" s="63">
        <f t="shared" si="13"/>
        <v>0.19636957652546655</v>
      </c>
      <c r="X29" s="62">
        <f t="shared" si="14"/>
        <v>22.837969184775048</v>
      </c>
      <c r="Y29" s="62">
        <f t="shared" si="15"/>
        <v>20.0124010035426</v>
      </c>
      <c r="Z29" s="66">
        <f t="shared" si="16"/>
        <v>2.8255681812324482</v>
      </c>
      <c r="AA29" s="66">
        <f t="shared" si="17"/>
        <v>42.850370188317648</v>
      </c>
      <c r="AB29" s="62">
        <f t="shared" si="18"/>
        <v>6.5940344711485981</v>
      </c>
      <c r="AC29" s="62">
        <f t="shared" si="19"/>
        <v>6.5940344711486008</v>
      </c>
      <c r="AD29" s="68"/>
    </row>
    <row r="30" spans="1:30" s="44" customFormat="1" ht="12" customHeight="1" x14ac:dyDescent="0.15">
      <c r="A30" s="67">
        <v>25</v>
      </c>
      <c r="B30" s="60">
        <v>4</v>
      </c>
      <c r="C30" s="138">
        <v>29.37</v>
      </c>
      <c r="D30" s="61">
        <v>29.802800000000001</v>
      </c>
      <c r="E30" s="61">
        <v>29.1402</v>
      </c>
      <c r="F30" s="61">
        <v>29.357600000000001</v>
      </c>
      <c r="G30" s="64">
        <f t="shared" si="12"/>
        <v>27.455721428571437</v>
      </c>
      <c r="H30" s="64">
        <f t="shared" si="0"/>
        <v>28.151241430964529</v>
      </c>
      <c r="I30" s="64">
        <f t="shared" si="9"/>
        <v>1.2581815785254598</v>
      </c>
      <c r="J30" s="64">
        <f t="shared" si="10"/>
        <v>28.713903007096896</v>
      </c>
      <c r="K30" s="64">
        <f t="shared" si="11"/>
        <v>26.197539850045978</v>
      </c>
      <c r="L30" s="64">
        <f t="shared" si="6"/>
        <v>3.5227408969413343</v>
      </c>
      <c r="M30" s="64">
        <f t="shared" si="7"/>
        <v>29.872</v>
      </c>
      <c r="N30" s="64">
        <f t="shared" si="8"/>
        <v>27.142099999999999</v>
      </c>
      <c r="O30" s="80">
        <f t="shared" si="1"/>
        <v>1.8714156353757169E-2</v>
      </c>
      <c r="P30" s="64">
        <f t="shared" si="2"/>
        <v>0.66260000000000119</v>
      </c>
      <c r="Q30" s="64">
        <f t="shared" si="3"/>
        <v>2.2738347712095264</v>
      </c>
      <c r="R30" s="66">
        <f t="shared" si="4"/>
        <v>0</v>
      </c>
      <c r="S30" s="66">
        <f t="shared" si="5"/>
        <v>0</v>
      </c>
      <c r="T30" s="62">
        <f t="shared" si="13"/>
        <v>0.95847950314306452</v>
      </c>
      <c r="U30" s="63">
        <f t="shared" si="13"/>
        <v>3.4431503566034016</v>
      </c>
      <c r="V30" s="63">
        <f t="shared" si="13"/>
        <v>0.20808836901174665</v>
      </c>
      <c r="W30" s="63">
        <f t="shared" si="13"/>
        <v>0.18234317820221896</v>
      </c>
      <c r="X30" s="62">
        <f t="shared" si="14"/>
        <v>21.710257582909104</v>
      </c>
      <c r="Y30" s="62">
        <f t="shared" si="15"/>
        <v>19.024212578805876</v>
      </c>
      <c r="Z30" s="66">
        <f t="shared" si="16"/>
        <v>2.686045004103228</v>
      </c>
      <c r="AA30" s="66">
        <f t="shared" si="17"/>
        <v>40.734470161714981</v>
      </c>
      <c r="AB30" s="62">
        <f t="shared" si="18"/>
        <v>6.5940344711486034</v>
      </c>
      <c r="AC30" s="62">
        <f t="shared" si="19"/>
        <v>6.5940344711485954</v>
      </c>
      <c r="AD30" s="68"/>
    </row>
    <row r="31" spans="1:30" s="44" customFormat="1" ht="12" customHeight="1" x14ac:dyDescent="0.15">
      <c r="A31" s="67">
        <v>26</v>
      </c>
      <c r="B31" s="60">
        <v>3</v>
      </c>
      <c r="C31" s="138">
        <v>29.35</v>
      </c>
      <c r="D31" s="61">
        <v>29.7529</v>
      </c>
      <c r="E31" s="61">
        <v>28.712700000000002</v>
      </c>
      <c r="F31" s="61">
        <v>28.910699999999999</v>
      </c>
      <c r="G31" s="64">
        <f t="shared" si="12"/>
        <v>27.638578571428578</v>
      </c>
      <c r="H31" s="64">
        <f t="shared" si="0"/>
        <v>28.252502573502593</v>
      </c>
      <c r="I31" s="64">
        <f t="shared" si="9"/>
        <v>1.2702662370984461</v>
      </c>
      <c r="J31" s="64">
        <f t="shared" si="10"/>
        <v>28.908844808527025</v>
      </c>
      <c r="K31" s="64">
        <f t="shared" si="11"/>
        <v>26.368312334330131</v>
      </c>
      <c r="L31" s="64">
        <f t="shared" si="6"/>
        <v>1.6986893111672341</v>
      </c>
      <c r="M31" s="64">
        <f t="shared" si="7"/>
        <v>29.872</v>
      </c>
      <c r="N31" s="64">
        <f t="shared" si="8"/>
        <v>27.884</v>
      </c>
      <c r="O31" s="80">
        <f t="shared" si="1"/>
        <v>0.42232263026341421</v>
      </c>
      <c r="P31" s="64">
        <f t="shared" si="2"/>
        <v>1.0401999999999987</v>
      </c>
      <c r="Q31" s="64">
        <f t="shared" si="3"/>
        <v>3.6227871290404501</v>
      </c>
      <c r="R31" s="66">
        <f t="shared" si="4"/>
        <v>0</v>
      </c>
      <c r="S31" s="66">
        <f t="shared" si="5"/>
        <v>0.42749999999999844</v>
      </c>
      <c r="T31" s="62">
        <f t="shared" si="13"/>
        <v>0.96431668148998839</v>
      </c>
      <c r="U31" s="63">
        <f t="shared" si="13"/>
        <v>3.4559815546346191</v>
      </c>
      <c r="V31" s="63">
        <f t="shared" si="13"/>
        <v>0.19322491408233619</v>
      </c>
      <c r="W31" s="63">
        <f t="shared" si="13"/>
        <v>0.1998543797592032</v>
      </c>
      <c r="X31" s="62">
        <f t="shared" si="14"/>
        <v>20.037495751269159</v>
      </c>
      <c r="Y31" s="62">
        <f t="shared" si="15"/>
        <v>20.724973817771509</v>
      </c>
      <c r="Z31" s="66">
        <f t="shared" si="16"/>
        <v>0.68747806650235077</v>
      </c>
      <c r="AA31" s="66">
        <f t="shared" si="17"/>
        <v>40.762469569040668</v>
      </c>
      <c r="AB31" s="62">
        <f t="shared" si="18"/>
        <v>1.6865466537495912</v>
      </c>
      <c r="AC31" s="62">
        <f t="shared" si="19"/>
        <v>1.6865466537495919</v>
      </c>
      <c r="AD31" s="68"/>
    </row>
    <row r="32" spans="1:30" s="44" customFormat="1" ht="12" customHeight="1" x14ac:dyDescent="0.15">
      <c r="A32" s="67">
        <v>27</v>
      </c>
      <c r="B32" s="60">
        <v>2</v>
      </c>
      <c r="C32" s="138">
        <v>28.91</v>
      </c>
      <c r="D32" s="61">
        <v>30.654599999999999</v>
      </c>
      <c r="E32" s="61">
        <v>28.928999999999998</v>
      </c>
      <c r="F32" s="61">
        <v>30.614899999999999</v>
      </c>
      <c r="G32" s="64">
        <f t="shared" si="12"/>
        <v>27.944578571428579</v>
      </c>
      <c r="H32" s="64">
        <f t="shared" si="0"/>
        <v>28.567488897035581</v>
      </c>
      <c r="I32" s="64">
        <f t="shared" si="9"/>
        <v>1.424971939161596</v>
      </c>
      <c r="J32" s="64">
        <f t="shared" si="10"/>
        <v>29.369550510590177</v>
      </c>
      <c r="K32" s="64">
        <f t="shared" si="11"/>
        <v>26.519606632266981</v>
      </c>
      <c r="L32" s="64">
        <f t="shared" si="6"/>
        <v>9.5227703645404773</v>
      </c>
      <c r="M32" s="64">
        <f t="shared" si="7"/>
        <v>29.872</v>
      </c>
      <c r="N32" s="64">
        <f t="shared" si="8"/>
        <v>27.884</v>
      </c>
      <c r="O32" s="80">
        <f t="shared" si="1"/>
        <v>0.98800417246175154</v>
      </c>
      <c r="P32" s="64">
        <f t="shared" si="2"/>
        <v>1.7439</v>
      </c>
      <c r="Q32" s="64">
        <f t="shared" si="3"/>
        <v>6.0320227459037756</v>
      </c>
      <c r="R32" s="66">
        <f t="shared" si="4"/>
        <v>0.90169999999999817</v>
      </c>
      <c r="S32" s="66">
        <f t="shared" si="5"/>
        <v>0</v>
      </c>
      <c r="T32" s="62">
        <f t="shared" si="13"/>
        <v>1.0200012042407036</v>
      </c>
      <c r="U32" s="63">
        <f t="shared" si="13"/>
        <v>3.6399844968681303</v>
      </c>
      <c r="V32" s="63">
        <f t="shared" si="13"/>
        <v>0.24383027736216922</v>
      </c>
      <c r="W32" s="63">
        <f t="shared" si="13"/>
        <v>0.18557906691926013</v>
      </c>
      <c r="X32" s="62">
        <f t="shared" si="14"/>
        <v>23.904900930355105</v>
      </c>
      <c r="Y32" s="62">
        <f t="shared" si="15"/>
        <v>18.194004688200984</v>
      </c>
      <c r="Z32" s="66">
        <f t="shared" si="16"/>
        <v>5.7108962421541207</v>
      </c>
      <c r="AA32" s="66">
        <f t="shared" si="17"/>
        <v>42.098905618556088</v>
      </c>
      <c r="AB32" s="62">
        <f t="shared" si="18"/>
        <v>13.565426840067094</v>
      </c>
      <c r="AC32" s="62">
        <f t="shared" si="19"/>
        <v>13.565426840067085</v>
      </c>
      <c r="AD32" s="68">
        <f>AVERAGE(AB19:AB32)</f>
        <v>33.583346060760981</v>
      </c>
    </row>
    <row r="33" spans="1:30" s="44" customFormat="1" ht="12" customHeight="1" x14ac:dyDescent="0.15">
      <c r="A33" s="67">
        <v>28</v>
      </c>
      <c r="B33" s="60">
        <v>1</v>
      </c>
      <c r="C33" s="138">
        <v>30.61</v>
      </c>
      <c r="D33" s="61">
        <v>30.595099999999999</v>
      </c>
      <c r="E33" s="61">
        <v>30.0304</v>
      </c>
      <c r="F33" s="61">
        <v>30.0502</v>
      </c>
      <c r="G33" s="64">
        <f t="shared" si="12"/>
        <v>28.160071428571435</v>
      </c>
      <c r="H33" s="64">
        <f t="shared" si="0"/>
        <v>28.765183710764173</v>
      </c>
      <c r="I33" s="64">
        <f t="shared" si="9"/>
        <v>1.4971573767016764</v>
      </c>
      <c r="J33" s="64">
        <f t="shared" si="10"/>
        <v>29.65722880527311</v>
      </c>
      <c r="K33" s="64">
        <f t="shared" si="11"/>
        <v>26.662914051869759</v>
      </c>
      <c r="L33" s="64">
        <f t="shared" si="6"/>
        <v>3.5799473314122476</v>
      </c>
      <c r="M33" s="64">
        <f t="shared" si="7"/>
        <v>30.654599999999999</v>
      </c>
      <c r="N33" s="64">
        <f t="shared" si="8"/>
        <v>27.992799999999999</v>
      </c>
      <c r="O33" s="80">
        <f t="shared" si="1"/>
        <v>0.99132282627944168</v>
      </c>
      <c r="P33" s="64">
        <f t="shared" si="2"/>
        <v>0.58449999999999847</v>
      </c>
      <c r="Q33" s="64">
        <f t="shared" si="3"/>
        <v>1.9463610208322102</v>
      </c>
      <c r="R33" s="66">
        <f t="shared" si="4"/>
        <v>0</v>
      </c>
      <c r="S33" s="66">
        <f t="shared" si="5"/>
        <v>0</v>
      </c>
      <c r="T33" s="62">
        <f t="shared" si="13"/>
        <v>0.98889397536636747</v>
      </c>
      <c r="U33" s="63">
        <f t="shared" si="13"/>
        <v>3.5190113914369934</v>
      </c>
      <c r="V33" s="63">
        <f t="shared" si="13"/>
        <v>0.22641382897915716</v>
      </c>
      <c r="W33" s="63">
        <f t="shared" si="13"/>
        <v>0.17232341928217013</v>
      </c>
      <c r="X33" s="62">
        <f t="shared" si="14"/>
        <v>22.895662691773897</v>
      </c>
      <c r="Y33" s="62">
        <f t="shared" si="15"/>
        <v>17.425874115405282</v>
      </c>
      <c r="Z33" s="66">
        <f t="shared" si="16"/>
        <v>5.4697885763686145</v>
      </c>
      <c r="AA33" s="66">
        <f t="shared" si="17"/>
        <v>40.321536807179179</v>
      </c>
      <c r="AB33" s="62">
        <f t="shared" si="18"/>
        <v>13.565426840067088</v>
      </c>
      <c r="AC33" s="62">
        <f t="shared" si="19"/>
        <v>13.565426840067088</v>
      </c>
      <c r="AD33" s="68">
        <f>((AD32*13)+AB33)/14</f>
        <v>32.15349468785427</v>
      </c>
    </row>
    <row r="34" spans="1:30" s="44" customFormat="1" ht="12" customHeight="1" thickBot="1" x14ac:dyDescent="0.2">
      <c r="A34" s="69">
        <v>29</v>
      </c>
      <c r="B34" s="70">
        <v>0</v>
      </c>
      <c r="C34" s="139">
        <v>30.05</v>
      </c>
      <c r="D34" s="71">
        <v>30.763500000000001</v>
      </c>
      <c r="E34" s="71">
        <v>29.386299999999999</v>
      </c>
      <c r="F34" s="71">
        <v>30.189</v>
      </c>
      <c r="G34" s="72">
        <f t="shared" si="12"/>
        <v>28.443421428571433</v>
      </c>
      <c r="H34" s="72">
        <f t="shared" si="0"/>
        <v>28.955025882662284</v>
      </c>
      <c r="I34" s="72">
        <f t="shared" si="9"/>
        <v>1.478839306530908</v>
      </c>
      <c r="J34" s="72">
        <f t="shared" si="10"/>
        <v>29.922260735102341</v>
      </c>
      <c r="K34" s="72">
        <f t="shared" si="11"/>
        <v>26.964582122040525</v>
      </c>
      <c r="L34" s="72">
        <f t="shared" si="6"/>
        <v>2.7619683023800468</v>
      </c>
      <c r="M34" s="72">
        <f t="shared" si="7"/>
        <v>30.654599999999999</v>
      </c>
      <c r="N34" s="72">
        <f t="shared" si="8"/>
        <v>28.712700000000002</v>
      </c>
      <c r="O34" s="74">
        <f t="shared" si="1"/>
        <v>0.10092942201568338</v>
      </c>
      <c r="P34" s="72">
        <f t="shared" si="2"/>
        <v>1.377200000000002</v>
      </c>
      <c r="Q34" s="72">
        <f t="shared" si="3"/>
        <v>4.6865376042577678</v>
      </c>
      <c r="R34" s="73">
        <f t="shared" si="4"/>
        <v>0</v>
      </c>
      <c r="S34" s="73">
        <f t="shared" si="5"/>
        <v>0.64410000000000167</v>
      </c>
      <c r="T34" s="74">
        <f t="shared" si="13"/>
        <v>1.0166301199830556</v>
      </c>
      <c r="U34" s="75">
        <f t="shared" si="13"/>
        <v>3.6024061209241913</v>
      </c>
      <c r="V34" s="75">
        <f t="shared" si="13"/>
        <v>0.21024141262350307</v>
      </c>
      <c r="W34" s="75">
        <f t="shared" si="13"/>
        <v>0.20602174647630095</v>
      </c>
      <c r="X34" s="74">
        <f t="shared" si="14"/>
        <v>20.680226612507528</v>
      </c>
      <c r="Y34" s="74">
        <f t="shared" si="15"/>
        <v>20.265162562735672</v>
      </c>
      <c r="Z34" s="73">
        <f t="shared" si="16"/>
        <v>0.41506404977185696</v>
      </c>
      <c r="AA34" s="73">
        <f t="shared" si="17"/>
        <v>40.9453891752432</v>
      </c>
      <c r="AB34" s="74">
        <f t="shared" si="18"/>
        <v>1.0137015623307766</v>
      </c>
      <c r="AC34" s="74">
        <f t="shared" si="19"/>
        <v>1.0137015623307675</v>
      </c>
      <c r="AD34" s="76">
        <f>((AD33*13)+AB34)/14</f>
        <v>29.929223750316876</v>
      </c>
    </row>
    <row r="35" spans="1:30" s="44" customFormat="1" ht="12" customHeight="1" x14ac:dyDescent="0.15">
      <c r="A35" s="50"/>
      <c r="B35" s="50"/>
      <c r="C35" s="50"/>
      <c r="D35" s="51"/>
      <c r="E35" s="51"/>
      <c r="F35" s="52"/>
      <c r="G35" s="53"/>
      <c r="H35" s="54"/>
      <c r="I35" s="55"/>
      <c r="J35" s="56"/>
      <c r="K35" s="56"/>
      <c r="L35" s="56"/>
      <c r="M35" s="56"/>
      <c r="N35" s="56"/>
      <c r="O35" s="56"/>
      <c r="P35" s="56"/>
      <c r="Q35" s="56"/>
      <c r="R35" s="57"/>
      <c r="S35" s="57"/>
      <c r="T35" s="58"/>
      <c r="U35" s="59"/>
      <c r="V35" s="59"/>
      <c r="W35" s="59"/>
      <c r="X35" s="58"/>
      <c r="Y35" s="58"/>
      <c r="Z35" s="57"/>
      <c r="AA35" s="57"/>
      <c r="AB35" s="58"/>
      <c r="AC35" s="58"/>
      <c r="AD35" s="58"/>
    </row>
    <row r="36" spans="1:30" s="44" customFormat="1" ht="12" customHeight="1" x14ac:dyDescent="0.15">
      <c r="A36" s="46"/>
      <c r="B36" s="46"/>
      <c r="C36" s="60"/>
      <c r="D36" s="47"/>
      <c r="E36" s="47"/>
      <c r="F36" s="47"/>
      <c r="G36" s="48"/>
      <c r="H36" s="54"/>
      <c r="I36" s="55"/>
      <c r="J36" s="56"/>
      <c r="K36" s="56"/>
      <c r="L36" s="56"/>
      <c r="M36" s="56"/>
      <c r="N36" s="56"/>
      <c r="O36" s="56"/>
      <c r="P36" s="56"/>
      <c r="Q36" s="56"/>
      <c r="R36" s="57"/>
      <c r="S36" s="57"/>
      <c r="T36" s="58"/>
      <c r="U36" s="59"/>
      <c r="V36" s="59"/>
      <c r="W36" s="59"/>
      <c r="X36" s="58"/>
      <c r="Y36" s="58"/>
      <c r="Z36" s="57"/>
      <c r="AA36" s="57"/>
      <c r="AB36" s="58"/>
      <c r="AC36" s="58"/>
      <c r="AD36" s="58"/>
    </row>
  </sheetData>
  <mergeCells count="2">
    <mergeCell ref="A1:G1"/>
    <mergeCell ref="A2:G2"/>
  </mergeCells>
  <pageMargins left="0.75" right="0.75" top="1" bottom="1" header="0.5" footer="0.5"/>
  <pageSetup orientation="portrait"/>
  <ignoredErrors>
    <ignoredError sqref="G18 I18:I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Ticks</vt:lpstr>
      <vt:lpstr>Bars</vt:lpstr>
      <vt:lpstr>Ticks!out_1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De Simone</cp:lastModifiedBy>
  <dcterms:created xsi:type="dcterms:W3CDTF">2017-02-28T08:03:06Z</dcterms:created>
  <dcterms:modified xsi:type="dcterms:W3CDTF">2020-01-30T16:54:11Z</dcterms:modified>
</cp:coreProperties>
</file>