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anie\Desktop\Investment Fund\NEM\"/>
    </mc:Choice>
  </mc:AlternateContent>
  <xr:revisionPtr revIDLastSave="0" documentId="13_ncr:1_{B6F514E4-65C5-4FF2-8721-7A4F16165A66}" xr6:coauthVersionLast="43" xr6:coauthVersionMax="43" xr10:uidLastSave="{00000000-0000-0000-0000-000000000000}"/>
  <bookViews>
    <workbookView xWindow="-120" yWindow="-120" windowWidth="20730" windowHeight="11160" tabRatio="580" activeTab="2" xr2:uid="{00000000-000D-0000-FFFF-FFFF00000000}"/>
  </bookViews>
  <sheets>
    <sheet name="DCF" sheetId="6" r:id="rId1"/>
    <sheet name="Comparables " sheetId="9" r:id="rId2"/>
    <sheet name="Revenue and Expense Projection" sheetId="1" r:id="rId3"/>
    <sheet name="Free Cash Flow Projection" sheetId="7" r:id="rId4"/>
    <sheet name="BS" sheetId="8" r:id="rId5"/>
    <sheet name="2018 Reserves" sheetId="3" r:id="rId6"/>
    <sheet name="2017 Reserves" sheetId="4" r:id="rId7"/>
    <sheet name="2016 Reserves" sheetId="5" r:id="rId8"/>
    <sheet name="Historical Prices" sheetId="2" r:id="rId9"/>
  </sheets>
  <externalReferences>
    <externalReference r:id="rId10"/>
  </externalReferences>
  <definedNames>
    <definedName name="Company_Name">'Free Cash Flow Projection'!$F$8</definedName>
    <definedName name="Diluted_Shares">[1]DCF!$F$11</definedName>
    <definedName name="Discount_Rate">DCF!$F$14</definedName>
    <definedName name="Enterprise_Value">[1]DCF!$F$32</definedName>
    <definedName name="Equity_Value">[1]DCF!$F$21</definedName>
    <definedName name="Hist_Year">[1]DCF!$F$17</definedName>
    <definedName name="Share_Price">[1]DCF!$F$10</definedName>
    <definedName name="Ticker">[1]DCF!$F$9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9" i="7" l="1"/>
  <c r="O6" i="6"/>
  <c r="O7" i="6" s="1"/>
  <c r="O11" i="6"/>
  <c r="O3" i="6"/>
  <c r="O2" i="6"/>
  <c r="O10" i="6"/>
  <c r="W8" i="9"/>
  <c r="V9" i="9"/>
  <c r="V8" i="9"/>
  <c r="X9" i="9"/>
  <c r="O21" i="9" l="1"/>
  <c r="L21" i="9"/>
  <c r="H45" i="7"/>
  <c r="D21" i="9"/>
  <c r="F21" i="9" s="1"/>
  <c r="S39" i="9" s="1"/>
  <c r="I21" i="9"/>
  <c r="T16" i="9"/>
  <c r="B29" i="9"/>
  <c r="B28" i="9"/>
  <c r="B27" i="9"/>
  <c r="B26" i="9"/>
  <c r="R25" i="9"/>
  <c r="O25" i="9"/>
  <c r="L25" i="9"/>
  <c r="J21" i="9"/>
  <c r="T19" i="9"/>
  <c r="S19" i="9"/>
  <c r="R19" i="9"/>
  <c r="Q19" i="9"/>
  <c r="P19" i="9"/>
  <c r="O19" i="9"/>
  <c r="N19" i="9"/>
  <c r="M19" i="9"/>
  <c r="L19" i="9"/>
  <c r="D19" i="9"/>
  <c r="T18" i="9"/>
  <c r="S18" i="9"/>
  <c r="R18" i="9"/>
  <c r="Q18" i="9"/>
  <c r="P18" i="9"/>
  <c r="O18" i="9"/>
  <c r="N18" i="9"/>
  <c r="M18" i="9"/>
  <c r="L18" i="9"/>
  <c r="D18" i="9"/>
  <c r="T17" i="9"/>
  <c r="S17" i="9"/>
  <c r="R17" i="9"/>
  <c r="Q17" i="9"/>
  <c r="P17" i="9"/>
  <c r="O17" i="9"/>
  <c r="N17" i="9"/>
  <c r="M17" i="9"/>
  <c r="L17" i="9"/>
  <c r="D17" i="9"/>
  <c r="S16" i="9"/>
  <c r="R16" i="9"/>
  <c r="Q16" i="9"/>
  <c r="P16" i="9"/>
  <c r="O16" i="9"/>
  <c r="N16" i="9"/>
  <c r="M16" i="9"/>
  <c r="L16" i="9"/>
  <c r="D16" i="9"/>
  <c r="T15" i="9"/>
  <c r="S15" i="9"/>
  <c r="R15" i="9"/>
  <c r="Q15" i="9"/>
  <c r="P15" i="9"/>
  <c r="O15" i="9"/>
  <c r="N15" i="9"/>
  <c r="M15" i="9"/>
  <c r="L15" i="9"/>
  <c r="D15" i="9"/>
  <c r="Y11" i="9"/>
  <c r="X11" i="9"/>
  <c r="W11" i="9"/>
  <c r="V11" i="9"/>
  <c r="U11" i="9"/>
  <c r="F11" i="9"/>
  <c r="R29" i="9" s="1"/>
  <c r="Y10" i="9"/>
  <c r="X10" i="9"/>
  <c r="W10" i="9"/>
  <c r="V10" i="9"/>
  <c r="U10" i="9"/>
  <c r="F10" i="9"/>
  <c r="S28" i="9" s="1"/>
  <c r="Y9" i="9"/>
  <c r="W9" i="9"/>
  <c r="U9" i="9"/>
  <c r="F9" i="9"/>
  <c r="T27" i="9" s="1"/>
  <c r="Y8" i="9"/>
  <c r="Y17" i="9" s="1"/>
  <c r="X8" i="9"/>
  <c r="X18" i="9" s="1"/>
  <c r="U8" i="9"/>
  <c r="F8" i="9"/>
  <c r="W7" i="9"/>
  <c r="R7" i="9"/>
  <c r="O7" i="9"/>
  <c r="M7" i="9"/>
  <c r="P7" i="9" s="1"/>
  <c r="V16" i="9" l="1"/>
  <c r="U17" i="9"/>
  <c r="T39" i="9"/>
  <c r="K21" i="9"/>
  <c r="K39" i="9" s="1"/>
  <c r="X17" i="9"/>
  <c r="K10" i="9"/>
  <c r="O28" i="9" s="1"/>
  <c r="U21" i="9"/>
  <c r="W21" i="9"/>
  <c r="W19" i="9"/>
  <c r="K11" i="9"/>
  <c r="N29" i="9" s="1"/>
  <c r="F16" i="9"/>
  <c r="K8" i="9"/>
  <c r="X15" i="9"/>
  <c r="W16" i="9"/>
  <c r="F17" i="9"/>
  <c r="V17" i="9"/>
  <c r="U18" i="9"/>
  <c r="Y18" i="9"/>
  <c r="X19" i="9"/>
  <c r="S25" i="9"/>
  <c r="F26" i="9"/>
  <c r="R26" i="9"/>
  <c r="L28" i="9"/>
  <c r="P28" i="9"/>
  <c r="T28" i="9"/>
  <c r="K29" i="9"/>
  <c r="O29" i="9"/>
  <c r="S29" i="9"/>
  <c r="N7" i="9"/>
  <c r="X7" i="9"/>
  <c r="U15" i="9"/>
  <c r="Y15" i="9"/>
  <c r="X16" i="9"/>
  <c r="W17" i="9"/>
  <c r="F18" i="9"/>
  <c r="V18" i="9"/>
  <c r="U19" i="9"/>
  <c r="Y19" i="9"/>
  <c r="P25" i="9"/>
  <c r="S26" i="9"/>
  <c r="F27" i="9"/>
  <c r="R27" i="9"/>
  <c r="M28" i="9"/>
  <c r="Q28" i="9"/>
  <c r="L29" i="9"/>
  <c r="P29" i="9"/>
  <c r="T29" i="9"/>
  <c r="F39" i="9"/>
  <c r="R39" i="9"/>
  <c r="F15" i="9"/>
  <c r="V15" i="9"/>
  <c r="U16" i="9"/>
  <c r="Y16" i="9"/>
  <c r="W18" i="9"/>
  <c r="F19" i="9"/>
  <c r="V19" i="9"/>
  <c r="M25" i="9"/>
  <c r="T26" i="9"/>
  <c r="S27" i="9"/>
  <c r="F28" i="9"/>
  <c r="N28" i="9"/>
  <c r="R28" i="9"/>
  <c r="M29" i="9"/>
  <c r="Q29" i="9"/>
  <c r="S7" i="9"/>
  <c r="K9" i="9"/>
  <c r="W15" i="9"/>
  <c r="K28" i="9"/>
  <c r="F29" i="9"/>
  <c r="O39" i="9" l="1"/>
  <c r="N39" i="9"/>
  <c r="L39" i="9"/>
  <c r="M39" i="9"/>
  <c r="T35" i="9"/>
  <c r="K15" i="9"/>
  <c r="N25" i="9"/>
  <c r="T7" i="9"/>
  <c r="Y7" i="9"/>
  <c r="Q25" i="9"/>
  <c r="T25" i="9"/>
  <c r="Q7" i="9"/>
  <c r="T36" i="9"/>
  <c r="T37" i="9"/>
  <c r="T33" i="9"/>
  <c r="T34" i="9"/>
  <c r="R34" i="9"/>
  <c r="R35" i="9"/>
  <c r="R36" i="9"/>
  <c r="R37" i="9"/>
  <c r="R33" i="9"/>
  <c r="S35" i="9"/>
  <c r="S36" i="9"/>
  <c r="S37" i="9"/>
  <c r="S33" i="9"/>
  <c r="S34" i="9"/>
  <c r="F34" i="9"/>
  <c r="F35" i="9"/>
  <c r="F36" i="9"/>
  <c r="F37" i="9"/>
  <c r="F33" i="9"/>
  <c r="P27" i="9"/>
  <c r="L27" i="9"/>
  <c r="O27" i="9"/>
  <c r="K27" i="9"/>
  <c r="N27" i="9"/>
  <c r="Q27" i="9"/>
  <c r="M27" i="9"/>
  <c r="Q26" i="9"/>
  <c r="M26" i="9"/>
  <c r="K19" i="9"/>
  <c r="P26" i="9"/>
  <c r="L26" i="9"/>
  <c r="K18" i="9"/>
  <c r="O26" i="9"/>
  <c r="K26" i="9"/>
  <c r="K17" i="9"/>
  <c r="N26" i="9"/>
  <c r="K16" i="9"/>
  <c r="M34" i="9" l="1"/>
  <c r="O35" i="9"/>
  <c r="O36" i="9"/>
  <c r="O37" i="9"/>
  <c r="O33" i="9"/>
  <c r="O34" i="9"/>
  <c r="L36" i="9"/>
  <c r="L37" i="9"/>
  <c r="L33" i="9"/>
  <c r="L34" i="9"/>
  <c r="L35" i="9"/>
  <c r="M37" i="9"/>
  <c r="M33" i="9"/>
  <c r="M35" i="9"/>
  <c r="M36" i="9"/>
  <c r="N34" i="9"/>
  <c r="N35" i="9"/>
  <c r="N36" i="9"/>
  <c r="N37" i="9"/>
  <c r="N33" i="9"/>
  <c r="K35" i="9"/>
  <c r="K36" i="9"/>
  <c r="K37" i="9"/>
  <c r="K33" i="9"/>
  <c r="K34" i="9"/>
  <c r="P36" i="9"/>
  <c r="P37" i="9"/>
  <c r="P33" i="9"/>
  <c r="P34" i="9"/>
  <c r="P35" i="9"/>
  <c r="Q37" i="9"/>
  <c r="Q33" i="9"/>
  <c r="Q34" i="9"/>
  <c r="Q35" i="9"/>
  <c r="Q36" i="9"/>
  <c r="K9" i="1" l="1"/>
  <c r="I7" i="1"/>
  <c r="I6" i="1"/>
  <c r="O31" i="1"/>
  <c r="P31" i="1" s="1"/>
  <c r="Q31" i="1" s="1"/>
  <c r="N31" i="1"/>
  <c r="O28" i="1"/>
  <c r="P28" i="1" s="1"/>
  <c r="Q28" i="1" s="1"/>
  <c r="N28" i="1"/>
  <c r="O25" i="1"/>
  <c r="P25" i="1" s="1"/>
  <c r="Q25" i="1" s="1"/>
  <c r="N25" i="1"/>
  <c r="O22" i="1"/>
  <c r="P22" i="1" s="1"/>
  <c r="Q22" i="1" s="1"/>
  <c r="N22" i="1"/>
  <c r="I31" i="1"/>
  <c r="I28" i="1"/>
  <c r="I25" i="1"/>
  <c r="I22" i="1"/>
  <c r="J21" i="1"/>
  <c r="H46" i="7"/>
  <c r="G28" i="7"/>
  <c r="H28" i="7"/>
  <c r="F33" i="7"/>
  <c r="I33" i="7" s="1"/>
  <c r="F26" i="7"/>
  <c r="F28" i="7"/>
  <c r="J17" i="1"/>
  <c r="I17" i="1" l="1"/>
  <c r="K22" i="6"/>
  <c r="H6" i="7"/>
  <c r="G27" i="7"/>
  <c r="H27" i="7"/>
  <c r="F27" i="7"/>
  <c r="G26" i="7"/>
  <c r="H26" i="7"/>
  <c r="G24" i="7"/>
  <c r="H24" i="7"/>
  <c r="F24" i="7"/>
  <c r="G25" i="7"/>
  <c r="H25" i="7"/>
  <c r="F25" i="7"/>
  <c r="F29" i="7" s="1"/>
  <c r="I20" i="7"/>
  <c r="G21" i="7"/>
  <c r="H21" i="7"/>
  <c r="F21" i="7"/>
  <c r="G33" i="7"/>
  <c r="H33" i="7"/>
  <c r="I40" i="7"/>
  <c r="G29" i="7" l="1"/>
  <c r="H54" i="1" l="1"/>
  <c r="J40" i="7"/>
  <c r="K40" i="7"/>
  <c r="L40" i="7"/>
  <c r="M40" i="7"/>
  <c r="N40" i="7"/>
  <c r="O40" i="7"/>
  <c r="P40" i="7"/>
  <c r="Q40" i="7"/>
  <c r="I41" i="7"/>
  <c r="K20" i="6"/>
  <c r="K21" i="6"/>
  <c r="K23" i="6"/>
  <c r="K24" i="6"/>
  <c r="K25" i="6"/>
  <c r="K17" i="6"/>
  <c r="K18" i="6"/>
  <c r="K19" i="6"/>
  <c r="K16" i="6"/>
  <c r="G6" i="7"/>
  <c r="F6" i="7"/>
  <c r="H10" i="7"/>
  <c r="G9" i="7"/>
  <c r="H9" i="7"/>
  <c r="F9" i="7"/>
  <c r="J39" i="7"/>
  <c r="K39" i="7" s="1"/>
  <c r="L39" i="7" s="1"/>
  <c r="H29" i="7"/>
  <c r="H55" i="1"/>
  <c r="F48" i="1"/>
  <c r="G48" i="1"/>
  <c r="H48" i="1"/>
  <c r="I42" i="1"/>
  <c r="J42" i="1" s="1"/>
  <c r="K42" i="1" s="1"/>
  <c r="I40" i="1"/>
  <c r="K10" i="1"/>
  <c r="K41" i="1" s="1"/>
  <c r="K45" i="1" s="1"/>
  <c r="L10" i="1"/>
  <c r="L41" i="1" s="1"/>
  <c r="M10" i="1"/>
  <c r="M41" i="1" s="1"/>
  <c r="N10" i="1"/>
  <c r="N41" i="1" s="1"/>
  <c r="O10" i="1"/>
  <c r="O41" i="1" s="1"/>
  <c r="P10" i="1"/>
  <c r="P41" i="1" s="1"/>
  <c r="Q10" i="1"/>
  <c r="Q41" i="1" s="1"/>
  <c r="K17" i="1"/>
  <c r="L17" i="1"/>
  <c r="M17" i="1"/>
  <c r="N17" i="1"/>
  <c r="O17" i="1"/>
  <c r="P17" i="1"/>
  <c r="Q17" i="1"/>
  <c r="H17" i="1"/>
  <c r="G17" i="1"/>
  <c r="G36" i="1" s="1"/>
  <c r="H36" i="1"/>
  <c r="F17" i="1"/>
  <c r="F36" i="1" s="1"/>
  <c r="G35" i="1" s="1"/>
  <c r="G16" i="1"/>
  <c r="H21" i="1"/>
  <c r="I21" i="1" l="1"/>
  <c r="J41" i="7"/>
  <c r="K41" i="7"/>
  <c r="M39" i="7"/>
  <c r="L41" i="7"/>
  <c r="H35" i="1"/>
  <c r="H12" i="7"/>
  <c r="L42" i="1"/>
  <c r="L45" i="1" s="1"/>
  <c r="I36" i="1"/>
  <c r="J35" i="1" l="1"/>
  <c r="K35" i="1" s="1"/>
  <c r="I35" i="1"/>
  <c r="H15" i="7"/>
  <c r="H17" i="7"/>
  <c r="H36" i="7" s="1"/>
  <c r="N39" i="7"/>
  <c r="M41" i="7"/>
  <c r="M42" i="1"/>
  <c r="M45" i="1" s="1"/>
  <c r="N42" i="1"/>
  <c r="N45" i="1" s="1"/>
  <c r="J36" i="1"/>
  <c r="K21" i="1"/>
  <c r="K36" i="1" l="1"/>
  <c r="L36" i="1" s="1"/>
  <c r="M36" i="1" s="1"/>
  <c r="O39" i="7"/>
  <c r="N41" i="7"/>
  <c r="O42" i="1"/>
  <c r="O45" i="1" s="1"/>
  <c r="L21" i="1" l="1"/>
  <c r="M21" i="1" s="1"/>
  <c r="N21" i="1" s="1"/>
  <c r="O21" i="1" s="1"/>
  <c r="P21" i="1" s="1"/>
  <c r="Q21" i="1" s="1"/>
  <c r="P39" i="7"/>
  <c r="O41" i="7"/>
  <c r="P42" i="1"/>
  <c r="Q39" i="7" l="1"/>
  <c r="Q41" i="7" s="1"/>
  <c r="P41" i="7"/>
  <c r="Q42" i="1"/>
  <c r="Q45" i="1" s="1"/>
  <c r="P45" i="1"/>
  <c r="G54" i="1" l="1"/>
  <c r="F54" i="1"/>
  <c r="H24" i="1"/>
  <c r="I24" i="1" s="1"/>
  <c r="J24" i="1" s="1"/>
  <c r="K24" i="1" s="1"/>
  <c r="L24" i="1" s="1"/>
  <c r="M24" i="1" s="1"/>
  <c r="N24" i="1" s="1"/>
  <c r="O24" i="1" s="1"/>
  <c r="P24" i="1" s="1"/>
  <c r="Q24" i="1" s="1"/>
  <c r="F24" i="1"/>
  <c r="F55" i="1" l="1"/>
  <c r="F10" i="7"/>
  <c r="F12" i="7" s="1"/>
  <c r="G55" i="1"/>
  <c r="G10" i="7"/>
  <c r="G12" i="7" s="1"/>
  <c r="H16" i="1"/>
  <c r="F16" i="1"/>
  <c r="F30" i="1"/>
  <c r="F27" i="1"/>
  <c r="G24" i="1"/>
  <c r="G27" i="1"/>
  <c r="G30" i="1"/>
  <c r="H30" i="1"/>
  <c r="I30" i="1" s="1"/>
  <c r="J30" i="1" s="1"/>
  <c r="K30" i="1" s="1"/>
  <c r="L30" i="1" s="1"/>
  <c r="M30" i="1" s="1"/>
  <c r="N30" i="1" s="1"/>
  <c r="O30" i="1" s="1"/>
  <c r="P30" i="1" s="1"/>
  <c r="Q30" i="1" s="1"/>
  <c r="H27" i="1"/>
  <c r="I27" i="1" s="1"/>
  <c r="J27" i="1" s="1"/>
  <c r="K27" i="1" s="1"/>
  <c r="L27" i="1" s="1"/>
  <c r="M27" i="1" s="1"/>
  <c r="N27" i="1" s="1"/>
  <c r="O27" i="1" s="1"/>
  <c r="P27" i="1" s="1"/>
  <c r="Q27" i="1" s="1"/>
  <c r="G21" i="1"/>
  <c r="F21" i="1"/>
  <c r="G15" i="7" l="1"/>
  <c r="G45" i="7"/>
  <c r="F15" i="7"/>
  <c r="F45" i="7"/>
  <c r="I16" i="1"/>
  <c r="J16" i="1" s="1"/>
  <c r="K16" i="1" s="1"/>
  <c r="L16" i="1" s="1"/>
  <c r="M16" i="1" s="1"/>
  <c r="N16" i="1" s="1"/>
  <c r="O16" i="1" s="1"/>
  <c r="P16" i="1" s="1"/>
  <c r="Q16" i="1" s="1"/>
  <c r="F17" i="7"/>
  <c r="F36" i="7" s="1"/>
  <c r="G17" i="7"/>
  <c r="G36" i="7" s="1"/>
  <c r="H12" i="1"/>
  <c r="I12" i="1" s="1"/>
  <c r="H13" i="1"/>
  <c r="G13" i="1"/>
  <c r="G10" i="1" s="1"/>
  <c r="G12" i="1"/>
  <c r="H11" i="1"/>
  <c r="I11" i="1" s="1"/>
  <c r="G11" i="1"/>
  <c r="F13" i="1"/>
  <c r="F12" i="1"/>
  <c r="F11" i="1"/>
  <c r="H9" i="1"/>
  <c r="G9" i="1"/>
  <c r="F9" i="1"/>
  <c r="H8" i="1"/>
  <c r="G8" i="1"/>
  <c r="F8" i="1"/>
  <c r="H7" i="1"/>
  <c r="G7" i="1"/>
  <c r="F7" i="1"/>
  <c r="H10" i="1" l="1"/>
  <c r="H41" i="1" s="1"/>
  <c r="H44" i="1" s="1"/>
  <c r="I13" i="1"/>
  <c r="I10" i="1" s="1"/>
  <c r="I41" i="1" s="1"/>
  <c r="I45" i="1" s="1"/>
  <c r="J11" i="1"/>
  <c r="J12" i="1"/>
  <c r="G46" i="7"/>
  <c r="G6" i="1"/>
  <c r="G32" i="1" s="1"/>
  <c r="G33" i="1" s="1"/>
  <c r="F10" i="1"/>
  <c r="F41" i="1" s="1"/>
  <c r="F44" i="1" s="1"/>
  <c r="J13" i="1"/>
  <c r="J10" i="1" s="1"/>
  <c r="J41" i="1" s="1"/>
  <c r="J45" i="1" s="1"/>
  <c r="G41" i="1"/>
  <c r="G44" i="1" s="1"/>
  <c r="F6" i="1"/>
  <c r="F32" i="1" s="1"/>
  <c r="F33" i="1" s="1"/>
  <c r="I8" i="1"/>
  <c r="J8" i="1" s="1"/>
  <c r="H6" i="1"/>
  <c r="H32" i="1" s="1"/>
  <c r="J7" i="1" l="1"/>
  <c r="K7" i="1" s="1"/>
  <c r="I32" i="1"/>
  <c r="K8" i="1"/>
  <c r="H33" i="1"/>
  <c r="J33" i="1" l="1"/>
  <c r="I33" i="1"/>
  <c r="I34" i="1" s="1"/>
  <c r="K33" i="1"/>
  <c r="J6" i="1"/>
  <c r="I47" i="1" l="1"/>
  <c r="I6" i="7"/>
  <c r="J32" i="1"/>
  <c r="J34" i="1" s="1"/>
  <c r="J6" i="7" s="1"/>
  <c r="I52" i="1"/>
  <c r="I48" i="1"/>
  <c r="I53" i="1"/>
  <c r="I51" i="1"/>
  <c r="K6" i="1"/>
  <c r="K32" i="1" s="1"/>
  <c r="J47" i="1" l="1"/>
  <c r="J48" i="1" s="1"/>
  <c r="I54" i="1"/>
  <c r="I55" i="1" s="1"/>
  <c r="I9" i="7"/>
  <c r="L6" i="1"/>
  <c r="L32" i="1" l="1"/>
  <c r="L34" i="1" s="1"/>
  <c r="L6" i="7" s="1"/>
  <c r="J53" i="1"/>
  <c r="K34" i="1"/>
  <c r="I10" i="7"/>
  <c r="I12" i="7" s="1"/>
  <c r="X21" i="9" s="1"/>
  <c r="J51" i="1"/>
  <c r="J9" i="7"/>
  <c r="M6" i="1"/>
  <c r="M32" i="1" s="1"/>
  <c r="M34" i="1" s="1"/>
  <c r="P39" i="9" l="1"/>
  <c r="K6" i="7"/>
  <c r="K47" i="1"/>
  <c r="K48" i="1" s="1"/>
  <c r="L47" i="1" s="1"/>
  <c r="I14" i="7"/>
  <c r="I17" i="7" s="1"/>
  <c r="I36" i="7" s="1"/>
  <c r="I43" i="7" s="1"/>
  <c r="I45" i="7"/>
  <c r="I46" i="7" s="1"/>
  <c r="J52" i="1"/>
  <c r="J54" i="1" s="1"/>
  <c r="K51" i="1" s="1"/>
  <c r="M6" i="7"/>
  <c r="N6" i="1"/>
  <c r="N32" i="1" s="1"/>
  <c r="N34" i="1" s="1"/>
  <c r="N6" i="7" s="1"/>
  <c r="K9" i="7" l="1"/>
  <c r="K53" i="1"/>
  <c r="J10" i="7"/>
  <c r="J12" i="7" s="1"/>
  <c r="K52" i="1"/>
  <c r="L9" i="7"/>
  <c r="L48" i="1"/>
  <c r="M47" i="1" s="1"/>
  <c r="O6" i="1"/>
  <c r="O32" i="1" s="1"/>
  <c r="O34" i="1" s="1"/>
  <c r="K54" i="1" l="1"/>
  <c r="K10" i="7" s="1"/>
  <c r="K12" i="7" s="1"/>
  <c r="J45" i="7"/>
  <c r="J46" i="7" s="1"/>
  <c r="Y21" i="9"/>
  <c r="J14" i="7"/>
  <c r="J17" i="7" s="1"/>
  <c r="J36" i="7" s="1"/>
  <c r="M9" i="7"/>
  <c r="M48" i="1"/>
  <c r="O6" i="7"/>
  <c r="P6" i="1"/>
  <c r="P32" i="1" s="1"/>
  <c r="P34" i="1" s="1"/>
  <c r="L52" i="1" l="1"/>
  <c r="Q39" i="9"/>
  <c r="V21" i="9"/>
  <c r="K14" i="7"/>
  <c r="K17" i="7" s="1"/>
  <c r="K36" i="7" s="1"/>
  <c r="K45" i="7"/>
  <c r="K46" i="7" s="1"/>
  <c r="J43" i="7"/>
  <c r="P6" i="7"/>
  <c r="N48" i="1"/>
  <c r="N9" i="7"/>
  <c r="L53" i="1"/>
  <c r="L51" i="1"/>
  <c r="Q6" i="1"/>
  <c r="L54" i="1" l="1"/>
  <c r="M51" i="1" s="1"/>
  <c r="Q32" i="1"/>
  <c r="Q34" i="1" s="1"/>
  <c r="Q6" i="7" s="1"/>
  <c r="K43" i="7"/>
  <c r="O48" i="1"/>
  <c r="O9" i="7"/>
  <c r="L10" i="7" l="1"/>
  <c r="L12" i="7" s="1"/>
  <c r="M52" i="1"/>
  <c r="M53" i="1"/>
  <c r="P48" i="1"/>
  <c r="P9" i="7"/>
  <c r="M54" i="1" l="1"/>
  <c r="M10" i="7" s="1"/>
  <c r="M12" i="7" s="1"/>
  <c r="L14" i="7"/>
  <c r="L17" i="7" s="1"/>
  <c r="L36" i="7" s="1"/>
  <c r="L43" i="7" s="1"/>
  <c r="L45" i="7"/>
  <c r="L46" i="7" s="1"/>
  <c r="Q48" i="1"/>
  <c r="Q9" i="7"/>
  <c r="N51" i="1" l="1"/>
  <c r="M14" i="7"/>
  <c r="M17" i="7" s="1"/>
  <c r="M36" i="7" s="1"/>
  <c r="M45" i="7"/>
  <c r="M46" i="7" s="1"/>
  <c r="N52" i="1"/>
  <c r="N53" i="1"/>
  <c r="N54" i="1" l="1"/>
  <c r="M43" i="7"/>
  <c r="N10" i="7" l="1"/>
  <c r="N12" i="7" s="1"/>
  <c r="O52" i="1"/>
  <c r="N14" i="7" l="1"/>
  <c r="N45" i="7"/>
  <c r="N46" i="7" s="1"/>
  <c r="O51" i="1"/>
  <c r="O53" i="1"/>
  <c r="N17" i="7"/>
  <c r="N36" i="7" s="1"/>
  <c r="O54" i="1" l="1"/>
  <c r="O10" i="7" s="1"/>
  <c r="O12" i="7" s="1"/>
  <c r="N43" i="7"/>
  <c r="P52" i="1" l="1"/>
  <c r="O14" i="7"/>
  <c r="O17" i="7" s="1"/>
  <c r="O36" i="7" s="1"/>
  <c r="O45" i="7"/>
  <c r="O46" i="7" s="1"/>
  <c r="P51" i="1"/>
  <c r="P53" i="1"/>
  <c r="P54" i="1" l="1"/>
  <c r="O43" i="7"/>
  <c r="Q51" i="1" l="1"/>
  <c r="P10" i="7"/>
  <c r="P12" i="7" s="1"/>
  <c r="Q53" i="1"/>
  <c r="Q52" i="1"/>
  <c r="Q54" i="1" l="1"/>
  <c r="P14" i="7"/>
  <c r="P17" i="7" s="1"/>
  <c r="P36" i="7" s="1"/>
  <c r="P43" i="7" s="1"/>
  <c r="P45" i="7"/>
  <c r="P46" i="7" s="1"/>
  <c r="Q10" i="7" l="1"/>
  <c r="Q12" i="7" s="1"/>
  <c r="Q45" i="7" s="1"/>
  <c r="Q14" i="7" l="1"/>
  <c r="Q17" i="7" s="1"/>
  <c r="Q36" i="7" s="1"/>
  <c r="K7" i="6"/>
  <c r="Q46" i="7"/>
  <c r="K10" i="6" l="1"/>
  <c r="K8" i="6"/>
  <c r="Q43" i="7"/>
  <c r="K11" i="6" s="1"/>
  <c r="K12" i="6" l="1"/>
  <c r="K26" i="6" s="1"/>
  <c r="K30" i="6" s="1"/>
  <c r="K31" i="6" s="1"/>
  <c r="K1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Encarnacao</author>
  </authors>
  <commentList>
    <comment ref="K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Daniel Encarnacao:</t>
        </r>
        <r>
          <rPr>
            <sz val="9"/>
            <color indexed="81"/>
            <rFont val="Tahoma"/>
            <family val="2"/>
          </rPr>
          <t xml:space="preserve">
Blended Forward EV/EBITDA
</t>
        </r>
      </text>
    </comment>
    <comment ref="B17" authorId="0" shapeId="0" xr:uid="{CDF86978-93A2-424E-A270-E85CA34C0F61}">
      <text>
        <r>
          <rPr>
            <b/>
            <sz val="9"/>
            <color indexed="81"/>
            <rFont val="Tahoma"/>
            <family val="2"/>
          </rPr>
          <t>Daniel Encarnacao:</t>
        </r>
        <r>
          <rPr>
            <sz val="9"/>
            <color indexed="81"/>
            <rFont val="Tahoma"/>
            <family val="2"/>
          </rPr>
          <t xml:space="preserve">
LT Investments and ST Investments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Encarnacao</author>
  </authors>
  <commentList>
    <comment ref="I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Daniel Encarnacao:</t>
        </r>
        <r>
          <rPr>
            <sz val="9"/>
            <color indexed="81"/>
            <rFont val="Tahoma"/>
            <family val="2"/>
          </rPr>
          <t xml:space="preserve">
From JP Morgan Gold Price Forecast</t>
        </r>
      </text>
    </comment>
    <comment ref="B36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Daniel Encarnacao:</t>
        </r>
        <r>
          <rPr>
            <sz val="9"/>
            <color indexed="81"/>
            <rFont val="Tahoma"/>
            <family val="2"/>
          </rPr>
          <t xml:space="preserve">
difference between depleted amount and produced amount 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Daniel Encarnacao</author>
  </authors>
  <commentList>
    <comment ref="B1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Daniel Encarnacao:</t>
        </r>
        <r>
          <rPr>
            <sz val="9"/>
            <color indexed="81"/>
            <rFont val="Tahoma"/>
            <family val="2"/>
          </rPr>
          <t xml:space="preserve">
Net Operating Income After Taxes
</t>
        </r>
      </text>
    </comment>
    <comment ref="B20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Daniel Encarnacao:</t>
        </r>
        <r>
          <rPr>
            <sz val="9"/>
            <color indexed="81"/>
            <rFont val="Tahoma"/>
            <family val="2"/>
          </rPr>
          <t xml:space="preserve">
Depreciation and Amortization
</t>
        </r>
      </text>
    </comment>
  </commentList>
</comments>
</file>

<file path=xl/sharedStrings.xml><?xml version="1.0" encoding="utf-8"?>
<sst xmlns="http://schemas.openxmlformats.org/spreadsheetml/2006/main" count="749" uniqueCount="358">
  <si>
    <t>NAV (Net Asset Value)</t>
  </si>
  <si>
    <t xml:space="preserve">Price of Gold </t>
  </si>
  <si>
    <t>2016
Actual</t>
  </si>
  <si>
    <t>2017
Actual</t>
  </si>
  <si>
    <t>2018
Actual</t>
  </si>
  <si>
    <t>2019
Forecasted</t>
  </si>
  <si>
    <t>2020
Forecasted</t>
  </si>
  <si>
    <t>2021
Forecasted</t>
  </si>
  <si>
    <t>2022
Forecasted</t>
  </si>
  <si>
    <t>2023
Forecasted</t>
  </si>
  <si>
    <t>2024
Forecasted</t>
  </si>
  <si>
    <t>2025
Forecasted</t>
  </si>
  <si>
    <t>2026
Forecasted</t>
  </si>
  <si>
    <t>2027
Forecasted</t>
  </si>
  <si>
    <t>Year</t>
  </si>
  <si>
    <t>High</t>
  </si>
  <si>
    <t>Low</t>
  </si>
  <si>
    <t>Average</t>
  </si>
  <si>
    <t>Price of Copper</t>
  </si>
  <si>
    <t xml:space="preserve">  High </t>
  </si>
  <si>
    <t xml:space="preserve">  Low</t>
  </si>
  <si>
    <t xml:space="preserve">  Average</t>
  </si>
  <si>
    <t>Price:
High=1, Low=2, Average=3</t>
  </si>
  <si>
    <t>Gold Reserves At December 31, 2018 (1)</t>
  </si>
  <si>
    <t>Proven Reserves</t>
  </si>
  <si>
    <t>Probable Reserves</t>
  </si>
  <si>
    <t>Proven and Probable Reserves</t>
  </si>
  <si>
    <t>Newmont</t>
  </si>
  <si>
    <t>Grade</t>
  </si>
  <si>
    <t>Metallurgical</t>
  </si>
  <si>
    <t>Deposits/Districts</t>
  </si>
  <si>
    <t>Share  </t>
  </si>
  <si>
    <t>(oz/ton)</t>
  </si>
  <si>
    <t>North America</t>
  </si>
  <si>
    <t>Carlin Open Pits (4)</t>
  </si>
  <si>
    <t>Carlin Leach Pad (5)</t>
  </si>
  <si>
    <t> —</t>
  </si>
  <si>
    <t>Carlin Stockpiles (6)</t>
  </si>
  <si>
    <t>Carlin Underground (7)</t>
  </si>
  <si>
    <t>Total Carlin, Nevada</t>
  </si>
  <si>
    <t>Phoenix (8)</t>
  </si>
  <si>
    <t>Lone Tree</t>
  </si>
  <si>
    <t>Total Phoenix, Nevada</t>
  </si>
  <si>
    <t>Turquoise Ridge (9)</t>
  </si>
  <si>
    <t>Twin Creeks (10)</t>
  </si>
  <si>
    <t>Twin Creeks Stockpiles (6)</t>
  </si>
  <si>
    <t>Total Twin Creeks, Nevada </t>
  </si>
  <si>
    <t>Long Canyon, Nevada (11)</t>
  </si>
  <si>
    <t>CC&amp;V (12)</t>
  </si>
  <si>
    <t>CC&amp;V Leach Pads (5)</t>
  </si>
  <si>
    <t>CC&amp;V Stockpiles (6)</t>
  </si>
  <si>
    <t>Total CC&amp;V, Colorado</t>
  </si>
  <si>
    <t>South America</t>
  </si>
  <si>
    <t>Yanacocha Open Pits (13)</t>
  </si>
  <si>
    <t>Yanacocha Leach Pads (5)</t>
  </si>
  <si>
    <t>Yanacocha Stockpiles (6)</t>
  </si>
  <si>
    <t>Yanacocha Underground (14)</t>
  </si>
  <si>
    <t>Total Yanacocha, Peru</t>
  </si>
  <si>
    <t>Merian, Suriname (15)</t>
  </si>
  <si>
    <t>Australia</t>
  </si>
  <si>
    <t>Boddington Open Pit (16)</t>
  </si>
  <si>
    <t>Boddington Stockpiles (6)</t>
  </si>
  <si>
    <t>Total Boddington, Western Australia</t>
  </si>
  <si>
    <t>Tanami, Northern Territory (17)</t>
  </si>
  <si>
    <t>Kalgoorlie Open Pit and Underground (18)</t>
  </si>
  <si>
    <t>Kalgoorlie Stockpiles (6)</t>
  </si>
  <si>
    <t>Total Kalgoorlie, Western Australia</t>
  </si>
  <si>
    <t>Africa</t>
  </si>
  <si>
    <t>Ahafo South Open Pits (19)</t>
  </si>
  <si>
    <t>Ahafo Underground (20)</t>
  </si>
  <si>
    <t>Ahafo Stockpiles (6)</t>
  </si>
  <si>
    <t>Total Ahafo South, Ghana</t>
  </si>
  <si>
    <t>Ahafo North, Ghana (21)</t>
  </si>
  <si>
    <t>Akyem Open Pit (22)</t>
  </si>
  <si>
    <t>Akyem Stockpiles (6)</t>
  </si>
  <si>
    <t>Total Akyem, Ghana</t>
  </si>
  <si>
    <t>Total Gold </t>
  </si>
  <si>
    <t>Tonnage </t>
  </si>
  <si>
    <t>Ounces </t>
  </si>
  <si>
    <t>Tonnage</t>
  </si>
  <si>
    <t>(000's)</t>
  </si>
  <si>
    <t>Recovery</t>
  </si>
  <si>
    <t>Gold Reserves At December 31, 2017 (1)</t>
  </si>
  <si>
    <t>Carlin Open Pits</t>
  </si>
  <si>
    <t>Carlin Underground</t>
  </si>
  <si>
    <t>Phoenix</t>
  </si>
  <si>
    <t>Twin Creeks</t>
  </si>
  <si>
    <t>Total Twin Creeks, Nevada</t>
  </si>
  <si>
    <t>Long Canyon, Nevada</t>
  </si>
  <si>
    <t>CC&amp;V</t>
  </si>
  <si>
    <t>Yanacocha Open Pits</t>
  </si>
  <si>
    <t>Merian, Suriname</t>
  </si>
  <si>
    <t>Boddington Open Pit</t>
  </si>
  <si>
    <t>Tanami, Northern Territory</t>
  </si>
  <si>
    <t>Kalgoorlie Open Pit and Underground</t>
  </si>
  <si>
    <t>Ahafo South Open Pits</t>
  </si>
  <si>
    <t>Ahafo Underground</t>
  </si>
  <si>
    <t>Ahafo North, Ghana</t>
  </si>
  <si>
    <t>Akyem Open Pit</t>
  </si>
  <si>
    <t>Total Gold</t>
  </si>
  <si>
    <t>Ounces</t>
  </si>
  <si>
    <t>Gold Reserves At December 31, 2016 (1)</t>
  </si>
  <si>
    <t>Carlin Stockpiles (5)</t>
  </si>
  <si>
    <t>Turquoise Ridge (8)</t>
  </si>
  <si>
    <t>Twin Creeks Stockpiles (5)</t>
  </si>
  <si>
    <t>CC&amp;V Leach Pad (12)</t>
  </si>
  <si>
    <t>CC&amp;V Stockpiles (5)</t>
  </si>
  <si>
    <t>Yanacocha Leach Pad (12)</t>
  </si>
  <si>
    <t>Yanacocha Stockpiles (5)</t>
  </si>
  <si>
    <t>Boddington Stockpiles (5)</t>
  </si>
  <si>
    <t>Kalgoorlie Stockpiles (5)</t>
  </si>
  <si>
    <t>Ahafo Stockpiles (5)</t>
  </si>
  <si>
    <t>Akyem Stockpiles (5)</t>
  </si>
  <si>
    <t>Reserves (000's)</t>
  </si>
  <si>
    <t xml:space="preserve">      Contained Gold (000's)</t>
  </si>
  <si>
    <t>Company Name:</t>
  </si>
  <si>
    <t>Terminal Value - Multiples Method:</t>
  </si>
  <si>
    <t>Ticker:</t>
  </si>
  <si>
    <t>Current Share Price:</t>
  </si>
  <si>
    <t>Median EV / EBITDA of Comps:</t>
  </si>
  <si>
    <t>Diluted Shares Outstanding:</t>
  </si>
  <si>
    <t>Baseline Terminal EBITDA Multiple:</t>
  </si>
  <si>
    <t>Effective Tax Rate:</t>
  </si>
  <si>
    <t>Baseline Terminal Value:</t>
  </si>
  <si>
    <t>Discount Rate (WACC):</t>
  </si>
  <si>
    <t>Implied Terminal FCF Growth Rate:</t>
  </si>
  <si>
    <t>Conversion Units:</t>
  </si>
  <si>
    <t>(+) PV of Terminal Value:</t>
  </si>
  <si>
    <t>Last Fiscal Year:</t>
  </si>
  <si>
    <t>(+) Sum of PV of Free Cash Flows:</t>
  </si>
  <si>
    <t>Implied Enterprise Value:</t>
  </si>
  <si>
    <t>% of Implied EV from Terminal Value:</t>
  </si>
  <si>
    <t>Current Equity Value:</t>
  </si>
  <si>
    <t>(-) Cash &amp; Cash-Equivalents:</t>
  </si>
  <si>
    <t>(+) Cash &amp; Cash-Equivalents:</t>
  </si>
  <si>
    <t>(-) Equity Investments:</t>
  </si>
  <si>
    <t>(+) Equity Investments:</t>
  </si>
  <si>
    <t>(-) Other Non-Core Assets, Net:</t>
  </si>
  <si>
    <t>(+) Other Non-Core Assets, Net:</t>
  </si>
  <si>
    <t>(-) Net Operating Losses:</t>
  </si>
  <si>
    <t>(+) Net Operating Losses:</t>
  </si>
  <si>
    <t>(+) Total Debt:</t>
  </si>
  <si>
    <t>(-) Total Debt:</t>
  </si>
  <si>
    <t>(+) Preferred Stock:</t>
  </si>
  <si>
    <t>(-) Preferred Stock:</t>
  </si>
  <si>
    <t>(+) Noncontrolling Interests:</t>
  </si>
  <si>
    <t>(-) Noncontrolling Interests:</t>
  </si>
  <si>
    <t>(+) Unfunded Pension Obligations:</t>
  </si>
  <si>
    <t>(-) Unfunded Pension Obligations:</t>
  </si>
  <si>
    <t>(+) Capital Leases:</t>
  </si>
  <si>
    <t>(-) Capital Leases:</t>
  </si>
  <si>
    <t>(+) Restructuring &amp; Other Liabilities:</t>
  </si>
  <si>
    <t>(-) Restructuring &amp; Other Liabilities:</t>
  </si>
  <si>
    <t>Current Enterprise Value:</t>
  </si>
  <si>
    <t>Implied Equity Value:</t>
  </si>
  <si>
    <t>Implied Share Price from DCF:</t>
  </si>
  <si>
    <t>Premium / (Discount) to Current:</t>
  </si>
  <si>
    <t>Newmont Mining</t>
  </si>
  <si>
    <t>NEM</t>
  </si>
  <si>
    <t xml:space="preserve">  % of Revenue</t>
  </si>
  <si>
    <t xml:space="preserve">  SGA</t>
  </si>
  <si>
    <t xml:space="preserve">  R&amp;D</t>
  </si>
  <si>
    <t>Other Operating Expense</t>
  </si>
  <si>
    <t>Operating Expense</t>
  </si>
  <si>
    <t>Costs of Goods Sold ($M)</t>
  </si>
  <si>
    <t>Contained Gold (oz)</t>
  </si>
  <si>
    <r>
      <t xml:space="preserve">  </t>
    </r>
    <r>
      <rPr>
        <sz val="12"/>
        <color theme="1"/>
        <rFont val="Times New Roman"/>
        <family val="1"/>
      </rPr>
      <t>Depletion</t>
    </r>
  </si>
  <si>
    <t xml:space="preserve">      Gold Produced (000's)</t>
  </si>
  <si>
    <t>Net Sales Gold (000's)</t>
  </si>
  <si>
    <t>Net Sales Copper (000's)</t>
  </si>
  <si>
    <t xml:space="preserve">  Total Produced (000's)</t>
  </si>
  <si>
    <t xml:space="preserve">  Total Sold (000's)</t>
  </si>
  <si>
    <t xml:space="preserve">Expected Sales Ratio </t>
  </si>
  <si>
    <t>Ore Depletion Surplus Rate</t>
  </si>
  <si>
    <t xml:space="preserve">    North America Grade</t>
  </si>
  <si>
    <t xml:space="preserve">    Australia/New Zealand Grade</t>
  </si>
  <si>
    <t xml:space="preserve">    South America Grade</t>
  </si>
  <si>
    <t xml:space="preserve">    Africa Grade</t>
  </si>
  <si>
    <t xml:space="preserve">     *Decrease in Rate </t>
  </si>
  <si>
    <t>Copper Sales</t>
  </si>
  <si>
    <t xml:space="preserve">  Expected Sales</t>
  </si>
  <si>
    <t>Expected Sales</t>
  </si>
  <si>
    <t xml:space="preserve">    Provisional Pricing mark-to market</t>
  </si>
  <si>
    <t xml:space="preserve">    Treatment and Refining</t>
  </si>
  <si>
    <t>Free Cash Flow Projection</t>
  </si>
  <si>
    <t>Revenue $ (000's)</t>
  </si>
  <si>
    <t>Cost of Goods Sold $ (000's)</t>
  </si>
  <si>
    <t xml:space="preserve">Operating Expense </t>
  </si>
  <si>
    <t>Taxes</t>
  </si>
  <si>
    <t xml:space="preserve">  Effective Tax Rate</t>
  </si>
  <si>
    <t>NOPAT</t>
  </si>
  <si>
    <t xml:space="preserve">  D &amp; A</t>
  </si>
  <si>
    <t xml:space="preserve">  Deferred Income Taxes</t>
  </si>
  <si>
    <t xml:space="preserve">  Change in Accounts Receivable</t>
  </si>
  <si>
    <t xml:space="preserve">  Change in Inventory </t>
  </si>
  <si>
    <t xml:space="preserve">    % Income Statement Taxes</t>
  </si>
  <si>
    <t xml:space="preserve">  Change in Other Assets</t>
  </si>
  <si>
    <t xml:space="preserve">  Change in Accounts Payable </t>
  </si>
  <si>
    <t>Non-Cash Expenses $ (000's)</t>
  </si>
  <si>
    <t xml:space="preserve">  %Change in Revenue</t>
  </si>
  <si>
    <t>Capital Expenditures $ (000's)</t>
  </si>
  <si>
    <t>Net Change in Working Capital $ (000's)</t>
  </si>
  <si>
    <t>Unlevered Free Cash Flow $ (000's)</t>
  </si>
  <si>
    <t xml:space="preserve">  % Revenue </t>
  </si>
  <si>
    <t xml:space="preserve">  Change in Accrued Expenses</t>
  </si>
  <si>
    <t xml:space="preserve">  Growth Rate </t>
  </si>
  <si>
    <t>Discount Perido</t>
  </si>
  <si>
    <t>Discount Rate (WACC)</t>
  </si>
  <si>
    <t xml:space="preserve">Cumulative Discount Factor </t>
  </si>
  <si>
    <t>PV of Unlevered FCF $ (000's)</t>
  </si>
  <si>
    <t>EBITDA</t>
  </si>
  <si>
    <t xml:space="preserve">  Growth Rate</t>
  </si>
  <si>
    <t>Diluted Shares Outstanding (000's):</t>
  </si>
  <si>
    <t>Operating Expenses by Type ($ 000's):</t>
  </si>
  <si>
    <t>Newmont Goldcorp Corp (NEM US) - Standardized</t>
  </si>
  <si>
    <t>In Millions of USD except Per Share</t>
  </si>
  <si>
    <t>FY 2014</t>
  </si>
  <si>
    <t>FY 2015</t>
  </si>
  <si>
    <t>FY 2016</t>
  </si>
  <si>
    <t>FY 2017</t>
  </si>
  <si>
    <t>FY 2018</t>
  </si>
  <si>
    <t>12 Months Ending</t>
  </si>
  <si>
    <t>12/31/2014</t>
  </si>
  <si>
    <t>12/31/2015</t>
  </si>
  <si>
    <t>12/31/2016</t>
  </si>
  <si>
    <t>12/31/2017</t>
  </si>
  <si>
    <t>12/31/2018</t>
  </si>
  <si>
    <t>Total Assets</t>
  </si>
  <si>
    <t xml:space="preserve">  + Cash, Cash Equivalents &amp; STI</t>
  </si>
  <si>
    <t xml:space="preserve">    Growth (YoY)</t>
  </si>
  <si>
    <t xml:space="preserve">    + Cash &amp; Cash Equivalents</t>
  </si>
  <si>
    <t xml:space="preserve">    + ST Investments</t>
  </si>
  <si>
    <t xml:space="preserve">  + Accounts &amp; Notes Receiv</t>
  </si>
  <si>
    <t xml:space="preserve">    + Accounts Receivable, Net</t>
  </si>
  <si>
    <t xml:space="preserve">    + Notes Receivable, Net</t>
  </si>
  <si>
    <t xml:space="preserve">  + Inventories</t>
  </si>
  <si>
    <t xml:space="preserve">    + Raw Materials</t>
  </si>
  <si>
    <t xml:space="preserve">    + Work In Process</t>
  </si>
  <si>
    <t xml:space="preserve">    + Finished Goods</t>
  </si>
  <si>
    <t xml:space="preserve">    + Other Inventory</t>
  </si>
  <si>
    <t xml:space="preserve">  + Other ST Assets</t>
  </si>
  <si>
    <t xml:space="preserve">    + Prepaid Expenses</t>
  </si>
  <si>
    <t>—</t>
  </si>
  <si>
    <t xml:space="preserve">    + Derivative &amp; Hedging Assets</t>
  </si>
  <si>
    <t xml:space="preserve">    + Assets Held-for-Sale</t>
  </si>
  <si>
    <t xml:space="preserve">    + Deferred Tax Assets</t>
  </si>
  <si>
    <t xml:space="preserve">    + Misc ST Assets</t>
  </si>
  <si>
    <t>Total Current Assets</t>
  </si>
  <si>
    <t xml:space="preserve">  + Property, Plant &amp; Equip, Net</t>
  </si>
  <si>
    <t xml:space="preserve">    + Property, Plant &amp; Equip</t>
  </si>
  <si>
    <t xml:space="preserve">    - Accumulated Depreciation</t>
  </si>
  <si>
    <t xml:space="preserve">  + LT Investments &amp; Receivables</t>
  </si>
  <si>
    <t xml:space="preserve">    + LT Investments</t>
  </si>
  <si>
    <t xml:space="preserve">  + Other LT Assets</t>
  </si>
  <si>
    <t xml:space="preserve">    + Total Intangible Assets</t>
  </si>
  <si>
    <t xml:space="preserve">    + Goodwill</t>
  </si>
  <si>
    <t xml:space="preserve">    + Other Intangible Assets</t>
  </si>
  <si>
    <t xml:space="preserve">    + Prepaid Expense</t>
  </si>
  <si>
    <t xml:space="preserve">    + Misc LT Assets</t>
  </si>
  <si>
    <t>Total Noncurrent Assets</t>
  </si>
  <si>
    <t>Liabilities &amp; Shareholders' Equity</t>
  </si>
  <si>
    <t xml:space="preserve">  + Payables &amp; Accruals</t>
  </si>
  <si>
    <t xml:space="preserve">    + Accounts Payable</t>
  </si>
  <si>
    <t xml:space="preserve">    + Accrued Taxes</t>
  </si>
  <si>
    <t xml:space="preserve">    + Interest &amp; Dividends Payable</t>
  </si>
  <si>
    <t xml:space="preserve">    + Other Payables &amp; Accruals</t>
  </si>
  <si>
    <t xml:space="preserve">  + ST Debt</t>
  </si>
  <si>
    <t xml:space="preserve">    + ST Borrowings</t>
  </si>
  <si>
    <t xml:space="preserve">    + ST Capital Leases</t>
  </si>
  <si>
    <t xml:space="preserve">    + Current Portion of LT Debt</t>
  </si>
  <si>
    <t xml:space="preserve">  + Other ST Liabilities</t>
  </si>
  <si>
    <t xml:space="preserve">    + Deferred Revenue</t>
  </si>
  <si>
    <t xml:space="preserve">    + Derivatives &amp; Hedging</t>
  </si>
  <si>
    <t xml:space="preserve">    + Deferred Tax Liabilities</t>
  </si>
  <si>
    <t xml:space="preserve">    + Misc ST Liabilities</t>
  </si>
  <si>
    <t>Total Current Liabilities</t>
  </si>
  <si>
    <t xml:space="preserve">  + LT Debt</t>
  </si>
  <si>
    <t xml:space="preserve">    + LT Borrowings</t>
  </si>
  <si>
    <t xml:space="preserve">    + LT Capital Leases</t>
  </si>
  <si>
    <t xml:space="preserve">  + Other LT Liabilities</t>
  </si>
  <si>
    <t xml:space="preserve">    + Accrued Liabilities</t>
  </si>
  <si>
    <t xml:space="preserve">    + Pension Liabilities</t>
  </si>
  <si>
    <t xml:space="preserve">    + Misc LT Liabilities</t>
  </si>
  <si>
    <t>Total Noncurrent Liabilities</t>
  </si>
  <si>
    <t>Total Liabilities</t>
  </si>
  <si>
    <t xml:space="preserve">  + Preferred Equity and Hybrid Capital</t>
  </si>
  <si>
    <t xml:space="preserve">  + Share Capital &amp; APIC</t>
  </si>
  <si>
    <t xml:space="preserve">    + Common Stock</t>
  </si>
  <si>
    <t xml:space="preserve">    + Additional Paid in Capital</t>
  </si>
  <si>
    <t xml:space="preserve">  - Treasury Stock</t>
  </si>
  <si>
    <t xml:space="preserve">  + Retained Earnings</t>
  </si>
  <si>
    <t xml:space="preserve">  + Other Equity</t>
  </si>
  <si>
    <t>Equity Before Minority Interest</t>
  </si>
  <si>
    <t xml:space="preserve">  + Minority/Non Controlling Interest</t>
  </si>
  <si>
    <t>Total Equity</t>
  </si>
  <si>
    <t>Total Liabilities &amp; Equity</t>
  </si>
  <si>
    <t>Reference Items</t>
  </si>
  <si>
    <t>Accounting Standard</t>
  </si>
  <si>
    <t>US GAAP</t>
  </si>
  <si>
    <t>Shares Outstanding</t>
  </si>
  <si>
    <t>Number of Treasury Shares</t>
  </si>
  <si>
    <t>Pension Obligations</t>
  </si>
  <si>
    <t>Future Minimum Operating Lease Obligations</t>
  </si>
  <si>
    <t>Capital Leases - Total</t>
  </si>
  <si>
    <t>Options Granted During Period</t>
  </si>
  <si>
    <t>Options Outstanding at Period End</t>
  </si>
  <si>
    <t>Net Debt</t>
  </si>
  <si>
    <t>Net Debt to Equity</t>
  </si>
  <si>
    <t>Tangible Common Equity Ratio</t>
  </si>
  <si>
    <t>Current Ratio</t>
  </si>
  <si>
    <t>Cash Conversion Cycle</t>
  </si>
  <si>
    <t>Cash Held Overseas</t>
  </si>
  <si>
    <t>Number of Employees</t>
  </si>
  <si>
    <t>Comparable Companies - (Explain which sector or whatever else that makes them specific)</t>
  </si>
  <si>
    <t>($ USD in Millions Except Per Share Amounts in USD as Stated)</t>
  </si>
  <si>
    <t>Operating Statistics:</t>
  </si>
  <si>
    <t>Capitalization</t>
  </si>
  <si>
    <t>Projected</t>
  </si>
  <si>
    <t>Share</t>
  </si>
  <si>
    <t>Diluted</t>
  </si>
  <si>
    <t>Equity</t>
  </si>
  <si>
    <t>Preferred</t>
  </si>
  <si>
    <t>Other &amp;</t>
  </si>
  <si>
    <t>Enterprise</t>
  </si>
  <si>
    <t>Revenue</t>
  </si>
  <si>
    <t>Net Income</t>
  </si>
  <si>
    <t>EBITDA Margin</t>
  </si>
  <si>
    <t>Company Name</t>
  </si>
  <si>
    <t>Ticker</t>
  </si>
  <si>
    <t>Price</t>
  </si>
  <si>
    <t>Shares</t>
  </si>
  <si>
    <t>Value</t>
  </si>
  <si>
    <t>Cash</t>
  </si>
  <si>
    <t>Debt</t>
  </si>
  <si>
    <t>Stock</t>
  </si>
  <si>
    <t>NCI</t>
  </si>
  <si>
    <t>LTM</t>
  </si>
  <si>
    <t>Growth</t>
  </si>
  <si>
    <t>Maximum</t>
  </si>
  <si>
    <t>75th Percentile</t>
  </si>
  <si>
    <t>Median</t>
  </si>
  <si>
    <t>25th Percentile</t>
  </si>
  <si>
    <t>Minimum</t>
  </si>
  <si>
    <t>Valuation Statistics:</t>
  </si>
  <si>
    <t>Market Capitalization</t>
  </si>
  <si>
    <t>Enterprise Value /</t>
  </si>
  <si>
    <t>P / E Multiple</t>
  </si>
  <si>
    <t>Royal Gold</t>
  </si>
  <si>
    <t>Barrick Gold</t>
  </si>
  <si>
    <t>AngloGold Ashanti</t>
  </si>
  <si>
    <t>Newcrest Mining</t>
  </si>
  <si>
    <t>Premium/(Discount) to Current:</t>
  </si>
  <si>
    <t>S&amp;P Averge Return</t>
  </si>
  <si>
    <t>S&amp;P High Return</t>
  </si>
  <si>
    <t>S&amp;P Low Return</t>
  </si>
  <si>
    <t>Based on Average Gold/Copper Price</t>
  </si>
  <si>
    <t>Based on High Gold/Copper Price</t>
  </si>
  <si>
    <t>Based on Low Gold/Copper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</si>
</sst>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000"/>
    <numFmt numFmtId="166" formatCode="_(* #,##0.0_);_(* \(#,##0.0\);_(* &quot;-&quot;??_);_(@_)"/>
    <numFmt numFmtId="167" formatCode="_(* #,##0.000_);_(* \(#,##0.000\);_(* &quot;-&quot;??_);_(@_)"/>
    <numFmt numFmtId="168" formatCode="_(* #,##0.0000_);_(* \(#,##0.0000\);_(* &quot;-&quot;??_);_(@_)"/>
    <numFmt numFmtId="169" formatCode="_(&quot;$&quot;* #,##0.0_);_(&quot;$&quot;* \(#,##0.0\);_(&quot;$&quot;* &quot;-&quot;?_);_(@_)"/>
    <numFmt numFmtId="170" formatCode="0.0%;\(0.0%\)"/>
    <numFmt numFmtId="171" formatCode="_(* #,##0.0_);_(* \(#,##0.0\);_(* &quot;-&quot;?_);_(@_)"/>
    <numFmt numFmtId="172" formatCode="_(0.0\ \x_);\(0.0\ \x\);_(&quot;–&quot;_);_(@_)"/>
    <numFmt numFmtId="173" formatCode="_(* #,##0.000_);_(* \(#,##0.000\);_(* &quot;-&quot;???_);_(@_)"/>
    <numFmt numFmtId="174" formatCode="_(* #,##0_);_(* \(#,##0\);_(* &quot;-&quot;????_);_(@_)"/>
    <numFmt numFmtId="175" formatCode="_(* #,##0_);_(* \(#,##0\);_(* &quot;-&quot;??_);_(@_)"/>
    <numFmt numFmtId="176" formatCode="#,##0.0"/>
    <numFmt numFmtId="177" formatCode="&quot;FY&quot;yy"/>
    <numFmt numFmtId="178" formatCode="_(#,##0.0%_);\(#,##0.0%\);_(&quot;–&quot;_)_%;_(@_)_%"/>
    <numFmt numFmtId="179" formatCode="_(&quot;$&quot;* #,##0.0_);_(&quot;$&quot;* \(#,##0.0\);_(&quot;$&quot;* &quot;-&quot;??_);_(@_)"/>
    <numFmt numFmtId="180" formatCode="0.0\ \x"/>
    <numFmt numFmtId="181" formatCode="_(&quot;$&quot;#,##0.00_)_%;\(&quot;$&quot;#,##0.00\)_%;_(&quot;–&quot;_)_%;_(@_)_%"/>
    <numFmt numFmtId="182" formatCode="yyyy\-mm\-dd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2"/>
      <color rgb="FF0000FF"/>
      <name val="Calibri"/>
      <family val="2"/>
      <scheme val="minor"/>
    </font>
    <font>
      <b/>
      <sz val="12"/>
      <name val="Calibri"/>
      <family val="2"/>
      <scheme val="minor"/>
    </font>
    <font>
      <sz val="8"/>
      <color indexed="8"/>
      <name val="Arial"/>
      <family val="2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i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sz val="10"/>
      <color indexed="8"/>
      <name val="Arial"/>
      <family val="2"/>
    </font>
    <font>
      <i/>
      <sz val="10"/>
      <color indexed="63"/>
      <name val="Arial"/>
      <family val="2"/>
    </font>
    <font>
      <i/>
      <sz val="10"/>
      <color indexed="8"/>
      <name val="Arial"/>
      <family val="2"/>
    </font>
    <font>
      <b/>
      <sz val="14"/>
      <color theme="1"/>
      <name val="Calibri"/>
      <family val="2"/>
    </font>
    <font>
      <b/>
      <sz val="12"/>
      <color indexed="9"/>
      <name val="Calibri"/>
      <family val="2"/>
      <scheme val="minor"/>
    </font>
    <font>
      <b/>
      <u/>
      <sz val="12"/>
      <color indexed="9"/>
      <name val="Calibri"/>
      <family val="2"/>
      <scheme val="minor"/>
    </font>
    <font>
      <u/>
      <sz val="12"/>
      <color indexed="9"/>
      <name val="Calibri"/>
      <family val="2"/>
      <scheme val="minor"/>
    </font>
    <font>
      <sz val="12"/>
      <color indexed="9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indexed="8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330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rgb="FFC00000"/>
      </bottom>
      <diagonal/>
    </border>
    <border>
      <left/>
      <right style="thin">
        <color rgb="FFC00000"/>
      </right>
      <top/>
      <bottom style="medium">
        <color rgb="FFC00000"/>
      </bottom>
      <diagonal/>
    </border>
    <border>
      <left/>
      <right style="thin">
        <color rgb="FFC00000"/>
      </right>
      <top/>
      <bottom/>
      <diagonal/>
    </border>
    <border>
      <left/>
      <right/>
      <top/>
      <bottom style="thin">
        <color rgb="FFC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rgb="FFC00000"/>
      </top>
      <bottom/>
      <diagonal/>
    </border>
    <border>
      <left style="medium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 style="thin">
        <color theme="9" tint="-0.249977111117893"/>
      </right>
      <top style="medium">
        <color theme="9" tint="-0.249977111117893"/>
      </top>
      <bottom style="medium">
        <color theme="9" tint="-0.249977111117893"/>
      </bottom>
      <diagonal/>
    </border>
    <border>
      <left style="thin">
        <color theme="9" tint="-0.249977111117893"/>
      </left>
      <right/>
      <top style="medium">
        <color theme="9" tint="-0.249977111117893"/>
      </top>
      <bottom style="medium">
        <color theme="9" tint="-0.24997711111789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5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3" borderId="7" applyNumberFormat="0" applyFont="0" applyAlignment="0" applyProtection="0"/>
    <xf numFmtId="0" fontId="6" fillId="0" borderId="0"/>
    <xf numFmtId="0" fontId="1" fillId="0" borderId="0"/>
    <xf numFmtId="0" fontId="1" fillId="0" borderId="0"/>
    <xf numFmtId="0" fontId="10" fillId="0" borderId="0" applyAlignment="0"/>
    <xf numFmtId="0" fontId="1" fillId="0" borderId="0"/>
    <xf numFmtId="9" fontId="1" fillId="0" borderId="0" applyFont="0" applyFill="0" applyBorder="0" applyAlignment="0" applyProtection="0"/>
    <xf numFmtId="0" fontId="16" fillId="14" borderId="25" applyNumberFormat="0" applyProtection="0">
      <alignment horizontal="left" vertical="center" readingOrder="1"/>
    </xf>
    <xf numFmtId="0" fontId="17" fillId="15" borderId="0" applyNumberFormat="0" applyBorder="0" applyProtection="0">
      <alignment horizontal="center"/>
    </xf>
    <xf numFmtId="0" fontId="18" fillId="14" borderId="26">
      <alignment horizontal="left"/>
    </xf>
    <xf numFmtId="0" fontId="18" fillId="14" borderId="26">
      <alignment horizontal="right"/>
    </xf>
    <xf numFmtId="0" fontId="18" fillId="14" borderId="27">
      <alignment horizontal="left"/>
    </xf>
    <xf numFmtId="0" fontId="18" fillId="14" borderId="27">
      <alignment horizontal="right"/>
    </xf>
    <xf numFmtId="0" fontId="19" fillId="15" borderId="28"/>
    <xf numFmtId="3" fontId="19" fillId="15" borderId="29">
      <alignment horizontal="right"/>
    </xf>
    <xf numFmtId="0" fontId="20" fillId="15" borderId="28"/>
    <xf numFmtId="176" fontId="21" fillId="15" borderId="29">
      <alignment horizontal="right"/>
    </xf>
    <xf numFmtId="0" fontId="22" fillId="15" borderId="28"/>
    <xf numFmtId="176" fontId="23" fillId="15" borderId="29">
      <alignment horizontal="right"/>
    </xf>
    <xf numFmtId="176" fontId="19" fillId="15" borderId="29">
      <alignment horizontal="right"/>
    </xf>
    <xf numFmtId="4" fontId="21" fillId="15" borderId="29">
      <alignment horizontal="right"/>
    </xf>
    <xf numFmtId="3" fontId="21" fillId="15" borderId="29">
      <alignment horizontal="right"/>
    </xf>
  </cellStyleXfs>
  <cellXfs count="297">
    <xf numFmtId="0" fontId="0" fillId="0" borderId="0" xfId="0"/>
    <xf numFmtId="0" fontId="2" fillId="2" borderId="0" xfId="0" applyFont="1" applyFill="1"/>
    <xf numFmtId="0" fontId="2" fillId="2" borderId="0" xfId="0" applyFont="1" applyFill="1"/>
    <xf numFmtId="6" fontId="0" fillId="0" borderId="0" xfId="0" applyNumberFormat="1"/>
    <xf numFmtId="0" fontId="3" fillId="2" borderId="6" xfId="0" applyFont="1" applyFill="1" applyBorder="1"/>
    <xf numFmtId="0" fontId="3" fillId="2" borderId="0" xfId="0" applyFont="1" applyFill="1"/>
    <xf numFmtId="44" fontId="0" fillId="0" borderId="0" xfId="1" applyFont="1"/>
    <xf numFmtId="44" fontId="2" fillId="2" borderId="0" xfId="1" applyFont="1" applyFill="1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43" fontId="2" fillId="2" borderId="0" xfId="2" applyFont="1" applyFill="1"/>
    <xf numFmtId="9" fontId="0" fillId="0" borderId="0" xfId="0" applyNumberFormat="1"/>
    <xf numFmtId="3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3" fontId="4" fillId="0" borderId="0" xfId="0" applyNumberFormat="1" applyFont="1"/>
    <xf numFmtId="0" fontId="4" fillId="0" borderId="0" xfId="0" applyFont="1"/>
    <xf numFmtId="9" fontId="4" fillId="0" borderId="0" xfId="0" applyNumberFormat="1" applyFont="1"/>
    <xf numFmtId="9" fontId="0" fillId="0" borderId="0" xfId="0" applyNumberFormat="1" applyFont="1"/>
    <xf numFmtId="3" fontId="0" fillId="0" borderId="0" xfId="0" applyNumberFormat="1" applyFont="1"/>
    <xf numFmtId="0" fontId="0" fillId="0" borderId="0" xfId="0" applyFont="1"/>
    <xf numFmtId="10" fontId="0" fillId="0" borderId="0" xfId="0" applyNumberFormat="1" applyFont="1"/>
    <xf numFmtId="168" fontId="2" fillId="2" borderId="0" xfId="2" applyNumberFormat="1" applyFont="1" applyFill="1"/>
    <xf numFmtId="0" fontId="0" fillId="0" borderId="0" xfId="0"/>
    <xf numFmtId="0" fontId="0" fillId="0" borderId="0" xfId="0"/>
    <xf numFmtId="0" fontId="7" fillId="0" borderId="0" xfId="4" applyFont="1"/>
    <xf numFmtId="0" fontId="5" fillId="0" borderId="0" xfId="0" applyFont="1"/>
    <xf numFmtId="0" fontId="7" fillId="0" borderId="0" xfId="4" applyFont="1" applyBorder="1"/>
    <xf numFmtId="0" fontId="11" fillId="5" borderId="1" xfId="0" applyFont="1" applyFill="1" applyBorder="1"/>
    <xf numFmtId="169" fontId="9" fillId="0" borderId="0" xfId="4" applyNumberFormat="1" applyFont="1" applyBorder="1"/>
    <xf numFmtId="0" fontId="7" fillId="0" borderId="0" xfId="4" applyFont="1" applyBorder="1" applyAlignment="1">
      <alignment horizontal="left" indent="1"/>
    </xf>
    <xf numFmtId="0" fontId="7" fillId="0" borderId="1" xfId="4" applyFont="1" applyBorder="1" applyAlignment="1">
      <alignment horizontal="left" indent="1"/>
    </xf>
    <xf numFmtId="0" fontId="7" fillId="0" borderId="1" xfId="4" applyFont="1" applyBorder="1"/>
    <xf numFmtId="0" fontId="9" fillId="5" borderId="0" xfId="4" applyFont="1" applyFill="1" applyBorder="1"/>
    <xf numFmtId="0" fontId="7" fillId="5" borderId="0" xfId="4" applyFont="1" applyFill="1" applyBorder="1"/>
    <xf numFmtId="169" fontId="11" fillId="5" borderId="0" xfId="0" applyNumberFormat="1" applyFont="1" applyFill="1"/>
    <xf numFmtId="0" fontId="13" fillId="0" borderId="0" xfId="4" applyFont="1" applyBorder="1"/>
    <xf numFmtId="0" fontId="9" fillId="5" borderId="1" xfId="4" applyFont="1" applyFill="1" applyBorder="1" applyAlignment="1">
      <alignment horizontal="left"/>
    </xf>
    <xf numFmtId="0" fontId="7" fillId="5" borderId="1" xfId="4" applyFont="1" applyFill="1" applyBorder="1"/>
    <xf numFmtId="169" fontId="11" fillId="5" borderId="1" xfId="0" applyNumberFormat="1" applyFont="1" applyFill="1" applyBorder="1"/>
    <xf numFmtId="0" fontId="7" fillId="0" borderId="0" xfId="4" applyFont="1" applyAlignment="1">
      <alignment horizontal="left" indent="1"/>
    </xf>
    <xf numFmtId="169" fontId="7" fillId="0" borderId="0" xfId="0" applyNumberFormat="1" applyFont="1" applyFill="1" applyBorder="1"/>
    <xf numFmtId="0" fontId="9" fillId="5" borderId="2" xfId="4" applyFont="1" applyFill="1" applyBorder="1" applyAlignment="1">
      <alignment horizontal="left"/>
    </xf>
    <xf numFmtId="0" fontId="7" fillId="5" borderId="2" xfId="4" applyFont="1" applyFill="1" applyBorder="1"/>
    <xf numFmtId="171" fontId="9" fillId="5" borderId="0" xfId="4" applyNumberFormat="1" applyFont="1" applyFill="1" applyBorder="1"/>
    <xf numFmtId="173" fontId="7" fillId="0" borderId="0" xfId="0" applyNumberFormat="1" applyFont="1" applyFill="1" applyBorder="1"/>
    <xf numFmtId="0" fontId="7" fillId="0" borderId="0" xfId="4" applyFont="1" applyAlignment="1">
      <alignment horizontal="center"/>
    </xf>
    <xf numFmtId="0" fontId="9" fillId="6" borderId="8" xfId="4" applyFont="1" applyFill="1" applyBorder="1"/>
    <xf numFmtId="0" fontId="7" fillId="6" borderId="2" xfId="4" applyFont="1" applyFill="1" applyBorder="1"/>
    <xf numFmtId="0" fontId="9" fillId="6" borderId="10" xfId="4" applyFont="1" applyFill="1" applyBorder="1"/>
    <xf numFmtId="0" fontId="7" fillId="6" borderId="1" xfId="4" applyFont="1" applyFill="1" applyBorder="1"/>
    <xf numFmtId="170" fontId="9" fillId="6" borderId="11" xfId="4" applyNumberFormat="1" applyFont="1" applyFill="1" applyBorder="1"/>
    <xf numFmtId="0" fontId="8" fillId="0" borderId="0" xfId="4" applyFont="1" applyAlignment="1">
      <alignment horizontal="center"/>
    </xf>
    <xf numFmtId="0" fontId="5" fillId="0" borderId="0" xfId="0" applyFont="1" applyAlignment="1">
      <alignment horizontal="left" indent="1"/>
    </xf>
    <xf numFmtId="0" fontId="5" fillId="5" borderId="1" xfId="0" applyFont="1" applyFill="1" applyBorder="1" applyAlignment="1"/>
    <xf numFmtId="171" fontId="5" fillId="0" borderId="1" xfId="0" applyNumberFormat="1" applyFont="1" applyBorder="1"/>
    <xf numFmtId="172" fontId="8" fillId="4" borderId="12" xfId="0" applyNumberFormat="1" applyFont="1" applyFill="1" applyBorder="1" applyAlignment="1">
      <alignment horizontal="center"/>
    </xf>
    <xf numFmtId="44" fontId="2" fillId="7" borderId="0" xfId="1" applyFont="1" applyFill="1"/>
    <xf numFmtId="43" fontId="3" fillId="7" borderId="0" xfId="2" applyFont="1" applyFill="1"/>
    <xf numFmtId="43" fontId="3" fillId="7" borderId="0" xfId="2" applyFont="1" applyFill="1" applyAlignment="1">
      <alignment horizontal="right"/>
    </xf>
    <xf numFmtId="43" fontId="2" fillId="7" borderId="0" xfId="2" applyFont="1" applyFill="1"/>
    <xf numFmtId="43" fontId="2" fillId="7" borderId="0" xfId="2" applyFont="1" applyFill="1" applyAlignment="1">
      <alignment horizontal="right"/>
    </xf>
    <xf numFmtId="44" fontId="2" fillId="8" borderId="0" xfId="1" applyFont="1" applyFill="1"/>
    <xf numFmtId="43" fontId="2" fillId="8" borderId="0" xfId="2" applyFont="1" applyFill="1"/>
    <xf numFmtId="43" fontId="2" fillId="2" borderId="0" xfId="0" applyNumberFormat="1" applyFont="1" applyFill="1"/>
    <xf numFmtId="44" fontId="2" fillId="8" borderId="0" xfId="0" applyNumberFormat="1" applyFont="1" applyFill="1"/>
    <xf numFmtId="44" fontId="2" fillId="7" borderId="0" xfId="0" applyNumberFormat="1" applyFont="1" applyFill="1"/>
    <xf numFmtId="44" fontId="2" fillId="9" borderId="0" xfId="1" applyFont="1" applyFill="1"/>
    <xf numFmtId="2" fontId="2" fillId="7" borderId="0" xfId="1" applyNumberFormat="1" applyFont="1" applyFill="1"/>
    <xf numFmtId="44" fontId="3" fillId="6" borderId="0" xfId="1" applyFont="1" applyFill="1"/>
    <xf numFmtId="2" fontId="2" fillId="8" borderId="0" xfId="0" applyNumberFormat="1" applyFont="1" applyFill="1"/>
    <xf numFmtId="166" fontId="2" fillId="6" borderId="0" xfId="2" applyNumberFormat="1" applyFont="1" applyFill="1"/>
    <xf numFmtId="43" fontId="2" fillId="6" borderId="0" xfId="2" applyFont="1" applyFill="1"/>
    <xf numFmtId="44" fontId="2" fillId="6" borderId="0" xfId="1" applyFont="1" applyFill="1"/>
    <xf numFmtId="167" fontId="2" fillId="2" borderId="0" xfId="2" applyNumberFormat="1" applyFont="1" applyFill="1"/>
    <xf numFmtId="165" fontId="2" fillId="2" borderId="0" xfId="0" applyNumberFormat="1" applyFont="1" applyFill="1"/>
    <xf numFmtId="167" fontId="3" fillId="7" borderId="0" xfId="2" applyNumberFormat="1" applyFont="1" applyFill="1"/>
    <xf numFmtId="164" fontId="2" fillId="2" borderId="0" xfId="2" applyNumberFormat="1" applyFont="1" applyFill="1"/>
    <xf numFmtId="166" fontId="2" fillId="2" borderId="0" xfId="0" applyNumberFormat="1" applyFont="1" applyFill="1"/>
    <xf numFmtId="167" fontId="3" fillId="8" borderId="0" xfId="0" applyNumberFormat="1" applyFont="1" applyFill="1"/>
    <xf numFmtId="9" fontId="2" fillId="2" borderId="0" xfId="9" applyFont="1" applyFill="1"/>
    <xf numFmtId="10" fontId="2" fillId="2" borderId="0" xfId="9" applyNumberFormat="1" applyFont="1" applyFill="1"/>
    <xf numFmtId="44" fontId="2" fillId="6" borderId="0" xfId="0" applyNumberFormat="1" applyFont="1" applyFill="1"/>
    <xf numFmtId="44" fontId="2" fillId="2" borderId="0" xfId="0" applyNumberFormat="1" applyFont="1" applyFill="1"/>
    <xf numFmtId="0" fontId="2" fillId="10" borderId="0" xfId="0" applyFont="1" applyFill="1" applyAlignment="1">
      <alignment horizontal="center" vertical="center"/>
    </xf>
    <xf numFmtId="175" fontId="2" fillId="6" borderId="0" xfId="2" applyNumberFormat="1" applyFont="1" applyFill="1"/>
    <xf numFmtId="175" fontId="2" fillId="8" borderId="0" xfId="2" applyNumberFormat="1" applyFont="1" applyFill="1"/>
    <xf numFmtId="9" fontId="2" fillId="7" borderId="0" xfId="9" applyFont="1" applyFill="1"/>
    <xf numFmtId="0" fontId="0" fillId="11" borderId="0" xfId="0" applyFill="1"/>
    <xf numFmtId="0" fontId="0" fillId="2" borderId="0" xfId="0" applyFill="1"/>
    <xf numFmtId="0" fontId="4" fillId="2" borderId="0" xfId="0" applyFont="1" applyFill="1"/>
    <xf numFmtId="0" fontId="0" fillId="2" borderId="2" xfId="0" applyFill="1" applyBorder="1"/>
    <xf numFmtId="0" fontId="0" fillId="2" borderId="24" xfId="0" applyFill="1" applyBorder="1"/>
    <xf numFmtId="0" fontId="0" fillId="2" borderId="0" xfId="0" applyFill="1" applyBorder="1"/>
    <xf numFmtId="0" fontId="0" fillId="2" borderId="0" xfId="0" applyFont="1" applyFill="1" applyBorder="1" applyAlignment="1">
      <alignment horizontal="center"/>
    </xf>
    <xf numFmtId="44" fontId="0" fillId="2" borderId="0" xfId="1" applyFont="1" applyFill="1"/>
    <xf numFmtId="44" fontId="0" fillId="2" borderId="2" xfId="1" applyFont="1" applyFill="1" applyBorder="1"/>
    <xf numFmtId="44" fontId="0" fillId="13" borderId="22" xfId="1" applyFont="1" applyFill="1" applyBorder="1"/>
    <xf numFmtId="9" fontId="0" fillId="2" borderId="0" xfId="9" applyFont="1" applyFill="1"/>
    <xf numFmtId="44" fontId="4" fillId="2" borderId="0" xfId="1" applyFont="1" applyFill="1"/>
    <xf numFmtId="44" fontId="0" fillId="12" borderId="0" xfId="1" applyFont="1" applyFill="1"/>
    <xf numFmtId="44" fontId="0" fillId="2" borderId="0" xfId="0" applyNumberFormat="1" applyFill="1"/>
    <xf numFmtId="44" fontId="4" fillId="2" borderId="0" xfId="0" applyNumberFormat="1" applyFont="1" applyFill="1"/>
    <xf numFmtId="44" fontId="5" fillId="0" borderId="0" xfId="0" applyNumberFormat="1" applyFont="1" applyBorder="1"/>
    <xf numFmtId="0" fontId="8" fillId="11" borderId="7" xfId="3" applyFont="1" applyFill="1" applyBorder="1" applyAlignment="1">
      <alignment horizontal="centerContinuous"/>
    </xf>
    <xf numFmtId="44" fontId="8" fillId="11" borderId="13" xfId="0" applyNumberFormat="1" applyFont="1" applyFill="1" applyBorder="1"/>
    <xf numFmtId="173" fontId="8" fillId="11" borderId="12" xfId="0" applyNumberFormat="1" applyFont="1" applyFill="1" applyBorder="1"/>
    <xf numFmtId="170" fontId="8" fillId="11" borderId="17" xfId="3" applyNumberFormat="1" applyFont="1" applyFill="1" applyBorder="1" applyAlignment="1">
      <alignment horizontal="center"/>
    </xf>
    <xf numFmtId="174" fontId="8" fillId="11" borderId="12" xfId="0" applyNumberFormat="1" applyFont="1" applyFill="1" applyBorder="1" applyAlignment="1">
      <alignment horizontal="center"/>
    </xf>
    <xf numFmtId="171" fontId="7" fillId="11" borderId="19" xfId="0" applyNumberFormat="1" applyFont="1" applyFill="1" applyBorder="1"/>
    <xf numFmtId="171" fontId="8" fillId="11" borderId="7" xfId="0" applyNumberFormat="1" applyFont="1" applyFill="1" applyBorder="1"/>
    <xf numFmtId="171" fontId="7" fillId="11" borderId="7" xfId="0" applyNumberFormat="1" applyFont="1" applyFill="1" applyBorder="1"/>
    <xf numFmtId="171" fontId="8" fillId="11" borderId="16" xfId="0" applyNumberFormat="1" applyFont="1" applyFill="1" applyBorder="1"/>
    <xf numFmtId="0" fontId="2" fillId="2" borderId="3" xfId="0" applyFont="1" applyFill="1" applyBorder="1"/>
    <xf numFmtId="9" fontId="2" fillId="8" borderId="0" xfId="9" applyFont="1" applyFill="1"/>
    <xf numFmtId="44" fontId="2" fillId="6" borderId="0" xfId="1" applyFont="1" applyFill="1" applyBorder="1"/>
    <xf numFmtId="0" fontId="3" fillId="2" borderId="20" xfId="0" applyFont="1" applyFill="1" applyBorder="1"/>
    <xf numFmtId="44" fontId="3" fillId="6" borderId="20" xfId="1" applyFont="1" applyFill="1" applyBorder="1"/>
    <xf numFmtId="44" fontId="3" fillId="8" borderId="20" xfId="1" applyFont="1" applyFill="1" applyBorder="1"/>
    <xf numFmtId="1" fontId="8" fillId="11" borderId="7" xfId="0" applyNumberFormat="1" applyFont="1" applyFill="1" applyBorder="1" applyAlignment="1">
      <alignment horizontal="center"/>
    </xf>
    <xf numFmtId="44" fontId="0" fillId="0" borderId="0" xfId="0" applyNumberFormat="1" applyFont="1"/>
    <xf numFmtId="44" fontId="9" fillId="6" borderId="9" xfId="1" applyFont="1" applyFill="1" applyBorder="1"/>
    <xf numFmtId="9" fontId="13" fillId="0" borderId="0" xfId="9" applyFont="1" applyBorder="1"/>
    <xf numFmtId="44" fontId="9" fillId="5" borderId="2" xfId="4" applyNumberFormat="1" applyFont="1" applyFill="1" applyBorder="1"/>
    <xf numFmtId="44" fontId="0" fillId="12" borderId="0" xfId="0" applyNumberFormat="1" applyFill="1"/>
    <xf numFmtId="0" fontId="16" fillId="14" borderId="25" xfId="10" applyFont="1" applyFill="1" applyBorder="1" applyAlignment="1">
      <alignment horizontal="left" vertical="center" readingOrder="1"/>
    </xf>
    <xf numFmtId="0" fontId="17" fillId="15" borderId="0" xfId="11" applyFont="1" applyFill="1" applyAlignment="1">
      <alignment horizontal="center"/>
    </xf>
    <xf numFmtId="0" fontId="18" fillId="14" borderId="26" xfId="12" applyNumberFormat="1" applyFont="1" applyFill="1" applyBorder="1" applyAlignment="1" applyProtection="1">
      <alignment horizontal="left"/>
    </xf>
    <xf numFmtId="0" fontId="18" fillId="14" borderId="26" xfId="13" applyNumberFormat="1" applyFont="1" applyFill="1" applyBorder="1" applyAlignment="1" applyProtection="1">
      <alignment horizontal="right"/>
    </xf>
    <xf numFmtId="0" fontId="18" fillId="14" borderId="27" xfId="14">
      <alignment horizontal="left"/>
    </xf>
    <xf numFmtId="0" fontId="18" fillId="14" borderId="27" xfId="15" applyNumberFormat="1" applyFont="1" applyFill="1" applyBorder="1" applyAlignment="1" applyProtection="1">
      <alignment horizontal="right"/>
    </xf>
    <xf numFmtId="0" fontId="19" fillId="15" borderId="28" xfId="16" applyNumberFormat="1" applyFont="1" applyFill="1" applyBorder="1" applyAlignment="1" applyProtection="1"/>
    <xf numFmtId="3" fontId="19" fillId="15" borderId="29" xfId="17" applyNumberFormat="1" applyFont="1" applyFill="1" applyBorder="1" applyAlignment="1" applyProtection="1">
      <alignment horizontal="right"/>
    </xf>
    <xf numFmtId="0" fontId="20" fillId="15" borderId="28" xfId="18" applyNumberFormat="1" applyFont="1" applyFill="1" applyBorder="1" applyAlignment="1" applyProtection="1"/>
    <xf numFmtId="176" fontId="21" fillId="15" borderId="29" xfId="19" applyNumberFormat="1" applyFont="1" applyFill="1" applyBorder="1" applyAlignment="1" applyProtection="1">
      <alignment horizontal="right"/>
    </xf>
    <xf numFmtId="0" fontId="22" fillId="15" borderId="28" xfId="20" applyNumberFormat="1" applyFont="1" applyFill="1" applyBorder="1" applyAlignment="1" applyProtection="1"/>
    <xf numFmtId="176" fontId="23" fillId="15" borderId="29" xfId="21" applyNumberFormat="1" applyFont="1" applyFill="1" applyBorder="1" applyAlignment="1" applyProtection="1">
      <alignment horizontal="right"/>
    </xf>
    <xf numFmtId="176" fontId="19" fillId="15" borderId="29" xfId="22" applyNumberFormat="1" applyFont="1" applyFill="1" applyBorder="1" applyAlignment="1" applyProtection="1">
      <alignment horizontal="right"/>
    </xf>
    <xf numFmtId="4" fontId="21" fillId="15" borderId="29" xfId="23" applyNumberFormat="1" applyFont="1" applyFill="1" applyBorder="1" applyAlignment="1" applyProtection="1">
      <alignment horizontal="right"/>
    </xf>
    <xf numFmtId="3" fontId="21" fillId="15" borderId="29" xfId="24" applyNumberFormat="1" applyFont="1" applyFill="1" applyBorder="1" applyAlignment="1" applyProtection="1">
      <alignment horizontal="right"/>
    </xf>
    <xf numFmtId="0" fontId="4" fillId="0" borderId="0" xfId="0" applyFont="1"/>
    <xf numFmtId="0" fontId="0" fillId="0" borderId="0" xfId="0"/>
    <xf numFmtId="0" fontId="7" fillId="0" borderId="0" xfId="4" applyNumberFormat="1" applyFont="1" applyBorder="1" applyAlignment="1"/>
    <xf numFmtId="1" fontId="7" fillId="0" borderId="0" xfId="4" applyNumberFormat="1" applyFont="1"/>
    <xf numFmtId="0" fontId="25" fillId="16" borderId="0" xfId="5" applyFont="1" applyFill="1" applyBorder="1" applyAlignment="1">
      <alignment horizontal="left"/>
    </xf>
    <xf numFmtId="0" fontId="25" fillId="16" borderId="0" xfId="4" applyFont="1" applyFill="1" applyBorder="1"/>
    <xf numFmtId="0" fontId="26" fillId="16" borderId="0" xfId="4" applyFont="1" applyFill="1" applyBorder="1" applyAlignment="1">
      <alignment horizontal="centerContinuous"/>
    </xf>
    <xf numFmtId="0" fontId="27" fillId="16" borderId="0" xfId="4" applyFont="1" applyFill="1" applyBorder="1" applyAlignment="1">
      <alignment horizontal="centerContinuous"/>
    </xf>
    <xf numFmtId="0" fontId="28" fillId="16" borderId="0" xfId="4" applyFont="1" applyFill="1" applyBorder="1"/>
    <xf numFmtId="0" fontId="25" fillId="16" borderId="0" xfId="4" applyFont="1" applyFill="1" applyBorder="1" applyAlignment="1">
      <alignment horizontal="center"/>
    </xf>
    <xf numFmtId="0" fontId="28" fillId="16" borderId="0" xfId="4" applyFont="1" applyFill="1" applyBorder="1" applyAlignment="1">
      <alignment horizontal="centerContinuous"/>
    </xf>
    <xf numFmtId="0" fontId="25" fillId="16" borderId="1" xfId="4" applyFont="1" applyFill="1" applyBorder="1"/>
    <xf numFmtId="0" fontId="25" fillId="16" borderId="1" xfId="4" applyFont="1" applyFill="1" applyBorder="1" applyAlignment="1">
      <alignment horizontal="center"/>
    </xf>
    <xf numFmtId="14" fontId="25" fillId="16" borderId="1" xfId="4" applyNumberFormat="1" applyFont="1" applyFill="1" applyBorder="1" applyAlignment="1">
      <alignment horizontal="center"/>
    </xf>
    <xf numFmtId="177" fontId="29" fillId="16" borderId="1" xfId="0" applyNumberFormat="1" applyFont="1" applyFill="1" applyBorder="1" applyAlignment="1">
      <alignment horizontal="center"/>
    </xf>
    <xf numFmtId="169" fontId="7" fillId="0" borderId="0" xfId="4" applyNumberFormat="1" applyFont="1"/>
    <xf numFmtId="178" fontId="7" fillId="0" borderId="0" xfId="4" applyNumberFormat="1" applyFont="1"/>
    <xf numFmtId="171" fontId="7" fillId="0" borderId="0" xfId="4" applyNumberFormat="1" applyFont="1"/>
    <xf numFmtId="0" fontId="7" fillId="0" borderId="8" xfId="4" applyFont="1" applyFill="1" applyBorder="1"/>
    <xf numFmtId="0" fontId="7" fillId="0" borderId="2" xfId="4" applyFont="1" applyFill="1" applyBorder="1"/>
    <xf numFmtId="44" fontId="7" fillId="0" borderId="2" xfId="4" applyNumberFormat="1" applyFont="1" applyFill="1" applyBorder="1"/>
    <xf numFmtId="179" fontId="7" fillId="0" borderId="2" xfId="4" applyNumberFormat="1" applyFont="1" applyFill="1" applyBorder="1"/>
    <xf numFmtId="178" fontId="7" fillId="0" borderId="2" xfId="4" applyNumberFormat="1" applyFont="1" applyFill="1" applyBorder="1"/>
    <xf numFmtId="178" fontId="7" fillId="0" borderId="9" xfId="4" applyNumberFormat="1" applyFont="1" applyFill="1" applyBorder="1"/>
    <xf numFmtId="0" fontId="7" fillId="0" borderId="28" xfId="4" applyFont="1" applyFill="1" applyBorder="1"/>
    <xf numFmtId="0" fontId="7" fillId="0" borderId="0" xfId="4" applyFont="1" applyFill="1" applyBorder="1"/>
    <xf numFmtId="43" fontId="7" fillId="0" borderId="0" xfId="4" applyNumberFormat="1" applyFont="1"/>
    <xf numFmtId="166" fontId="7" fillId="0" borderId="0" xfId="4" applyNumberFormat="1" applyFont="1"/>
    <xf numFmtId="178" fontId="7" fillId="0" borderId="31" xfId="4" applyNumberFormat="1" applyFont="1" applyBorder="1"/>
    <xf numFmtId="0" fontId="9" fillId="17" borderId="32" xfId="4" applyFont="1" applyFill="1" applyBorder="1"/>
    <xf numFmtId="0" fontId="9" fillId="17" borderId="25" xfId="4" applyFont="1" applyFill="1" applyBorder="1"/>
    <xf numFmtId="44" fontId="9" fillId="17" borderId="25" xfId="4" applyNumberFormat="1" applyFont="1" applyFill="1" applyBorder="1"/>
    <xf numFmtId="179" fontId="9" fillId="17" borderId="25" xfId="4" applyNumberFormat="1" applyFont="1" applyFill="1" applyBorder="1"/>
    <xf numFmtId="178" fontId="9" fillId="17" borderId="25" xfId="4" applyNumberFormat="1" applyFont="1" applyFill="1" applyBorder="1"/>
    <xf numFmtId="178" fontId="9" fillId="17" borderId="33" xfId="4" applyNumberFormat="1" applyFont="1" applyFill="1" applyBorder="1"/>
    <xf numFmtId="0" fontId="9" fillId="0" borderId="0" xfId="4" applyFont="1" applyFill="1" applyBorder="1"/>
    <xf numFmtId="0" fontId="7" fillId="0" borderId="10" xfId="4" applyFont="1" applyFill="1" applyBorder="1"/>
    <xf numFmtId="0" fontId="9" fillId="0" borderId="1" xfId="4" applyFont="1" applyFill="1" applyBorder="1"/>
    <xf numFmtId="43" fontId="7" fillId="0" borderId="1" xfId="4" applyNumberFormat="1" applyFont="1" applyBorder="1"/>
    <xf numFmtId="166" fontId="7" fillId="0" borderId="1" xfId="4" applyNumberFormat="1" applyFont="1" applyBorder="1"/>
    <xf numFmtId="178" fontId="7" fillId="0" borderId="1" xfId="4" applyNumberFormat="1" applyFont="1" applyBorder="1"/>
    <xf numFmtId="178" fontId="7" fillId="0" borderId="11" xfId="4" applyNumberFormat="1" applyFont="1" applyBorder="1"/>
    <xf numFmtId="0" fontId="29" fillId="18" borderId="32" xfId="4" applyFont="1" applyFill="1" applyBorder="1"/>
    <xf numFmtId="0" fontId="29" fillId="18" borderId="25" xfId="4" applyFont="1" applyFill="1" applyBorder="1"/>
    <xf numFmtId="44" fontId="29" fillId="18" borderId="25" xfId="4" applyNumberFormat="1" applyFont="1" applyFill="1" applyBorder="1"/>
    <xf numFmtId="166" fontId="29" fillId="18" borderId="25" xfId="4" applyNumberFormat="1" applyFont="1" applyFill="1" applyBorder="1"/>
    <xf numFmtId="169" fontId="29" fillId="18" borderId="25" xfId="4" applyNumberFormat="1" applyFont="1" applyFill="1" applyBorder="1"/>
    <xf numFmtId="178" fontId="29" fillId="18" borderId="25" xfId="4" applyNumberFormat="1" applyFont="1" applyFill="1" applyBorder="1"/>
    <xf numFmtId="0" fontId="25" fillId="16" borderId="0" xfId="4" applyFont="1" applyFill="1" applyBorder="1" applyAlignment="1"/>
    <xf numFmtId="0" fontId="28" fillId="16" borderId="0" xfId="4" applyFont="1" applyFill="1" applyBorder="1" applyAlignment="1"/>
    <xf numFmtId="0" fontId="9" fillId="0" borderId="0" xfId="4" applyFont="1" applyAlignment="1">
      <alignment horizontal="center"/>
    </xf>
    <xf numFmtId="44" fontId="8" fillId="0" borderId="0" xfId="4" applyNumberFormat="1" applyFont="1"/>
    <xf numFmtId="171" fontId="8" fillId="0" borderId="0" xfId="4" applyNumberFormat="1" applyFont="1"/>
    <xf numFmtId="169" fontId="8" fillId="0" borderId="0" xfId="4" applyNumberFormat="1" applyFont="1"/>
    <xf numFmtId="180" fontId="7" fillId="0" borderId="0" xfId="4" applyNumberFormat="1" applyFont="1"/>
    <xf numFmtId="43" fontId="8" fillId="0" borderId="0" xfId="4" applyNumberFormat="1" applyFont="1"/>
    <xf numFmtId="180" fontId="7" fillId="0" borderId="2" xfId="4" applyNumberFormat="1" applyFont="1" applyFill="1" applyBorder="1"/>
    <xf numFmtId="180" fontId="7" fillId="0" borderId="9" xfId="4" applyNumberFormat="1" applyFont="1" applyFill="1" applyBorder="1"/>
    <xf numFmtId="180" fontId="7" fillId="0" borderId="31" xfId="4" applyNumberFormat="1" applyFont="1" applyBorder="1"/>
    <xf numFmtId="180" fontId="9" fillId="17" borderId="25" xfId="4" applyNumberFormat="1" applyFont="1" applyFill="1" applyBorder="1"/>
    <xf numFmtId="180" fontId="9" fillId="17" borderId="33" xfId="4" applyNumberFormat="1" applyFont="1" applyFill="1" applyBorder="1"/>
    <xf numFmtId="180" fontId="7" fillId="0" borderId="1" xfId="4" applyNumberFormat="1" applyFont="1" applyBorder="1"/>
    <xf numFmtId="180" fontId="7" fillId="0" borderId="11" xfId="4" applyNumberFormat="1" applyFont="1" applyBorder="1"/>
    <xf numFmtId="42" fontId="29" fillId="18" borderId="25" xfId="4" applyNumberFormat="1" applyFont="1" applyFill="1" applyBorder="1"/>
    <xf numFmtId="180" fontId="29" fillId="18" borderId="25" xfId="4" applyNumberFormat="1" applyFont="1" applyFill="1" applyBorder="1"/>
    <xf numFmtId="180" fontId="29" fillId="18" borderId="0" xfId="4" applyNumberFormat="1" applyFont="1" applyFill="1" applyBorder="1"/>
    <xf numFmtId="180" fontId="29" fillId="18" borderId="34" xfId="4" applyNumberFormat="1" applyFont="1" applyFill="1" applyBorder="1" applyAlignment="1"/>
    <xf numFmtId="181" fontId="7" fillId="0" borderId="0" xfId="4" applyNumberFormat="1" applyFont="1"/>
    <xf numFmtId="0" fontId="7" fillId="0" borderId="0" xfId="4" applyFont="1" applyFill="1" applyBorder="1" applyAlignment="1">
      <alignment horizontal="right"/>
    </xf>
    <xf numFmtId="0" fontId="7" fillId="0" borderId="0" xfId="4" applyFont="1" applyAlignment="1">
      <alignment horizontal="left"/>
    </xf>
    <xf numFmtId="0" fontId="7" fillId="7" borderId="30" xfId="4" applyFont="1" applyFill="1" applyBorder="1"/>
    <xf numFmtId="171" fontId="8" fillId="7" borderId="30" xfId="4" applyNumberFormat="1" applyFont="1" applyFill="1" applyBorder="1"/>
    <xf numFmtId="169" fontId="8" fillId="7" borderId="30" xfId="4" applyNumberFormat="1" applyFont="1" applyFill="1" applyBorder="1"/>
    <xf numFmtId="44" fontId="8" fillId="7" borderId="30" xfId="1" applyFont="1" applyFill="1" applyBorder="1"/>
    <xf numFmtId="44" fontId="7" fillId="0" borderId="0" xfId="1" applyFont="1"/>
    <xf numFmtId="169" fontId="11" fillId="7" borderId="30" xfId="4" applyNumberFormat="1" applyFont="1" applyFill="1" applyBorder="1"/>
    <xf numFmtId="44" fontId="8" fillId="0" borderId="0" xfId="1" applyFont="1" applyFill="1" applyBorder="1"/>
    <xf numFmtId="171" fontId="8" fillId="0" borderId="0" xfId="4" applyNumberFormat="1" applyFont="1" applyFill="1" applyBorder="1"/>
    <xf numFmtId="171" fontId="7" fillId="0" borderId="0" xfId="4" applyNumberFormat="1" applyFont="1" applyFill="1" applyBorder="1"/>
    <xf numFmtId="178" fontId="7" fillId="0" borderId="0" xfId="4" applyNumberFormat="1" applyFont="1" applyFill="1" applyBorder="1"/>
    <xf numFmtId="0" fontId="5" fillId="0" borderId="0" xfId="0" applyFont="1" applyFill="1" applyBorder="1"/>
    <xf numFmtId="0" fontId="0" fillId="0" borderId="0" xfId="0" applyFill="1" applyBorder="1"/>
    <xf numFmtId="182" fontId="30" fillId="0" borderId="0" xfId="7" applyNumberFormat="1" applyFont="1" applyFill="1" applyBorder="1" applyAlignment="1">
      <alignment horizontal="center" vertical="top"/>
    </xf>
    <xf numFmtId="0" fontId="7" fillId="0" borderId="0" xfId="4" applyFont="1" applyFill="1" applyBorder="1" applyAlignment="1"/>
    <xf numFmtId="179" fontId="7" fillId="0" borderId="0" xfId="4" applyNumberFormat="1" applyFont="1" applyFill="1" applyBorder="1"/>
    <xf numFmtId="0" fontId="0" fillId="0" borderId="0" xfId="0" applyFill="1" applyBorder="1" applyAlignment="1">
      <alignment horizontal="left"/>
    </xf>
    <xf numFmtId="0" fontId="25" fillId="0" borderId="0" xfId="4" applyFont="1" applyFill="1" applyBorder="1"/>
    <xf numFmtId="0" fontId="25" fillId="0" borderId="0" xfId="4" applyFont="1" applyFill="1" applyBorder="1" applyAlignment="1">
      <alignment horizontal="center"/>
    </xf>
    <xf numFmtId="0" fontId="26" fillId="0" borderId="0" xfId="4" applyFont="1" applyFill="1" applyBorder="1" applyAlignment="1">
      <alignment horizontal="centerContinuous"/>
    </xf>
    <xf numFmtId="0" fontId="28" fillId="0" borderId="0" xfId="4" applyFont="1" applyFill="1" applyBorder="1"/>
    <xf numFmtId="0" fontId="7" fillId="0" borderId="0" xfId="0" applyFont="1" applyFill="1" applyBorder="1"/>
    <xf numFmtId="169" fontId="8" fillId="0" borderId="0" xfId="0" applyNumberFormat="1" applyFont="1" applyFill="1" applyBorder="1"/>
    <xf numFmtId="180" fontId="7" fillId="0" borderId="0" xfId="4" applyNumberFormat="1" applyFont="1" applyFill="1" applyBorder="1"/>
    <xf numFmtId="171" fontId="8" fillId="0" borderId="0" xfId="0" applyNumberFormat="1" applyFont="1" applyFill="1" applyBorder="1"/>
    <xf numFmtId="43" fontId="8" fillId="0" borderId="0" xfId="0" applyNumberFormat="1" applyFont="1" applyFill="1" applyBorder="1"/>
    <xf numFmtId="169" fontId="0" fillId="0" borderId="0" xfId="0" applyNumberFormat="1" applyFill="1" applyBorder="1"/>
    <xf numFmtId="166" fontId="7" fillId="0" borderId="0" xfId="4" applyNumberFormat="1" applyFont="1" applyFill="1" applyBorder="1"/>
    <xf numFmtId="0" fontId="9" fillId="0" borderId="0" xfId="4" applyFont="1" applyFill="1" applyBorder="1" applyAlignment="1"/>
    <xf numFmtId="0" fontId="9" fillId="0" borderId="0" xfId="4" applyFont="1" applyFill="1" applyBorder="1" applyAlignment="1">
      <alignment horizontal="right"/>
    </xf>
    <xf numFmtId="179" fontId="9" fillId="0" borderId="0" xfId="4" applyNumberFormat="1" applyFont="1" applyFill="1" applyBorder="1"/>
    <xf numFmtId="49" fontId="24" fillId="0" borderId="0" xfId="4" applyNumberFormat="1" applyFont="1" applyFill="1" applyBorder="1" applyAlignment="1"/>
    <xf numFmtId="2" fontId="7" fillId="0" borderId="0" xfId="4" applyNumberFormat="1" applyFont="1" applyBorder="1"/>
    <xf numFmtId="10" fontId="12" fillId="11" borderId="18" xfId="9" applyNumberFormat="1" applyFont="1" applyFill="1" applyBorder="1" applyAlignment="1"/>
    <xf numFmtId="0" fontId="8" fillId="11" borderId="14" xfId="3" applyFont="1" applyFill="1" applyBorder="1" applyAlignment="1">
      <alignment horizontal="center"/>
    </xf>
    <xf numFmtId="0" fontId="8" fillId="11" borderId="15" xfId="3" applyFont="1" applyFill="1" applyBorder="1" applyAlignment="1">
      <alignment horizontal="center"/>
    </xf>
    <xf numFmtId="0" fontId="24" fillId="0" borderId="0" xfId="4" applyNumberFormat="1" applyFont="1" applyBorder="1" applyAlignment="1">
      <alignment horizontal="left"/>
    </xf>
    <xf numFmtId="0" fontId="7" fillId="0" borderId="0" xfId="4" applyFont="1" applyAlignment="1">
      <alignment horizontal="left"/>
    </xf>
    <xf numFmtId="0" fontId="25" fillId="0" borderId="0" xfId="4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/>
    <xf numFmtId="0" fontId="3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20" xfId="0" applyFont="1" applyFill="1" applyBorder="1"/>
    <xf numFmtId="0" fontId="3" fillId="2" borderId="0" xfId="0" applyFont="1" applyFill="1"/>
    <xf numFmtId="0" fontId="2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6" xfId="0" applyFont="1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ill="1"/>
    <xf numFmtId="0" fontId="0" fillId="2" borderId="0" xfId="0" applyFont="1" applyFill="1" applyBorder="1"/>
    <xf numFmtId="0" fontId="4" fillId="2" borderId="0" xfId="0" applyFont="1" applyFill="1"/>
    <xf numFmtId="0" fontId="0" fillId="2" borderId="0" xfId="0" applyFill="1" applyBorder="1"/>
    <xf numFmtId="0" fontId="4" fillId="12" borderId="0" xfId="0" applyFont="1" applyFill="1"/>
    <xf numFmtId="0" fontId="0" fillId="12" borderId="0" xfId="0" applyFill="1"/>
    <xf numFmtId="0" fontId="4" fillId="13" borderId="21" xfId="0" applyFont="1" applyFill="1" applyBorder="1"/>
    <xf numFmtId="0" fontId="4" fillId="13" borderId="22" xfId="0" applyFont="1" applyFill="1" applyBorder="1"/>
    <xf numFmtId="0" fontId="4" fillId="13" borderId="23" xfId="0" applyFont="1" applyFill="1" applyBorder="1"/>
    <xf numFmtId="0" fontId="0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4" fillId="2" borderId="2" xfId="0" applyFont="1" applyFill="1" applyBorder="1"/>
    <xf numFmtId="0" fontId="0" fillId="2" borderId="0" xfId="0" applyFont="1" applyFill="1" applyBorder="1" applyAlignment="1">
      <alignment horizontal="center"/>
    </xf>
    <xf numFmtId="0" fontId="2" fillId="2" borderId="3" xfId="0" applyFont="1" applyFill="1" applyBorder="1"/>
    <xf numFmtId="0" fontId="0" fillId="12" borderId="0" xfId="0" applyFill="1" applyBorder="1"/>
    <xf numFmtId="0" fontId="4" fillId="2" borderId="0" xfId="0" applyFont="1" applyFill="1" applyBorder="1"/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44" fontId="7" fillId="0" borderId="2" xfId="1" applyFont="1" applyFill="1" applyBorder="1"/>
    <xf numFmtId="44" fontId="9" fillId="17" borderId="25" xfId="1" applyFont="1" applyFill="1" applyBorder="1"/>
    <xf numFmtId="44" fontId="7" fillId="0" borderId="1" xfId="1" applyFont="1" applyBorder="1"/>
    <xf numFmtId="10" fontId="0" fillId="0" borderId="0" xfId="9" applyNumberFormat="1" applyFont="1"/>
    <xf numFmtId="44" fontId="0" fillId="0" borderId="0" xfId="0" applyNumberFormat="1"/>
    <xf numFmtId="44" fontId="4" fillId="0" borderId="0" xfId="1" applyFont="1"/>
    <xf numFmtId="10" fontId="4" fillId="0" borderId="0" xfId="9" applyNumberFormat="1" applyFont="1"/>
  </cellXfs>
  <cellStyles count="25">
    <cellStyle name="blp_title_header_row_left" xfId="10" xr:uid="{6CFE5B0B-A9D0-4663-AE5E-CAEA0AB67FA8}"/>
    <cellStyle name="Comma" xfId="2" builtinId="3"/>
    <cellStyle name="Currency" xfId="1" builtinId="4"/>
    <cellStyle name="fa_column_header_bottom" xfId="15" xr:uid="{C7AFA933-C0EC-4AC7-9EF7-49D909C10135}"/>
    <cellStyle name="fa_column_header_bottom_left" xfId="14" xr:uid="{B0ED4CA3-6A7D-4254-9C40-81B30CB1B12B}"/>
    <cellStyle name="fa_column_header_empty" xfId="11" xr:uid="{8B38B68E-023B-4B43-B60E-5C45CE2A76D0}"/>
    <cellStyle name="fa_column_header_top" xfId="13" xr:uid="{0562E954-8C19-4A36-94C6-F2684BC989E5}"/>
    <cellStyle name="fa_column_header_top_left" xfId="12" xr:uid="{DC4EC58F-BFEA-493D-BE7F-23A308FD0D03}"/>
    <cellStyle name="fa_data_bold_0_grouped" xfId="17" xr:uid="{BF93B26D-FAC8-4743-8FA4-83B954D6E133}"/>
    <cellStyle name="fa_data_bold_1_grouped" xfId="22" xr:uid="{DE12D09C-3673-477B-89CA-03A0E4B515FF}"/>
    <cellStyle name="fa_data_italic_1_grouped" xfId="21" xr:uid="{7E01D856-0A16-4DFC-9E62-04E5DC216427}"/>
    <cellStyle name="fa_data_standard_0_grouped" xfId="24" xr:uid="{274B4ECF-4E01-4827-8B25-58DF3D044FF4}"/>
    <cellStyle name="fa_data_standard_1_grouped" xfId="19" xr:uid="{9354FBC4-5BC6-45C5-880C-315B144B0A5E}"/>
    <cellStyle name="fa_data_standard_2_grouped" xfId="23" xr:uid="{ECADA7D3-D304-4E86-97C1-478B431FC203}"/>
    <cellStyle name="fa_row_header_bold" xfId="16" xr:uid="{6160B05D-542A-405D-BF9F-6686AB09CE72}"/>
    <cellStyle name="fa_row_header_italic" xfId="20" xr:uid="{1B845AAE-4DC4-46B8-82EC-22D541D17D78}"/>
    <cellStyle name="fa_row_header_standard" xfId="18" xr:uid="{D0567FF3-A403-41C7-BF02-C3AFEBAADAD1}"/>
    <cellStyle name="Normal" xfId="0" builtinId="0"/>
    <cellStyle name="Normal 2" xfId="4" xr:uid="{00000000-0005-0000-0000-000003000000}"/>
    <cellStyle name="Normal 3 2" xfId="5" xr:uid="{00000000-0005-0000-0000-000004000000}"/>
    <cellStyle name="Normal 3 4" xfId="8" xr:uid="{00000000-0005-0000-0000-000005000000}"/>
    <cellStyle name="Normal 5 2" xfId="6" xr:uid="{00000000-0005-0000-0000-000006000000}"/>
    <cellStyle name="Note" xfId="3" builtinId="10"/>
    <cellStyle name="Percent" xfId="9" builtinId="5"/>
    <cellStyle name="TextNormal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nie/Desktop/Investment%20Fund/DCF%20Template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DCF"/>
      <sheetName val="WACC"/>
      <sheetName val="Public Comps"/>
      <sheetName val="M&amp;A-Comps"/>
    </sheetNames>
    <sheetDataSet>
      <sheetData sheetId="0"/>
      <sheetData sheetId="1">
        <row r="9">
          <cell r="F9"/>
        </row>
        <row r="10">
          <cell r="F10"/>
        </row>
        <row r="11">
          <cell r="F11"/>
        </row>
        <row r="17">
          <cell r="F17"/>
        </row>
        <row r="21">
          <cell r="F21">
            <v>0</v>
          </cell>
        </row>
        <row r="27">
          <cell r="F27"/>
        </row>
        <row r="28">
          <cell r="F28"/>
        </row>
        <row r="29">
          <cell r="F29"/>
        </row>
        <row r="30">
          <cell r="F30"/>
        </row>
        <row r="31">
          <cell r="F31"/>
        </row>
        <row r="32">
          <cell r="F32">
            <v>0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"/>
  <sheetViews>
    <sheetView zoomScale="69" zoomScaleNormal="90" workbookViewId="0">
      <selection activeCell="M16" sqref="M16"/>
    </sheetView>
  </sheetViews>
  <sheetFormatPr defaultRowHeight="15" x14ac:dyDescent="0.25"/>
  <cols>
    <col min="2" max="2" width="41.42578125" bestFit="1" customWidth="1"/>
    <col min="5" max="5" width="19" bestFit="1" customWidth="1"/>
    <col min="8" max="8" width="37.5703125" bestFit="1" customWidth="1"/>
    <col min="11" max="11" width="21.7109375" bestFit="1" customWidth="1"/>
    <col min="13" max="13" width="34.28515625" bestFit="1" customWidth="1"/>
    <col min="14" max="14" width="13.5703125" bestFit="1" customWidth="1"/>
    <col min="15" max="15" width="18" bestFit="1" customWidth="1"/>
  </cols>
  <sheetData>
    <row r="1" spans="1:15" x14ac:dyDescent="0.25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144" t="s">
        <v>355</v>
      </c>
      <c r="N1" s="144"/>
      <c r="O1" t="s">
        <v>352</v>
      </c>
    </row>
    <row r="2" spans="1:15" ht="15.75" x14ac:dyDescent="0.25">
      <c r="A2" s="28"/>
      <c r="B2" s="30" t="s">
        <v>115</v>
      </c>
      <c r="C2" s="30"/>
      <c r="D2" s="28"/>
      <c r="E2" s="247" t="s">
        <v>157</v>
      </c>
      <c r="F2" s="248"/>
      <c r="G2" s="28"/>
      <c r="H2" s="32" t="s">
        <v>116</v>
      </c>
      <c r="I2" s="58"/>
      <c r="J2" s="58"/>
      <c r="K2" s="58"/>
      <c r="L2" s="28"/>
      <c r="M2" s="144" t="s">
        <v>155</v>
      </c>
      <c r="N2" s="295">
        <v>65.831013620671683</v>
      </c>
      <c r="O2" s="294">
        <f>$E$4*(1 + (0.08))^9</f>
        <v>65.067600612249294</v>
      </c>
    </row>
    <row r="3" spans="1:15" ht="15.75" x14ac:dyDescent="0.25">
      <c r="A3" s="28"/>
      <c r="B3" s="30" t="s">
        <v>117</v>
      </c>
      <c r="C3" s="28"/>
      <c r="D3" s="28"/>
      <c r="E3" s="108" t="s">
        <v>158</v>
      </c>
      <c r="F3" s="28"/>
      <c r="G3" s="28"/>
      <c r="H3" s="28"/>
      <c r="I3" s="28"/>
      <c r="J3" s="28"/>
      <c r="K3" s="28"/>
      <c r="L3" s="28"/>
      <c r="M3" s="144" t="s">
        <v>156</v>
      </c>
      <c r="N3" s="296">
        <v>1.0224581757502824</v>
      </c>
      <c r="O3" s="293">
        <f>(O2-$E$4)/$E$4</f>
        <v>0.99900462710443316</v>
      </c>
    </row>
    <row r="4" spans="1:15" ht="15.75" x14ac:dyDescent="0.25">
      <c r="A4" s="28"/>
      <c r="B4" s="30" t="s">
        <v>118</v>
      </c>
      <c r="C4" s="28"/>
      <c r="D4" s="28"/>
      <c r="E4" s="109">
        <v>32.549999999999997</v>
      </c>
      <c r="F4" s="28"/>
      <c r="G4" s="28"/>
      <c r="H4" s="29" t="s">
        <v>119</v>
      </c>
      <c r="I4" s="28"/>
      <c r="J4" s="28"/>
      <c r="K4" s="60">
        <v>9.6300000000000008</v>
      </c>
      <c r="L4" s="28"/>
      <c r="M4" s="144"/>
      <c r="N4" s="144"/>
    </row>
    <row r="5" spans="1:15" ht="15.75" x14ac:dyDescent="0.25">
      <c r="A5" s="28"/>
      <c r="B5" s="29" t="s">
        <v>212</v>
      </c>
      <c r="C5" s="28"/>
      <c r="D5" s="28"/>
      <c r="E5" s="110">
        <v>535000</v>
      </c>
      <c r="F5" s="28"/>
      <c r="G5" s="28"/>
      <c r="H5" s="28"/>
      <c r="I5" s="28"/>
      <c r="J5" s="28"/>
      <c r="K5" s="28"/>
      <c r="L5" s="28"/>
      <c r="M5" s="144" t="s">
        <v>356</v>
      </c>
      <c r="N5" s="144"/>
      <c r="O5" s="145" t="s">
        <v>353</v>
      </c>
    </row>
    <row r="6" spans="1:15" ht="15.75" x14ac:dyDescent="0.25">
      <c r="A6" s="28"/>
      <c r="B6" s="28"/>
      <c r="C6" s="28"/>
      <c r="D6" s="28"/>
      <c r="E6" s="28"/>
      <c r="F6" s="28"/>
      <c r="G6" s="28"/>
      <c r="H6" s="31" t="s">
        <v>121</v>
      </c>
      <c r="I6" s="31"/>
      <c r="J6" s="33"/>
      <c r="K6" s="60">
        <v>6.6</v>
      </c>
      <c r="L6" s="28"/>
      <c r="M6" s="144" t="s">
        <v>155</v>
      </c>
      <c r="N6" s="295">
        <v>77.738113178252163</v>
      </c>
      <c r="O6" s="294">
        <f>$E$4*(1 + (0.1))^9</f>
        <v>76.751197342050034</v>
      </c>
    </row>
    <row r="7" spans="1:15" ht="15.75" x14ac:dyDescent="0.25">
      <c r="A7" s="28"/>
      <c r="B7" s="31" t="s">
        <v>122</v>
      </c>
      <c r="C7" s="31"/>
      <c r="D7" s="31"/>
      <c r="E7" s="111"/>
      <c r="F7" s="28"/>
      <c r="G7" s="28"/>
      <c r="H7" s="31" t="s">
        <v>123</v>
      </c>
      <c r="I7" s="28"/>
      <c r="J7" s="28"/>
      <c r="K7" s="124">
        <f>AVERAGE(K4,K6)*'Free Cash Flow Projection'!Q45</f>
        <v>20234426.909648716</v>
      </c>
      <c r="L7" s="28"/>
      <c r="M7" s="144" t="s">
        <v>351</v>
      </c>
      <c r="N7" s="296">
        <v>1.3882676859678087</v>
      </c>
      <c r="O7" s="293">
        <f>(O6-$E$4)/$E$4</f>
        <v>1.3579476910000012</v>
      </c>
    </row>
    <row r="8" spans="1:15" ht="15.75" x14ac:dyDescent="0.25">
      <c r="A8" s="28"/>
      <c r="B8" s="31" t="s">
        <v>124</v>
      </c>
      <c r="C8" s="31"/>
      <c r="D8" s="31"/>
      <c r="E8" s="246">
        <v>5.1799999999999999E-2</v>
      </c>
      <c r="F8" s="28"/>
      <c r="G8" s="28"/>
      <c r="H8" s="31" t="s">
        <v>125</v>
      </c>
      <c r="I8" s="31"/>
      <c r="J8" s="33"/>
      <c r="K8" s="245">
        <f>(K7*E8-'Free Cash Flow Projection'!Q36)/(K7+'Free Cash Flow Projection'!Q36)</f>
        <v>4.2052279648941366E-3</v>
      </c>
      <c r="L8" s="28"/>
      <c r="M8" s="144"/>
      <c r="N8" s="144"/>
    </row>
    <row r="9" spans="1:15" x14ac:dyDescent="0.25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144" t="s">
        <v>357</v>
      </c>
      <c r="N9" s="144"/>
      <c r="O9" s="145" t="s">
        <v>354</v>
      </c>
    </row>
    <row r="10" spans="1:15" ht="15.75" x14ac:dyDescent="0.25">
      <c r="A10" s="28"/>
      <c r="B10" s="29" t="s">
        <v>126</v>
      </c>
      <c r="C10" s="28"/>
      <c r="D10" s="28"/>
      <c r="E10" s="112"/>
      <c r="F10" s="28"/>
      <c r="G10" s="28"/>
      <c r="H10" s="34" t="s">
        <v>127</v>
      </c>
      <c r="I10" s="31"/>
      <c r="J10" s="31"/>
      <c r="K10" s="107">
        <f>K7/'Free Cash Flow Projection'!Q41</f>
        <v>31877878.196011201</v>
      </c>
      <c r="L10" s="28"/>
      <c r="M10" s="144" t="s">
        <v>155</v>
      </c>
      <c r="N10" s="295">
        <v>52.412870677339583</v>
      </c>
      <c r="O10" s="294">
        <f>$E$4*(1 + (0.05))^9</f>
        <v>50.495733430100685</v>
      </c>
    </row>
    <row r="11" spans="1:15" ht="15.75" x14ac:dyDescent="0.25">
      <c r="A11" s="27"/>
      <c r="B11" s="30" t="s">
        <v>128</v>
      </c>
      <c r="C11" s="28"/>
      <c r="D11" s="28"/>
      <c r="E11" s="123">
        <v>2018</v>
      </c>
      <c r="F11" s="28"/>
      <c r="G11" s="28"/>
      <c r="H11" s="35" t="s">
        <v>129</v>
      </c>
      <c r="I11" s="36"/>
      <c r="J11" s="36"/>
      <c r="K11" s="59">
        <f>SUM('Free Cash Flow Projection'!I43:Q43)</f>
        <v>9378012.3543537017</v>
      </c>
      <c r="L11" s="28"/>
      <c r="M11" s="144" t="s">
        <v>351</v>
      </c>
      <c r="N11" s="296">
        <v>0.61022644170014095</v>
      </c>
      <c r="O11" s="293">
        <f>(O10-$E$4)/$E$4</f>
        <v>0.55132821597851578</v>
      </c>
    </row>
    <row r="12" spans="1:15" ht="15.75" x14ac:dyDescent="0.25">
      <c r="A12" s="27"/>
      <c r="B12" s="28"/>
      <c r="C12" s="28"/>
      <c r="D12" s="28"/>
      <c r="E12" s="28"/>
      <c r="F12" s="28"/>
      <c r="G12" s="28"/>
      <c r="H12" s="37" t="s">
        <v>130</v>
      </c>
      <c r="I12" s="38"/>
      <c r="J12" s="38"/>
      <c r="K12" s="39">
        <f>SUM(K10:K11)</f>
        <v>41255890.550364904</v>
      </c>
      <c r="L12" s="28"/>
      <c r="M12" s="27"/>
    </row>
    <row r="13" spans="1:15" x14ac:dyDescent="0.25">
      <c r="A13" s="27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7"/>
    </row>
    <row r="14" spans="1:15" ht="15.75" x14ac:dyDescent="0.25">
      <c r="A14" s="27"/>
      <c r="B14" s="28"/>
      <c r="C14" s="28"/>
      <c r="D14" s="28"/>
      <c r="E14" s="28"/>
      <c r="F14" s="28"/>
      <c r="G14" s="28"/>
      <c r="H14" s="40" t="s">
        <v>131</v>
      </c>
      <c r="I14" s="28"/>
      <c r="J14" s="28"/>
      <c r="K14" s="126">
        <f>K10/K12</f>
        <v>0.77268670657090555</v>
      </c>
      <c r="L14" s="28"/>
      <c r="M14" s="27"/>
    </row>
    <row r="15" spans="1:15" ht="15.75" x14ac:dyDescent="0.25">
      <c r="A15" s="27"/>
      <c r="B15" s="41" t="s">
        <v>132</v>
      </c>
      <c r="C15" s="42"/>
      <c r="D15" s="42"/>
      <c r="E15" s="43"/>
      <c r="F15" s="28"/>
      <c r="G15" s="28"/>
      <c r="H15" s="28"/>
      <c r="I15" s="28"/>
      <c r="J15" s="28"/>
      <c r="K15" s="28"/>
      <c r="L15" s="28"/>
      <c r="M15" s="27"/>
    </row>
    <row r="16" spans="1:15" ht="15.75" x14ac:dyDescent="0.25">
      <c r="A16" s="27"/>
      <c r="B16" s="44" t="s">
        <v>133</v>
      </c>
      <c r="C16" s="28"/>
      <c r="D16" s="28"/>
      <c r="E16" s="113">
        <v>-3445000</v>
      </c>
      <c r="F16" s="28"/>
      <c r="G16" s="28"/>
      <c r="H16" s="44" t="s">
        <v>134</v>
      </c>
      <c r="I16" s="28"/>
      <c r="J16" s="28"/>
      <c r="K16" s="45">
        <f>-E16</f>
        <v>3445000</v>
      </c>
      <c r="L16" s="28"/>
      <c r="M16" s="27"/>
    </row>
    <row r="17" spans="1:13" ht="15.75" x14ac:dyDescent="0.25">
      <c r="A17" s="27"/>
      <c r="B17" s="57" t="s">
        <v>135</v>
      </c>
      <c r="C17" s="30"/>
      <c r="D17" s="30"/>
      <c r="E17" s="114">
        <v>319000</v>
      </c>
      <c r="F17" s="28"/>
      <c r="G17" s="28"/>
      <c r="H17" s="57" t="s">
        <v>136</v>
      </c>
      <c r="I17" s="30"/>
      <c r="J17" s="30"/>
      <c r="K17" s="45">
        <f t="shared" ref="K17:K25" si="0">-E17</f>
        <v>-319000</v>
      </c>
      <c r="L17" s="28"/>
      <c r="M17" s="27"/>
    </row>
    <row r="18" spans="1:13" ht="15.75" x14ac:dyDescent="0.25">
      <c r="A18" s="27"/>
      <c r="B18" s="57" t="s">
        <v>137</v>
      </c>
      <c r="C18" s="30"/>
      <c r="D18" s="30"/>
      <c r="E18" s="114"/>
      <c r="F18" s="28"/>
      <c r="G18" s="28"/>
      <c r="H18" s="57" t="s">
        <v>138</v>
      </c>
      <c r="I18" s="30"/>
      <c r="J18" s="30"/>
      <c r="K18" s="45">
        <f t="shared" si="0"/>
        <v>0</v>
      </c>
      <c r="L18" s="28"/>
      <c r="M18" s="27"/>
    </row>
    <row r="19" spans="1:13" ht="15.75" x14ac:dyDescent="0.25">
      <c r="A19" s="27"/>
      <c r="B19" s="57" t="s">
        <v>139</v>
      </c>
      <c r="C19" s="30"/>
      <c r="D19" s="30"/>
      <c r="E19" s="114">
        <v>-1078000</v>
      </c>
      <c r="F19" s="28"/>
      <c r="G19" s="28"/>
      <c r="H19" s="57" t="s">
        <v>140</v>
      </c>
      <c r="I19" s="30"/>
      <c r="J19" s="30"/>
      <c r="K19" s="45">
        <f t="shared" si="0"/>
        <v>1078000</v>
      </c>
      <c r="L19" s="28"/>
      <c r="M19" s="27"/>
    </row>
    <row r="20" spans="1:13" ht="15.75" x14ac:dyDescent="0.25">
      <c r="A20" s="27"/>
      <c r="B20" s="57" t="s">
        <v>141</v>
      </c>
      <c r="C20" s="30"/>
      <c r="D20" s="30"/>
      <c r="E20" s="115">
        <v>900000</v>
      </c>
      <c r="F20" s="28"/>
      <c r="G20" s="28"/>
      <c r="H20" s="57" t="s">
        <v>142</v>
      </c>
      <c r="I20" s="30"/>
      <c r="J20" s="30"/>
      <c r="K20" s="45">
        <f t="shared" si="0"/>
        <v>-900000</v>
      </c>
      <c r="L20" s="28"/>
      <c r="M20" s="27"/>
    </row>
    <row r="21" spans="1:13" ht="15.75" x14ac:dyDescent="0.25">
      <c r="A21" s="27"/>
      <c r="B21" s="57" t="s">
        <v>143</v>
      </c>
      <c r="C21" s="30"/>
      <c r="D21" s="30"/>
      <c r="E21" s="114">
        <v>1010000</v>
      </c>
      <c r="F21" s="28"/>
      <c r="G21" s="28"/>
      <c r="H21" s="57" t="s">
        <v>144</v>
      </c>
      <c r="I21" s="30"/>
      <c r="J21" s="30"/>
      <c r="K21" s="45">
        <f t="shared" si="0"/>
        <v>-1010000</v>
      </c>
      <c r="L21" s="28"/>
      <c r="M21" s="27"/>
    </row>
    <row r="22" spans="1:13" ht="15.75" x14ac:dyDescent="0.25">
      <c r="A22" s="27"/>
      <c r="B22" s="57" t="s">
        <v>145</v>
      </c>
      <c r="C22" s="30"/>
      <c r="D22" s="30"/>
      <c r="E22" s="115">
        <v>272000</v>
      </c>
      <c r="F22" s="28"/>
      <c r="G22" s="28"/>
      <c r="H22" s="57" t="s">
        <v>146</v>
      </c>
      <c r="I22" s="30"/>
      <c r="J22" s="30"/>
      <c r="K22" s="45">
        <f>-E22</f>
        <v>-272000</v>
      </c>
      <c r="L22" s="28"/>
      <c r="M22" s="27"/>
    </row>
    <row r="23" spans="1:13" ht="15.75" x14ac:dyDescent="0.25">
      <c r="A23" s="27"/>
      <c r="B23" s="57" t="s">
        <v>147</v>
      </c>
      <c r="C23" s="30"/>
      <c r="D23" s="30"/>
      <c r="E23" s="114">
        <v>909000</v>
      </c>
      <c r="F23" s="28"/>
      <c r="G23" s="28"/>
      <c r="H23" s="57" t="s">
        <v>148</v>
      </c>
      <c r="I23" s="30"/>
      <c r="J23" s="30"/>
      <c r="K23" s="45">
        <f t="shared" si="0"/>
        <v>-909000</v>
      </c>
      <c r="L23" s="28"/>
      <c r="M23" s="27"/>
    </row>
    <row r="24" spans="1:13" ht="15.75" x14ac:dyDescent="0.25">
      <c r="A24" s="27"/>
      <c r="B24" s="57" t="s">
        <v>149</v>
      </c>
      <c r="C24" s="30"/>
      <c r="D24" s="30"/>
      <c r="E24" s="114">
        <v>265000</v>
      </c>
      <c r="F24" s="28"/>
      <c r="G24" s="28"/>
      <c r="H24" s="57" t="s">
        <v>150</v>
      </c>
      <c r="I24" s="30"/>
      <c r="J24" s="30"/>
      <c r="K24" s="45">
        <f t="shared" si="0"/>
        <v>-265000</v>
      </c>
      <c r="L24" s="28"/>
      <c r="M24" s="27"/>
    </row>
    <row r="25" spans="1:13" ht="15.75" x14ac:dyDescent="0.25">
      <c r="A25" s="27"/>
      <c r="B25" s="57" t="s">
        <v>151</v>
      </c>
      <c r="C25" s="30"/>
      <c r="D25" s="30"/>
      <c r="E25" s="116">
        <v>514000</v>
      </c>
      <c r="F25" s="28"/>
      <c r="G25" s="28"/>
      <c r="H25" s="57" t="s">
        <v>152</v>
      </c>
      <c r="I25" s="30"/>
      <c r="J25" s="30"/>
      <c r="K25" s="45">
        <f t="shared" si="0"/>
        <v>-514000</v>
      </c>
      <c r="L25" s="28"/>
      <c r="M25" s="27"/>
    </row>
    <row r="26" spans="1:13" ht="15.75" x14ac:dyDescent="0.25">
      <c r="A26" s="27"/>
      <c r="B26" s="46" t="s">
        <v>153</v>
      </c>
      <c r="C26" s="47"/>
      <c r="D26" s="47"/>
      <c r="E26" s="48"/>
      <c r="F26" s="28"/>
      <c r="G26" s="28"/>
      <c r="H26" s="46" t="s">
        <v>154</v>
      </c>
      <c r="I26" s="47"/>
      <c r="J26" s="47"/>
      <c r="K26" s="127">
        <f>(K12+SUM(K16:K25))</f>
        <v>41589890.550364904</v>
      </c>
      <c r="L26" s="28"/>
      <c r="M26" s="27"/>
    </row>
    <row r="27" spans="1:13" x14ac:dyDescent="0.25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</row>
    <row r="28" spans="1:13" ht="15.75" x14ac:dyDescent="0.25">
      <c r="A28" s="28"/>
      <c r="B28" s="28"/>
      <c r="C28" s="28"/>
      <c r="D28" s="28"/>
      <c r="E28" s="28"/>
      <c r="F28" s="28"/>
      <c r="G28" s="28"/>
      <c r="H28" s="29" t="s">
        <v>120</v>
      </c>
      <c r="I28" s="28"/>
      <c r="J28" s="28"/>
      <c r="K28" s="49"/>
      <c r="L28" s="28"/>
      <c r="M28" s="28"/>
    </row>
    <row r="29" spans="1:13" ht="15.75" x14ac:dyDescent="0.25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50"/>
    </row>
    <row r="30" spans="1:13" ht="15.75" x14ac:dyDescent="0.25">
      <c r="A30" s="28"/>
      <c r="B30" s="28"/>
      <c r="C30" s="28"/>
      <c r="D30" s="28"/>
      <c r="E30" s="28"/>
      <c r="F30" s="28"/>
      <c r="G30" s="28"/>
      <c r="H30" s="51" t="s">
        <v>155</v>
      </c>
      <c r="I30" s="52"/>
      <c r="J30" s="52"/>
      <c r="K30" s="125">
        <f>K26/E5</f>
        <v>77.738113178252163</v>
      </c>
      <c r="L30" s="28"/>
      <c r="M30" s="50"/>
    </row>
    <row r="31" spans="1:13" ht="15.75" x14ac:dyDescent="0.25">
      <c r="A31" s="28"/>
      <c r="B31" s="28"/>
      <c r="C31" s="28"/>
      <c r="D31" s="28"/>
      <c r="E31" s="28"/>
      <c r="F31" s="28"/>
      <c r="G31" s="28"/>
      <c r="H31" s="53" t="s">
        <v>156</v>
      </c>
      <c r="I31" s="54"/>
      <c r="J31" s="54"/>
      <c r="K31" s="55">
        <f>(K30-$E$4)/$E$4</f>
        <v>1.3882676859678087</v>
      </c>
      <c r="L31" s="28"/>
      <c r="M31" s="50"/>
    </row>
    <row r="32" spans="1:13" ht="15.75" x14ac:dyDescent="0.25">
      <c r="A32" s="28"/>
      <c r="B32" s="28"/>
      <c r="C32" s="28"/>
      <c r="D32" s="28"/>
      <c r="E32" s="28"/>
      <c r="F32" s="28"/>
      <c r="G32" s="28"/>
      <c r="H32" s="28"/>
      <c r="I32" s="56"/>
      <c r="J32" s="50"/>
      <c r="K32" s="50"/>
      <c r="L32" s="50"/>
      <c r="M32" s="50"/>
    </row>
  </sheetData>
  <mergeCells count="1">
    <mergeCell ref="E2:F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1D85-C625-4377-9A32-445582302C29}">
  <dimension ref="A1:AB70"/>
  <sheetViews>
    <sheetView zoomScale="60" workbookViewId="0">
      <selection activeCell="B8" sqref="B8"/>
    </sheetView>
  </sheetViews>
  <sheetFormatPr defaultRowHeight="15" x14ac:dyDescent="0.25"/>
  <cols>
    <col min="1" max="1" width="2.5703125" customWidth="1"/>
    <col min="2" max="2" width="21" bestFit="1" customWidth="1"/>
    <col min="3" max="3" width="15.85546875" bestFit="1" customWidth="1"/>
    <col min="4" max="4" width="15.140625" bestFit="1" customWidth="1"/>
    <col min="5" max="5" width="16.28515625" bestFit="1" customWidth="1"/>
    <col min="6" max="6" width="13.140625" bestFit="1" customWidth="1"/>
    <col min="7" max="8" width="11.5703125" bestFit="1" customWidth="1"/>
    <col min="9" max="9" width="10.28515625" bestFit="1" customWidth="1"/>
    <col min="10" max="10" width="8.85546875" bestFit="1" customWidth="1"/>
    <col min="11" max="11" width="12.7109375" bestFit="1" customWidth="1"/>
    <col min="12" max="17" width="11.5703125" bestFit="1" customWidth="1"/>
    <col min="18" max="20" width="9.85546875" bestFit="1" customWidth="1"/>
    <col min="21" max="22" width="10.42578125" bestFit="1" customWidth="1"/>
    <col min="23" max="25" width="8.42578125" bestFit="1" customWidth="1"/>
  </cols>
  <sheetData>
    <row r="1" spans="1:28" ht="15.75" x14ac:dyDescent="0.25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  <c r="AA1" s="30"/>
      <c r="AB1" s="30"/>
    </row>
    <row r="2" spans="1:28" ht="18.75" x14ac:dyDescent="0.3">
      <c r="A2" s="29"/>
      <c r="B2" s="249" t="s">
        <v>313</v>
      </c>
      <c r="C2" s="249"/>
      <c r="D2" s="249"/>
      <c r="E2" s="249"/>
      <c r="F2" s="249"/>
      <c r="G2" s="249"/>
      <c r="H2" s="249"/>
      <c r="I2" s="249"/>
      <c r="J2" s="249"/>
      <c r="K2" s="249"/>
      <c r="L2" s="249"/>
      <c r="M2" s="249"/>
      <c r="N2" s="146"/>
      <c r="O2" s="146"/>
      <c r="P2" s="146"/>
      <c r="Q2" s="146"/>
      <c r="R2" s="146"/>
      <c r="S2" s="146"/>
      <c r="T2" s="146"/>
      <c r="U2" s="31"/>
      <c r="V2" s="29"/>
      <c r="W2" s="29"/>
      <c r="X2" s="29"/>
      <c r="Y2" s="29"/>
      <c r="Z2" s="30"/>
      <c r="AA2" s="30"/>
      <c r="AB2" s="30"/>
    </row>
    <row r="3" spans="1:28" ht="15.75" x14ac:dyDescent="0.25">
      <c r="A3" s="29"/>
      <c r="B3" s="250" t="s">
        <v>314</v>
      </c>
      <c r="C3" s="250"/>
      <c r="D3" s="250"/>
      <c r="E3" s="250"/>
      <c r="F3" s="250"/>
      <c r="G3" s="250"/>
      <c r="H3" s="250"/>
      <c r="I3" s="213"/>
      <c r="J3" s="213"/>
      <c r="K3" s="213"/>
      <c r="L3" s="213"/>
      <c r="M3" s="213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30"/>
      <c r="AA3" s="30"/>
      <c r="AB3" s="30"/>
    </row>
    <row r="4" spans="1:28" ht="15.75" x14ac:dyDescent="0.25">
      <c r="A4" s="29"/>
      <c r="B4" s="147"/>
      <c r="C4" s="29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29"/>
      <c r="V4" s="29"/>
      <c r="W4" s="29"/>
      <c r="X4" s="29"/>
      <c r="Y4" s="29"/>
      <c r="Z4" s="30"/>
      <c r="AA4" s="30"/>
      <c r="AB4" s="30"/>
    </row>
    <row r="5" spans="1:28" ht="15.75" x14ac:dyDescent="0.25">
      <c r="A5" s="29"/>
      <c r="B5" s="148" t="s">
        <v>315</v>
      </c>
      <c r="C5" s="149"/>
      <c r="D5" s="149"/>
      <c r="E5" s="149"/>
      <c r="F5" s="150" t="s">
        <v>316</v>
      </c>
      <c r="G5" s="150"/>
      <c r="H5" s="150"/>
      <c r="I5" s="150"/>
      <c r="J5" s="150"/>
      <c r="K5" s="151"/>
      <c r="L5" s="152"/>
      <c r="M5" s="152"/>
      <c r="N5" s="152"/>
      <c r="O5" s="152"/>
      <c r="P5" s="152"/>
      <c r="Q5" s="152"/>
      <c r="R5" s="152"/>
      <c r="S5" s="152"/>
      <c r="T5" s="152"/>
      <c r="U5" s="153" t="s">
        <v>317</v>
      </c>
      <c r="V5" s="153" t="s">
        <v>317</v>
      </c>
      <c r="W5" s="150"/>
      <c r="X5" s="150"/>
      <c r="Y5" s="154"/>
      <c r="Z5" s="30"/>
      <c r="AA5" s="30"/>
      <c r="AB5" s="30"/>
    </row>
    <row r="6" spans="1:28" ht="15.75" x14ac:dyDescent="0.25">
      <c r="A6" s="29"/>
      <c r="B6" s="152"/>
      <c r="C6" s="152"/>
      <c r="D6" s="153" t="s">
        <v>318</v>
      </c>
      <c r="E6" s="153" t="s">
        <v>319</v>
      </c>
      <c r="F6" s="153" t="s">
        <v>320</v>
      </c>
      <c r="G6" s="153"/>
      <c r="H6" s="153"/>
      <c r="I6" s="153" t="s">
        <v>321</v>
      </c>
      <c r="J6" s="153" t="s">
        <v>322</v>
      </c>
      <c r="K6" s="153" t="s">
        <v>323</v>
      </c>
      <c r="L6" s="150" t="s">
        <v>324</v>
      </c>
      <c r="M6" s="150"/>
      <c r="N6" s="150"/>
      <c r="O6" s="150" t="s">
        <v>210</v>
      </c>
      <c r="P6" s="150"/>
      <c r="Q6" s="150"/>
      <c r="R6" s="150" t="s">
        <v>325</v>
      </c>
      <c r="S6" s="150"/>
      <c r="T6" s="150"/>
      <c r="U6" s="153" t="s">
        <v>324</v>
      </c>
      <c r="V6" s="153" t="s">
        <v>210</v>
      </c>
      <c r="W6" s="150" t="s">
        <v>326</v>
      </c>
      <c r="X6" s="150"/>
      <c r="Y6" s="150"/>
      <c r="Z6" s="30"/>
      <c r="AA6" s="30"/>
      <c r="AB6" s="30"/>
    </row>
    <row r="7" spans="1:28" ht="15.75" x14ac:dyDescent="0.25">
      <c r="A7" s="29"/>
      <c r="B7" s="155" t="s">
        <v>327</v>
      </c>
      <c r="C7" s="155" t="s">
        <v>328</v>
      </c>
      <c r="D7" s="156" t="s">
        <v>329</v>
      </c>
      <c r="E7" s="156" t="s">
        <v>330</v>
      </c>
      <c r="F7" s="156" t="s">
        <v>331</v>
      </c>
      <c r="G7" s="156" t="s">
        <v>332</v>
      </c>
      <c r="H7" s="156" t="s">
        <v>333</v>
      </c>
      <c r="I7" s="156" t="s">
        <v>334</v>
      </c>
      <c r="J7" s="156" t="s">
        <v>335</v>
      </c>
      <c r="K7" s="156" t="s">
        <v>331</v>
      </c>
      <c r="L7" s="157" t="s">
        <v>336</v>
      </c>
      <c r="M7" s="158">
        <f>EOMONTH(Hist_Year,12)</f>
        <v>397</v>
      </c>
      <c r="N7" s="158">
        <f>EOMONTH(M7,12)</f>
        <v>762</v>
      </c>
      <c r="O7" s="157" t="str">
        <f>$L$7</f>
        <v>LTM</v>
      </c>
      <c r="P7" s="158">
        <f>+$M$7</f>
        <v>397</v>
      </c>
      <c r="Q7" s="158">
        <f>+$N$7</f>
        <v>762</v>
      </c>
      <c r="R7" s="157" t="str">
        <f>$L$7</f>
        <v>LTM</v>
      </c>
      <c r="S7" s="158">
        <f>+$M$7</f>
        <v>397</v>
      </c>
      <c r="T7" s="158">
        <f>+$N$7</f>
        <v>762</v>
      </c>
      <c r="U7" s="156" t="s">
        <v>337</v>
      </c>
      <c r="V7" s="156" t="s">
        <v>337</v>
      </c>
      <c r="W7" s="157" t="str">
        <f>$L$7</f>
        <v>LTM</v>
      </c>
      <c r="X7" s="158">
        <f>+$M$7</f>
        <v>397</v>
      </c>
      <c r="Y7" s="158">
        <f>+$N$7</f>
        <v>762</v>
      </c>
      <c r="Z7" s="30"/>
      <c r="AA7" s="30"/>
      <c r="AB7" s="30"/>
    </row>
    <row r="8" spans="1:28" ht="15.75" x14ac:dyDescent="0.25">
      <c r="A8" s="29"/>
      <c r="B8" s="214" t="s">
        <v>349</v>
      </c>
      <c r="C8" s="214"/>
      <c r="D8" s="217">
        <v>12.59</v>
      </c>
      <c r="E8" s="215">
        <v>417.38</v>
      </c>
      <c r="F8" s="159">
        <f t="shared" ref="F8:F11" si="0">+D8*E8</f>
        <v>5254.8141999999998</v>
      </c>
      <c r="G8" s="216">
        <v>329</v>
      </c>
      <c r="H8" s="216">
        <v>2050</v>
      </c>
      <c r="I8" s="216"/>
      <c r="J8" s="216"/>
      <c r="K8" s="159">
        <f t="shared" ref="K8:K11" si="1">+F8+G8+H8+I8+J8</f>
        <v>7633.8141999999998</v>
      </c>
      <c r="L8" s="216">
        <v>3940</v>
      </c>
      <c r="M8" s="216">
        <v>4111.6000000000004</v>
      </c>
      <c r="N8" s="216">
        <v>4343.7</v>
      </c>
      <c r="O8" s="216">
        <v>1140</v>
      </c>
      <c r="P8" s="216">
        <v>1569.4</v>
      </c>
      <c r="Q8" s="216">
        <v>1704.8</v>
      </c>
      <c r="R8" s="216">
        <v>439.82</v>
      </c>
      <c r="S8" s="216">
        <v>412.2</v>
      </c>
      <c r="T8" s="216">
        <v>500.5</v>
      </c>
      <c r="U8" s="160">
        <f t="shared" ref="U8:U11" si="2">IFERROR(+N8/M8-1,"N/A")</f>
        <v>5.6450043778577541E-2</v>
      </c>
      <c r="V8" s="160">
        <f>IFERROR(+Q8/P8-1,"N/A")</f>
        <v>8.6275009557792659E-2</v>
      </c>
      <c r="W8" s="160">
        <f>O8/L8</f>
        <v>0.28934010152284262</v>
      </c>
      <c r="X8" s="160">
        <f t="shared" ref="W8:Y11" si="3">P8/M8</f>
        <v>0.38170055452865065</v>
      </c>
      <c r="Y8" s="160">
        <f t="shared" si="3"/>
        <v>0.39247646016069249</v>
      </c>
      <c r="Z8" s="30"/>
      <c r="AA8" s="30"/>
      <c r="AB8" s="30"/>
    </row>
    <row r="9" spans="1:28" ht="15.75" x14ac:dyDescent="0.25">
      <c r="A9" s="29"/>
      <c r="B9" s="214" t="s">
        <v>347</v>
      </c>
      <c r="C9" s="214"/>
      <c r="D9" s="217">
        <v>86.84</v>
      </c>
      <c r="E9" s="215">
        <v>65.47</v>
      </c>
      <c r="F9" s="161">
        <f t="shared" si="0"/>
        <v>5685.4148000000005</v>
      </c>
      <c r="G9" s="217">
        <v>88.75</v>
      </c>
      <c r="H9" s="217">
        <v>351.03</v>
      </c>
      <c r="I9" s="215"/>
      <c r="J9" s="215"/>
      <c r="K9" s="218">
        <f t="shared" si="1"/>
        <v>6125.1948000000002</v>
      </c>
      <c r="L9" s="217">
        <v>429</v>
      </c>
      <c r="M9" s="217">
        <v>446.6</v>
      </c>
      <c r="N9" s="217">
        <v>483.6</v>
      </c>
      <c r="O9" s="217">
        <v>302.27999999999997</v>
      </c>
      <c r="P9" s="217">
        <v>321.10000000000002</v>
      </c>
      <c r="Q9" s="217">
        <v>361.5</v>
      </c>
      <c r="R9" s="217">
        <v>129.04</v>
      </c>
      <c r="S9" s="217">
        <v>99.3</v>
      </c>
      <c r="T9" s="217">
        <v>135.69999999999999</v>
      </c>
      <c r="U9" s="160">
        <f t="shared" si="2"/>
        <v>8.2848186296462067E-2</v>
      </c>
      <c r="V9" s="160">
        <f>IFERROR(+Q9/P9-1,"N/A")</f>
        <v>0.12581750233572087</v>
      </c>
      <c r="W9" s="160">
        <f t="shared" si="3"/>
        <v>0.70461538461538453</v>
      </c>
      <c r="X9" s="160">
        <f>P9/M9</f>
        <v>0.71898790864308104</v>
      </c>
      <c r="Y9" s="160">
        <f t="shared" si="3"/>
        <v>0.7475186104218362</v>
      </c>
      <c r="Z9" s="30"/>
      <c r="AA9" s="30"/>
      <c r="AB9" s="30"/>
    </row>
    <row r="10" spans="1:28" ht="15.75" x14ac:dyDescent="0.25">
      <c r="A10" s="29"/>
      <c r="B10" s="214" t="s">
        <v>348</v>
      </c>
      <c r="C10" s="214"/>
      <c r="D10" s="217">
        <v>12.81</v>
      </c>
      <c r="E10" s="215">
        <v>1170</v>
      </c>
      <c r="F10" s="161">
        <f t="shared" si="0"/>
        <v>14987.7</v>
      </c>
      <c r="G10" s="217">
        <v>1570</v>
      </c>
      <c r="H10" s="217">
        <v>5740</v>
      </c>
      <c r="I10" s="215"/>
      <c r="J10" s="215"/>
      <c r="K10" s="218">
        <f>+F10+G10+H10+I10+J10</f>
        <v>22297.7</v>
      </c>
      <c r="L10" s="217">
        <v>7240</v>
      </c>
      <c r="M10" s="217">
        <v>8388.1</v>
      </c>
      <c r="N10" s="217">
        <v>8351.5</v>
      </c>
      <c r="O10" s="217">
        <v>3050</v>
      </c>
      <c r="P10" s="217">
        <v>3422.7</v>
      </c>
      <c r="Q10" s="217">
        <v>3597.3</v>
      </c>
      <c r="R10" s="217">
        <v>731.15</v>
      </c>
      <c r="S10" s="217">
        <v>691.6</v>
      </c>
      <c r="T10" s="217">
        <v>817.9</v>
      </c>
      <c r="U10" s="160">
        <f t="shared" si="2"/>
        <v>-4.363324233139898E-3</v>
      </c>
      <c r="V10" s="160">
        <f t="shared" ref="V9:V11" si="4">IFERROR(+Q10/P10-1,"N/A")</f>
        <v>5.1012358664212609E-2</v>
      </c>
      <c r="W10" s="160">
        <f t="shared" si="3"/>
        <v>0.42127071823204421</v>
      </c>
      <c r="X10" s="160">
        <f t="shared" si="3"/>
        <v>0.40804234570403308</v>
      </c>
      <c r="Y10" s="160">
        <f t="shared" si="3"/>
        <v>0.43073699335448723</v>
      </c>
      <c r="Z10" s="30"/>
      <c r="AA10" s="30"/>
      <c r="AB10" s="30"/>
    </row>
    <row r="11" spans="1:28" ht="15.75" x14ac:dyDescent="0.25">
      <c r="A11" s="29"/>
      <c r="B11" s="214" t="s">
        <v>350</v>
      </c>
      <c r="C11" s="214"/>
      <c r="D11" s="217">
        <v>17.670000000000002</v>
      </c>
      <c r="E11" s="215">
        <v>770.33</v>
      </c>
      <c r="F11" s="161">
        <f t="shared" si="0"/>
        <v>13611.731100000003</v>
      </c>
      <c r="G11" s="217">
        <v>953</v>
      </c>
      <c r="H11" s="217">
        <v>1990</v>
      </c>
      <c r="I11" s="215"/>
      <c r="J11" s="215"/>
      <c r="K11" s="218">
        <f t="shared" si="1"/>
        <v>16554.731100000005</v>
      </c>
      <c r="L11" s="217">
        <v>3580</v>
      </c>
      <c r="M11" s="217">
        <v>3747.2</v>
      </c>
      <c r="N11" s="217">
        <v>4079.7</v>
      </c>
      <c r="O11" s="217">
        <v>1530</v>
      </c>
      <c r="P11" s="217">
        <v>1679.5</v>
      </c>
      <c r="Q11" s="217">
        <v>1898.1</v>
      </c>
      <c r="R11" s="217">
        <v>681.46</v>
      </c>
      <c r="S11" s="217">
        <v>568.20000000000005</v>
      </c>
      <c r="T11" s="217">
        <v>706.9</v>
      </c>
      <c r="U11" s="160">
        <f t="shared" si="2"/>
        <v>8.873292058070037E-2</v>
      </c>
      <c r="V11" s="160">
        <f t="shared" si="4"/>
        <v>0.13015778505507591</v>
      </c>
      <c r="W11" s="160">
        <f t="shared" si="3"/>
        <v>0.42737430167597767</v>
      </c>
      <c r="X11" s="160">
        <f t="shared" si="3"/>
        <v>0.44820132365499576</v>
      </c>
      <c r="Y11" s="160">
        <f t="shared" si="3"/>
        <v>0.46525479814692255</v>
      </c>
      <c r="Z11" s="30"/>
      <c r="AA11" s="30"/>
      <c r="AB11" s="30"/>
    </row>
    <row r="12" spans="1:28" s="225" customFormat="1" ht="15.75" x14ac:dyDescent="0.25">
      <c r="A12" s="169"/>
      <c r="B12" s="169"/>
      <c r="C12" s="169"/>
      <c r="D12" s="220"/>
      <c r="E12" s="221"/>
      <c r="F12" s="222"/>
      <c r="G12" s="221"/>
      <c r="H12" s="221"/>
      <c r="I12" s="221"/>
      <c r="J12" s="221"/>
      <c r="K12" s="222"/>
      <c r="L12" s="221"/>
      <c r="M12" s="221"/>
      <c r="N12" s="221"/>
      <c r="O12" s="221"/>
      <c r="P12" s="221"/>
      <c r="Q12" s="221"/>
      <c r="R12" s="221"/>
      <c r="S12" s="221"/>
      <c r="T12" s="221"/>
      <c r="U12" s="223"/>
      <c r="V12" s="223"/>
      <c r="W12" s="223"/>
      <c r="X12" s="223"/>
      <c r="Y12" s="223"/>
      <c r="Z12" s="224"/>
      <c r="AA12" s="224"/>
      <c r="AB12" s="224"/>
    </row>
    <row r="13" spans="1:28" s="225" customFormat="1" ht="15.75" x14ac:dyDescent="0.25">
      <c r="A13" s="169"/>
      <c r="B13" s="169"/>
      <c r="C13" s="169"/>
      <c r="D13" s="220"/>
      <c r="E13" s="221"/>
      <c r="F13" s="222"/>
      <c r="G13" s="221"/>
      <c r="H13" s="221"/>
      <c r="I13" s="221"/>
      <c r="J13" s="221"/>
      <c r="K13" s="222"/>
      <c r="L13" s="221"/>
      <c r="M13" s="221"/>
      <c r="N13" s="221"/>
      <c r="O13" s="221"/>
      <c r="P13" s="221"/>
      <c r="Q13" s="221"/>
      <c r="R13" s="221"/>
      <c r="S13" s="221"/>
      <c r="T13" s="221"/>
      <c r="U13" s="223"/>
      <c r="V13" s="223"/>
      <c r="W13" s="223"/>
      <c r="X13" s="223"/>
      <c r="Y13" s="223"/>
      <c r="Z13" s="224"/>
      <c r="AA13" s="224"/>
      <c r="AB13" s="224"/>
    </row>
    <row r="14" spans="1:28" ht="15.75" x14ac:dyDescent="0.25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30"/>
      <c r="AA14" s="30"/>
      <c r="AB14" s="30"/>
    </row>
    <row r="15" spans="1:28" ht="15.75" x14ac:dyDescent="0.25">
      <c r="A15" s="29"/>
      <c r="B15" s="162" t="s">
        <v>338</v>
      </c>
      <c r="C15" s="163"/>
      <c r="D15" s="164">
        <f>MAX(D8:D13)</f>
        <v>86.84</v>
      </c>
      <c r="E15" s="164"/>
      <c r="F15" s="165">
        <f t="shared" ref="F15:Y15" si="5">MAX(F8:F13)</f>
        <v>14987.7</v>
      </c>
      <c r="G15" s="165"/>
      <c r="H15" s="165"/>
      <c r="I15" s="165"/>
      <c r="J15" s="165"/>
      <c r="K15" s="165">
        <f>MAX(K8:K13)</f>
        <v>22297.7</v>
      </c>
      <c r="L15" s="165">
        <f t="shared" si="5"/>
        <v>7240</v>
      </c>
      <c r="M15" s="165">
        <f t="shared" si="5"/>
        <v>8388.1</v>
      </c>
      <c r="N15" s="165">
        <f t="shared" si="5"/>
        <v>8351.5</v>
      </c>
      <c r="O15" s="165">
        <f t="shared" si="5"/>
        <v>3050</v>
      </c>
      <c r="P15" s="165">
        <f t="shared" si="5"/>
        <v>3422.7</v>
      </c>
      <c r="Q15" s="165">
        <f t="shared" si="5"/>
        <v>3597.3</v>
      </c>
      <c r="R15" s="165">
        <f t="shared" si="5"/>
        <v>731.15</v>
      </c>
      <c r="S15" s="165">
        <f t="shared" si="5"/>
        <v>691.6</v>
      </c>
      <c r="T15" s="165">
        <f t="shared" si="5"/>
        <v>817.9</v>
      </c>
      <c r="U15" s="166">
        <f t="shared" si="5"/>
        <v>8.873292058070037E-2</v>
      </c>
      <c r="V15" s="166">
        <f t="shared" si="5"/>
        <v>0.13015778505507591</v>
      </c>
      <c r="W15" s="166">
        <f t="shared" si="5"/>
        <v>0.70461538461538453</v>
      </c>
      <c r="X15" s="166">
        <f t="shared" si="5"/>
        <v>0.71898790864308104</v>
      </c>
      <c r="Y15" s="167">
        <f t="shared" si="5"/>
        <v>0.7475186104218362</v>
      </c>
      <c r="Z15" s="30"/>
      <c r="AA15" s="30"/>
      <c r="AB15" s="30"/>
    </row>
    <row r="16" spans="1:28" ht="15.75" x14ac:dyDescent="0.25">
      <c r="A16" s="29"/>
      <c r="B16" s="168" t="s">
        <v>339</v>
      </c>
      <c r="C16" s="169"/>
      <c r="D16" s="170">
        <f>QUARTILE(D8:D13,3)</f>
        <v>34.962500000000006</v>
      </c>
      <c r="E16" s="170"/>
      <c r="F16" s="171">
        <f t="shared" ref="F16:Y16" si="6">QUARTILE(F8:F13,3)</f>
        <v>13955.723325000003</v>
      </c>
      <c r="G16" s="171"/>
      <c r="H16" s="171"/>
      <c r="I16" s="171"/>
      <c r="J16" s="171"/>
      <c r="K16" s="171">
        <f t="shared" si="6"/>
        <v>17990.473325000003</v>
      </c>
      <c r="L16" s="171">
        <f t="shared" si="6"/>
        <v>4765</v>
      </c>
      <c r="M16" s="171">
        <f t="shared" si="6"/>
        <v>5180.7250000000004</v>
      </c>
      <c r="N16" s="171">
        <f t="shared" si="6"/>
        <v>5345.65</v>
      </c>
      <c r="O16" s="171">
        <f t="shared" si="6"/>
        <v>1910</v>
      </c>
      <c r="P16" s="171">
        <f t="shared" si="6"/>
        <v>2115.3000000000002</v>
      </c>
      <c r="Q16" s="171">
        <f t="shared" si="6"/>
        <v>2322.9</v>
      </c>
      <c r="R16" s="171">
        <f t="shared" si="6"/>
        <v>693.88250000000005</v>
      </c>
      <c r="S16" s="171">
        <f t="shared" si="6"/>
        <v>599.05000000000007</v>
      </c>
      <c r="T16" s="171">
        <f>QUARTILE(T8:T13,3)</f>
        <v>734.65</v>
      </c>
      <c r="U16" s="160">
        <f t="shared" si="6"/>
        <v>8.4319369867521643E-2</v>
      </c>
      <c r="V16" s="160">
        <f t="shared" si="6"/>
        <v>0.12690257301555963</v>
      </c>
      <c r="W16" s="160">
        <f t="shared" si="6"/>
        <v>0.49668457241082942</v>
      </c>
      <c r="X16" s="160">
        <f t="shared" si="6"/>
        <v>0.51589796990201708</v>
      </c>
      <c r="Y16" s="172">
        <f t="shared" si="6"/>
        <v>0.53582075121565098</v>
      </c>
      <c r="Z16" s="30"/>
      <c r="AA16" s="30"/>
      <c r="AB16" s="30"/>
    </row>
    <row r="17" spans="1:28" ht="15.75" x14ac:dyDescent="0.25">
      <c r="A17" s="29"/>
      <c r="B17" s="173" t="s">
        <v>340</v>
      </c>
      <c r="C17" s="174"/>
      <c r="D17" s="175">
        <f>MEDIAN(D8:D13)</f>
        <v>15.240000000000002</v>
      </c>
      <c r="E17" s="175"/>
      <c r="F17" s="176">
        <f t="shared" ref="F17:Y17" si="7">MEDIAN(F8:F13)</f>
        <v>9648.5729500000016</v>
      </c>
      <c r="G17" s="176"/>
      <c r="H17" s="176"/>
      <c r="I17" s="176"/>
      <c r="J17" s="176"/>
      <c r="K17" s="176">
        <f t="shared" si="7"/>
        <v>12094.272650000003</v>
      </c>
      <c r="L17" s="176">
        <f t="shared" si="7"/>
        <v>3760</v>
      </c>
      <c r="M17" s="176">
        <f t="shared" si="7"/>
        <v>3929.4</v>
      </c>
      <c r="N17" s="176">
        <f t="shared" si="7"/>
        <v>4211.7</v>
      </c>
      <c r="O17" s="176">
        <f t="shared" si="7"/>
        <v>1335</v>
      </c>
      <c r="P17" s="176">
        <f t="shared" si="7"/>
        <v>1624.45</v>
      </c>
      <c r="Q17" s="176">
        <f t="shared" si="7"/>
        <v>1801.4499999999998</v>
      </c>
      <c r="R17" s="176">
        <f t="shared" si="7"/>
        <v>560.64</v>
      </c>
      <c r="S17" s="176">
        <f t="shared" si="7"/>
        <v>490.20000000000005</v>
      </c>
      <c r="T17" s="176">
        <f t="shared" si="7"/>
        <v>603.70000000000005</v>
      </c>
      <c r="U17" s="177">
        <f t="shared" si="7"/>
        <v>6.9649115037519804E-2</v>
      </c>
      <c r="V17" s="177">
        <f t="shared" si="7"/>
        <v>0.10604625594675676</v>
      </c>
      <c r="W17" s="177">
        <f t="shared" si="7"/>
        <v>0.42432250995401094</v>
      </c>
      <c r="X17" s="177">
        <f>MEDIAN(X8:X13)</f>
        <v>0.42812183467951442</v>
      </c>
      <c r="Y17" s="178">
        <f t="shared" si="7"/>
        <v>0.44799589575070486</v>
      </c>
      <c r="Z17" s="30"/>
      <c r="AA17" s="30"/>
      <c r="AB17" s="30"/>
    </row>
    <row r="18" spans="1:28" ht="15.75" x14ac:dyDescent="0.25">
      <c r="A18" s="29"/>
      <c r="B18" s="168" t="s">
        <v>341</v>
      </c>
      <c r="C18" s="179"/>
      <c r="D18" s="170">
        <f>QUARTILE(D8:D13,1)</f>
        <v>12.755000000000001</v>
      </c>
      <c r="E18" s="170"/>
      <c r="F18" s="171">
        <f t="shared" ref="F18:Y18" si="8">QUARTILE(F8:F13,1)</f>
        <v>5577.7646500000001</v>
      </c>
      <c r="G18" s="171"/>
      <c r="H18" s="171"/>
      <c r="I18" s="171"/>
      <c r="J18" s="171"/>
      <c r="K18" s="171">
        <f t="shared" si="8"/>
        <v>7256.6593499999999</v>
      </c>
      <c r="L18" s="171">
        <f t="shared" si="8"/>
        <v>2792.25</v>
      </c>
      <c r="M18" s="171">
        <f t="shared" si="8"/>
        <v>2922.0499999999997</v>
      </c>
      <c r="N18" s="171">
        <f t="shared" si="8"/>
        <v>3180.6749999999997</v>
      </c>
      <c r="O18" s="171">
        <f t="shared" si="8"/>
        <v>930.56999999999994</v>
      </c>
      <c r="P18" s="171">
        <f t="shared" si="8"/>
        <v>1257.3250000000003</v>
      </c>
      <c r="Q18" s="171">
        <f t="shared" si="8"/>
        <v>1368.9749999999999</v>
      </c>
      <c r="R18" s="171">
        <f t="shared" si="8"/>
        <v>362.125</v>
      </c>
      <c r="S18" s="171">
        <f t="shared" si="8"/>
        <v>333.97499999999997</v>
      </c>
      <c r="T18" s="171">
        <f t="shared" si="8"/>
        <v>409.3</v>
      </c>
      <c r="U18" s="160">
        <f t="shared" si="8"/>
        <v>4.1246701775648181E-2</v>
      </c>
      <c r="V18" s="160">
        <f t="shared" si="8"/>
        <v>7.7459346834397647E-2</v>
      </c>
      <c r="W18" s="160">
        <f t="shared" si="8"/>
        <v>0.38828806405474381</v>
      </c>
      <c r="X18" s="160">
        <f t="shared" si="8"/>
        <v>0.40145689791018746</v>
      </c>
      <c r="Y18" s="172">
        <f t="shared" si="8"/>
        <v>0.42117186005603857</v>
      </c>
      <c r="Z18" s="30"/>
      <c r="AA18" s="30"/>
      <c r="AB18" s="30"/>
    </row>
    <row r="19" spans="1:28" ht="15.75" x14ac:dyDescent="0.25">
      <c r="A19" s="29"/>
      <c r="B19" s="180" t="s">
        <v>342</v>
      </c>
      <c r="C19" s="181"/>
      <c r="D19" s="182">
        <f>MIN(D8:D13)</f>
        <v>12.59</v>
      </c>
      <c r="E19" s="182"/>
      <c r="F19" s="183">
        <f t="shared" ref="F19:Y19" si="9">MIN(F8:F13)</f>
        <v>5254.8141999999998</v>
      </c>
      <c r="G19" s="183"/>
      <c r="H19" s="183"/>
      <c r="I19" s="183"/>
      <c r="J19" s="183"/>
      <c r="K19" s="183">
        <f t="shared" si="9"/>
        <v>6125.1948000000002</v>
      </c>
      <c r="L19" s="183">
        <f t="shared" si="9"/>
        <v>429</v>
      </c>
      <c r="M19" s="183">
        <f t="shared" si="9"/>
        <v>446.6</v>
      </c>
      <c r="N19" s="183">
        <f t="shared" si="9"/>
        <v>483.6</v>
      </c>
      <c r="O19" s="183">
        <f t="shared" si="9"/>
        <v>302.27999999999997</v>
      </c>
      <c r="P19" s="183">
        <f t="shared" si="9"/>
        <v>321.10000000000002</v>
      </c>
      <c r="Q19" s="183">
        <f t="shared" si="9"/>
        <v>361.5</v>
      </c>
      <c r="R19" s="183">
        <f t="shared" si="9"/>
        <v>129.04</v>
      </c>
      <c r="S19" s="183">
        <f t="shared" si="9"/>
        <v>99.3</v>
      </c>
      <c r="T19" s="183">
        <f t="shared" si="9"/>
        <v>135.69999999999999</v>
      </c>
      <c r="U19" s="184">
        <f t="shared" si="9"/>
        <v>-4.363324233139898E-3</v>
      </c>
      <c r="V19" s="184">
        <f t="shared" si="9"/>
        <v>5.1012358664212609E-2</v>
      </c>
      <c r="W19" s="184">
        <f t="shared" si="9"/>
        <v>0.28934010152284262</v>
      </c>
      <c r="X19" s="184">
        <f t="shared" si="9"/>
        <v>0.38170055452865065</v>
      </c>
      <c r="Y19" s="185">
        <f t="shared" si="9"/>
        <v>0.39247646016069249</v>
      </c>
      <c r="Z19" s="30"/>
      <c r="AA19" s="30"/>
      <c r="AB19" s="30"/>
    </row>
    <row r="20" spans="1:28" ht="15.75" x14ac:dyDescent="0.25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30"/>
      <c r="AA20" s="30"/>
      <c r="AB20" s="30"/>
    </row>
    <row r="21" spans="1:28" ht="15.75" x14ac:dyDescent="0.25">
      <c r="A21" s="29"/>
      <c r="B21" s="186" t="s">
        <v>157</v>
      </c>
      <c r="C21" s="187" t="s">
        <v>158</v>
      </c>
      <c r="D21" s="188">
        <f>DCF!E4</f>
        <v>32.549999999999997</v>
      </c>
      <c r="E21" s="189">
        <v>535</v>
      </c>
      <c r="F21" s="190">
        <f>E21*D21</f>
        <v>17414.25</v>
      </c>
      <c r="G21" s="190">
        <v>3400</v>
      </c>
      <c r="H21" s="190">
        <v>4040</v>
      </c>
      <c r="I21" s="190">
        <f>+[1]DCF!F27</f>
        <v>0</v>
      </c>
      <c r="J21" s="190">
        <f>+[1]DCF!F28+[1]DCF!F29+[1]DCF!F30+[1]DCF!F31</f>
        <v>0</v>
      </c>
      <c r="K21" s="218">
        <f t="shared" ref="K21" si="10">+F21+G21+H21+I21+J21</f>
        <v>24854.25</v>
      </c>
      <c r="L21" s="219">
        <f>('Free Cash Flow Projection'!H6)/1000</f>
        <v>7253</v>
      </c>
      <c r="M21" s="219">
        <v>8440</v>
      </c>
      <c r="N21" s="219">
        <v>8705.7000000000007</v>
      </c>
      <c r="O21" s="219">
        <f>('Free Cash Flow Projection'!H12)/1000</f>
        <v>2315</v>
      </c>
      <c r="P21" s="219">
        <v>3065.8</v>
      </c>
      <c r="Q21" s="219">
        <v>3289.3</v>
      </c>
      <c r="R21" s="219">
        <v>756.33</v>
      </c>
      <c r="S21" s="219">
        <v>708.1</v>
      </c>
      <c r="T21" s="219">
        <v>862.2</v>
      </c>
      <c r="U21" s="191">
        <f>IFERROR(+N21/M21-1,"N/A")</f>
        <v>3.1481042654028624E-2</v>
      </c>
      <c r="V21" s="191">
        <f>IFERROR(+Q21/P21-1,"N/A")</f>
        <v>7.2901037249657463E-2</v>
      </c>
      <c r="W21" s="191">
        <f>O21/L21</f>
        <v>0.31917827106025093</v>
      </c>
      <c r="X21" s="191">
        <f>P21/M21</f>
        <v>0.36324644549763035</v>
      </c>
      <c r="Y21" s="191">
        <f>Q21/N21</f>
        <v>0.37783291406779468</v>
      </c>
      <c r="Z21" s="30"/>
      <c r="AA21" s="30"/>
      <c r="AB21" s="30"/>
    </row>
    <row r="22" spans="1:28" ht="15.75" x14ac:dyDescent="0.25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  <c r="AA22" s="30"/>
      <c r="AB22" s="30"/>
    </row>
    <row r="23" spans="1:28" ht="15.75" x14ac:dyDescent="0.25">
      <c r="A23" s="29"/>
      <c r="B23" s="149" t="s">
        <v>343</v>
      </c>
      <c r="C23" s="149"/>
      <c r="D23" s="192"/>
      <c r="E23" s="192"/>
      <c r="F23" s="150" t="s">
        <v>344</v>
      </c>
      <c r="G23" s="150"/>
      <c r="H23" s="150"/>
      <c r="I23" s="150"/>
      <c r="J23" s="150"/>
      <c r="K23" s="151"/>
      <c r="L23" s="150" t="s">
        <v>345</v>
      </c>
      <c r="M23" s="151"/>
      <c r="N23" s="151"/>
      <c r="O23" s="150" t="s">
        <v>345</v>
      </c>
      <c r="P23" s="151"/>
      <c r="Q23" s="151"/>
      <c r="R23" s="193"/>
      <c r="S23" s="193"/>
      <c r="T23" s="193"/>
      <c r="U23" s="29"/>
      <c r="V23" s="29"/>
      <c r="W23" s="29"/>
      <c r="X23" s="29"/>
      <c r="Y23" s="29"/>
      <c r="Z23" s="30"/>
      <c r="AA23" s="30"/>
      <c r="AB23" s="30"/>
    </row>
    <row r="24" spans="1:28" ht="15.75" x14ac:dyDescent="0.25">
      <c r="A24" s="29"/>
      <c r="B24" s="152"/>
      <c r="C24" s="152"/>
      <c r="D24" s="153"/>
      <c r="E24" s="153"/>
      <c r="F24" s="153" t="s">
        <v>320</v>
      </c>
      <c r="G24" s="153"/>
      <c r="H24" s="153"/>
      <c r="I24" s="153"/>
      <c r="J24" s="153"/>
      <c r="K24" s="153" t="s">
        <v>323</v>
      </c>
      <c r="L24" s="150" t="s">
        <v>324</v>
      </c>
      <c r="M24" s="151"/>
      <c r="N24" s="151"/>
      <c r="O24" s="150" t="s">
        <v>210</v>
      </c>
      <c r="P24" s="154"/>
      <c r="Q24" s="154"/>
      <c r="R24" s="150" t="s">
        <v>346</v>
      </c>
      <c r="S24" s="150"/>
      <c r="T24" s="150"/>
      <c r="U24" s="50"/>
      <c r="V24" s="50"/>
      <c r="W24" s="50"/>
      <c r="X24" s="50"/>
      <c r="Y24" s="29"/>
      <c r="Z24" s="30"/>
      <c r="AA24" s="30"/>
      <c r="AB24" s="30"/>
    </row>
    <row r="25" spans="1:28" ht="15.75" x14ac:dyDescent="0.25">
      <c r="A25" s="29"/>
      <c r="B25" s="155" t="s">
        <v>327</v>
      </c>
      <c r="C25" s="155"/>
      <c r="D25" s="156"/>
      <c r="E25" s="156"/>
      <c r="F25" s="156" t="s">
        <v>331</v>
      </c>
      <c r="G25" s="156"/>
      <c r="H25" s="156"/>
      <c r="I25" s="156"/>
      <c r="J25" s="156"/>
      <c r="K25" s="156" t="s">
        <v>331</v>
      </c>
      <c r="L25" s="157" t="str">
        <f>$L$7</f>
        <v>LTM</v>
      </c>
      <c r="M25" s="158">
        <f>+$M$7</f>
        <v>397</v>
      </c>
      <c r="N25" s="158">
        <f>+$N$7</f>
        <v>762</v>
      </c>
      <c r="O25" s="157" t="str">
        <f>$L$7</f>
        <v>LTM</v>
      </c>
      <c r="P25" s="158">
        <f>+$M$7</f>
        <v>397</v>
      </c>
      <c r="Q25" s="158">
        <f>+$N$7</f>
        <v>762</v>
      </c>
      <c r="R25" s="157" t="str">
        <f>$L$7</f>
        <v>LTM</v>
      </c>
      <c r="S25" s="158">
        <f>+$M$7</f>
        <v>397</v>
      </c>
      <c r="T25" s="158">
        <f>+$N$7</f>
        <v>762</v>
      </c>
      <c r="U25" s="194"/>
      <c r="V25" s="194"/>
      <c r="W25" s="194"/>
      <c r="X25" s="194"/>
      <c r="Y25" s="29"/>
      <c r="Z25" s="30"/>
      <c r="AA25" s="30"/>
      <c r="AB25" s="30"/>
    </row>
    <row r="26" spans="1:28" ht="15.75" x14ac:dyDescent="0.25">
      <c r="A26" s="29"/>
      <c r="B26" s="29" t="str">
        <f>+B8</f>
        <v>AngloGold Ashanti</v>
      </c>
      <c r="C26" s="29"/>
      <c r="D26" s="195"/>
      <c r="E26" s="196"/>
      <c r="F26" s="218">
        <f t="shared" ref="F26:F29" si="11">+F8</f>
        <v>5254.8141999999998</v>
      </c>
      <c r="G26" s="197"/>
      <c r="H26" s="197"/>
      <c r="I26" s="197"/>
      <c r="J26" s="197"/>
      <c r="K26" s="218">
        <f t="shared" ref="K26:K29" si="12">+K8</f>
        <v>7633.8141999999998</v>
      </c>
      <c r="L26" s="198">
        <f t="shared" ref="L26:Q29" si="13">IFERROR(IF(OR(+$K8/L8&lt;0,+$K8/L8&gt;=100),"NM",+$K8/L8),"N/A")</f>
        <v>1.9375162944162436</v>
      </c>
      <c r="M26" s="198">
        <f t="shared" si="13"/>
        <v>1.8566529331647046</v>
      </c>
      <c r="N26" s="198">
        <f t="shared" si="13"/>
        <v>1.7574450813822318</v>
      </c>
      <c r="O26" s="198">
        <f t="shared" si="13"/>
        <v>6.6963282456140352</v>
      </c>
      <c r="P26" s="198">
        <f t="shared" si="13"/>
        <v>4.8641609532305337</v>
      </c>
      <c r="Q26" s="198">
        <f t="shared" si="13"/>
        <v>4.4778356405443454</v>
      </c>
      <c r="R26" s="198">
        <f t="shared" ref="R26:T29" si="14">IFERROR(IF(OR(+$F8/R8&lt;0,+$F8/R8&gt;=100),"NM",+$F8/R8),"N/A")</f>
        <v>11.947647219316993</v>
      </c>
      <c r="S26" s="198">
        <f t="shared" si="14"/>
        <v>12.748214944201843</v>
      </c>
      <c r="T26" s="198">
        <f t="shared" si="14"/>
        <v>10.49912927072927</v>
      </c>
      <c r="U26" s="29"/>
      <c r="V26" s="29"/>
      <c r="W26" s="29"/>
      <c r="X26" s="29"/>
      <c r="Y26" s="29"/>
      <c r="Z26" s="30"/>
      <c r="AA26" s="30"/>
      <c r="AB26" s="30"/>
    </row>
    <row r="27" spans="1:28" ht="15.75" x14ac:dyDescent="0.25">
      <c r="A27" s="29"/>
      <c r="B27" s="29" t="str">
        <f t="shared" ref="B27:B29" si="15">+B9</f>
        <v>Royal Gold</v>
      </c>
      <c r="C27" s="29"/>
      <c r="D27" s="199"/>
      <c r="E27" s="196"/>
      <c r="F27" s="218">
        <f t="shared" si="11"/>
        <v>5685.4148000000005</v>
      </c>
      <c r="G27" s="196"/>
      <c r="H27" s="196"/>
      <c r="I27" s="196"/>
      <c r="J27" s="196"/>
      <c r="K27" s="218">
        <f t="shared" si="12"/>
        <v>6125.1948000000002</v>
      </c>
      <c r="L27" s="198">
        <f t="shared" si="13"/>
        <v>14.277843356643357</v>
      </c>
      <c r="M27" s="198">
        <f t="shared" si="13"/>
        <v>13.715169726824898</v>
      </c>
      <c r="N27" s="198">
        <f t="shared" si="13"/>
        <v>12.665828784119107</v>
      </c>
      <c r="O27" s="198">
        <f t="shared" si="13"/>
        <v>20.263314807463281</v>
      </c>
      <c r="P27" s="198">
        <f t="shared" si="13"/>
        <v>19.075661164746183</v>
      </c>
      <c r="Q27" s="198">
        <f t="shared" si="13"/>
        <v>16.943830705394191</v>
      </c>
      <c r="R27" s="198">
        <f t="shared" si="14"/>
        <v>44.059321140731562</v>
      </c>
      <c r="S27" s="198">
        <f t="shared" si="14"/>
        <v>57.25493252769386</v>
      </c>
      <c r="T27" s="198">
        <f t="shared" si="14"/>
        <v>41.89694030950627</v>
      </c>
      <c r="U27" s="29"/>
      <c r="V27" s="29"/>
      <c r="W27" s="29"/>
      <c r="X27" s="29"/>
      <c r="Y27" s="29"/>
      <c r="Z27" s="30"/>
      <c r="AA27" s="30"/>
      <c r="AB27" s="30"/>
    </row>
    <row r="28" spans="1:28" ht="15.75" x14ac:dyDescent="0.25">
      <c r="A28" s="29"/>
      <c r="B28" s="29" t="str">
        <f t="shared" si="15"/>
        <v>Barrick Gold</v>
      </c>
      <c r="C28" s="29"/>
      <c r="D28" s="199"/>
      <c r="E28" s="196"/>
      <c r="F28" s="218">
        <f t="shared" si="11"/>
        <v>14987.7</v>
      </c>
      <c r="G28" s="196"/>
      <c r="H28" s="196"/>
      <c r="I28" s="196"/>
      <c r="J28" s="196"/>
      <c r="K28" s="218">
        <f t="shared" si="12"/>
        <v>22297.7</v>
      </c>
      <c r="L28" s="198">
        <f t="shared" si="13"/>
        <v>3.0797928176795581</v>
      </c>
      <c r="M28" s="198">
        <f t="shared" si="13"/>
        <v>2.6582539550076896</v>
      </c>
      <c r="N28" s="198">
        <f t="shared" si="13"/>
        <v>2.6699036101299169</v>
      </c>
      <c r="O28" s="198">
        <f t="shared" si="13"/>
        <v>7.3107213114754099</v>
      </c>
      <c r="P28" s="198">
        <f t="shared" si="13"/>
        <v>6.5146521751833353</v>
      </c>
      <c r="Q28" s="198">
        <f t="shared" si="13"/>
        <v>6.1984543963528198</v>
      </c>
      <c r="R28" s="198">
        <f t="shared" si="14"/>
        <v>20.498803255146004</v>
      </c>
      <c r="S28" s="198">
        <f t="shared" si="14"/>
        <v>21.671052631578949</v>
      </c>
      <c r="T28" s="198">
        <f t="shared" si="14"/>
        <v>18.324611810734812</v>
      </c>
      <c r="U28" s="29"/>
      <c r="V28" s="29"/>
      <c r="W28" s="29"/>
      <c r="X28" s="29"/>
      <c r="Y28" s="29"/>
      <c r="Z28" s="30"/>
      <c r="AA28" s="30"/>
      <c r="AB28" s="30"/>
    </row>
    <row r="29" spans="1:28" ht="15.75" x14ac:dyDescent="0.25">
      <c r="A29" s="29"/>
      <c r="B29" s="29" t="str">
        <f t="shared" si="15"/>
        <v>Newcrest Mining</v>
      </c>
      <c r="C29" s="29"/>
      <c r="D29" s="199"/>
      <c r="E29" s="196"/>
      <c r="F29" s="218">
        <f t="shared" si="11"/>
        <v>13611.731100000003</v>
      </c>
      <c r="G29" s="196"/>
      <c r="H29" s="196"/>
      <c r="I29" s="196"/>
      <c r="J29" s="196"/>
      <c r="K29" s="218">
        <f t="shared" si="12"/>
        <v>16554.731100000005</v>
      </c>
      <c r="L29" s="198">
        <f t="shared" si="13"/>
        <v>4.6242265642458111</v>
      </c>
      <c r="M29" s="198">
        <f t="shared" si="13"/>
        <v>4.4178936539282683</v>
      </c>
      <c r="N29" s="198">
        <f t="shared" si="13"/>
        <v>4.0578305022428136</v>
      </c>
      <c r="O29" s="198">
        <f t="shared" si="13"/>
        <v>10.820085686274513</v>
      </c>
      <c r="P29" s="198">
        <f t="shared" si="13"/>
        <v>9.8569402203036649</v>
      </c>
      <c r="Q29" s="198">
        <f t="shared" si="13"/>
        <v>8.7217381065275834</v>
      </c>
      <c r="R29" s="198">
        <f t="shared" si="14"/>
        <v>19.974365479998831</v>
      </c>
      <c r="S29" s="198">
        <f t="shared" si="14"/>
        <v>23.955880147835273</v>
      </c>
      <c r="T29" s="198">
        <f t="shared" si="14"/>
        <v>19.255525675484513</v>
      </c>
      <c r="U29" s="29"/>
      <c r="V29" s="29"/>
      <c r="W29" s="29"/>
      <c r="X29" s="29"/>
      <c r="Y29" s="29"/>
      <c r="Z29" s="30"/>
      <c r="AA29" s="30"/>
      <c r="AB29" s="30"/>
    </row>
    <row r="30" spans="1:28" ht="15.75" x14ac:dyDescent="0.25">
      <c r="A30" s="29"/>
      <c r="B30" s="29"/>
      <c r="C30" s="29"/>
      <c r="D30" s="199"/>
      <c r="E30" s="196"/>
      <c r="F30" s="161"/>
      <c r="G30" s="196"/>
      <c r="H30" s="196"/>
      <c r="I30" s="196"/>
      <c r="J30" s="196"/>
      <c r="K30" s="161"/>
      <c r="L30" s="198"/>
      <c r="M30" s="198"/>
      <c r="N30" s="198"/>
      <c r="O30" s="198"/>
      <c r="P30" s="198"/>
      <c r="Q30" s="198"/>
      <c r="R30" s="198"/>
      <c r="S30" s="198"/>
      <c r="T30" s="198"/>
      <c r="U30" s="29"/>
      <c r="V30" s="29"/>
      <c r="W30" s="29"/>
      <c r="X30" s="29"/>
      <c r="Y30" s="29"/>
      <c r="Z30" s="30"/>
      <c r="AA30" s="30"/>
      <c r="AB30" s="30"/>
    </row>
    <row r="31" spans="1:28" ht="15.75" x14ac:dyDescent="0.25">
      <c r="A31" s="29"/>
      <c r="B31" s="29"/>
      <c r="C31" s="29"/>
      <c r="D31" s="199"/>
      <c r="E31" s="196"/>
      <c r="F31" s="161"/>
      <c r="G31" s="196"/>
      <c r="H31" s="196"/>
      <c r="I31" s="196"/>
      <c r="J31" s="196"/>
      <c r="K31" s="161"/>
      <c r="L31" s="198"/>
      <c r="M31" s="198"/>
      <c r="N31" s="198"/>
      <c r="O31" s="198"/>
      <c r="P31" s="198"/>
      <c r="Q31" s="198"/>
      <c r="R31" s="198"/>
      <c r="S31" s="198"/>
      <c r="T31" s="198"/>
      <c r="U31" s="29"/>
      <c r="V31" s="29"/>
      <c r="W31" s="29"/>
      <c r="X31" s="29"/>
      <c r="Y31" s="29"/>
      <c r="Z31" s="30"/>
      <c r="AA31" s="30"/>
      <c r="AB31" s="30"/>
    </row>
    <row r="32" spans="1:28" ht="15.75" x14ac:dyDescent="0.25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30"/>
      <c r="AA32" s="30"/>
      <c r="AB32" s="30"/>
    </row>
    <row r="33" spans="1:28" ht="15.75" x14ac:dyDescent="0.25">
      <c r="A33" s="29"/>
      <c r="B33" s="162" t="s">
        <v>338</v>
      </c>
      <c r="C33" s="163"/>
      <c r="D33" s="164"/>
      <c r="E33" s="164"/>
      <c r="F33" s="290">
        <f>MAX(F26:F31)</f>
        <v>14987.7</v>
      </c>
      <c r="G33" s="165"/>
      <c r="H33" s="165"/>
      <c r="I33" s="165"/>
      <c r="J33" s="165"/>
      <c r="K33" s="290">
        <f t="shared" ref="K33:T33" si="16">MAX(K26:K31)</f>
        <v>22297.7</v>
      </c>
      <c r="L33" s="200">
        <f t="shared" si="16"/>
        <v>14.277843356643357</v>
      </c>
      <c r="M33" s="200">
        <f t="shared" si="16"/>
        <v>13.715169726824898</v>
      </c>
      <c r="N33" s="200">
        <f t="shared" si="16"/>
        <v>12.665828784119107</v>
      </c>
      <c r="O33" s="200">
        <f t="shared" si="16"/>
        <v>20.263314807463281</v>
      </c>
      <c r="P33" s="200">
        <f t="shared" si="16"/>
        <v>19.075661164746183</v>
      </c>
      <c r="Q33" s="200">
        <f t="shared" si="16"/>
        <v>16.943830705394191</v>
      </c>
      <c r="R33" s="200">
        <f t="shared" si="16"/>
        <v>44.059321140731562</v>
      </c>
      <c r="S33" s="200">
        <f t="shared" si="16"/>
        <v>57.25493252769386</v>
      </c>
      <c r="T33" s="201">
        <f t="shared" si="16"/>
        <v>41.89694030950627</v>
      </c>
      <c r="U33" s="29"/>
      <c r="V33" s="29"/>
      <c r="W33" s="29"/>
      <c r="X33" s="29"/>
      <c r="Y33" s="29"/>
      <c r="Z33" s="30"/>
      <c r="AA33" s="30"/>
      <c r="AB33" s="30"/>
    </row>
    <row r="34" spans="1:28" ht="15.75" x14ac:dyDescent="0.25">
      <c r="A34" s="29"/>
      <c r="B34" s="168" t="s">
        <v>339</v>
      </c>
      <c r="C34" s="169"/>
      <c r="D34" s="170"/>
      <c r="E34" s="170"/>
      <c r="F34" s="218">
        <f>QUARTILE(F26:F31,3)</f>
        <v>13955.723325000003</v>
      </c>
      <c r="G34" s="171"/>
      <c r="H34" s="171"/>
      <c r="I34" s="171"/>
      <c r="J34" s="171"/>
      <c r="K34" s="218">
        <f t="shared" ref="K34:T34" si="17">QUARTILE(K26:K31,3)</f>
        <v>17990.473325000003</v>
      </c>
      <c r="L34" s="198">
        <f t="shared" si="17"/>
        <v>7.0376307623451977</v>
      </c>
      <c r="M34" s="198">
        <f t="shared" si="17"/>
        <v>6.7422126721524256</v>
      </c>
      <c r="N34" s="198">
        <f t="shared" si="17"/>
        <v>6.2098300727118865</v>
      </c>
      <c r="O34" s="198">
        <f t="shared" si="17"/>
        <v>13.180892966571705</v>
      </c>
      <c r="P34" s="198">
        <f t="shared" si="17"/>
        <v>12.161620456414294</v>
      </c>
      <c r="Q34" s="198">
        <f t="shared" si="17"/>
        <v>10.777261256244236</v>
      </c>
      <c r="R34" s="198">
        <f t="shared" si="17"/>
        <v>26.388932726542393</v>
      </c>
      <c r="S34" s="198">
        <f t="shared" si="17"/>
        <v>32.280643242799918</v>
      </c>
      <c r="T34" s="202">
        <f t="shared" si="17"/>
        <v>24.915879333989952</v>
      </c>
      <c r="U34" s="29"/>
      <c r="V34" s="29"/>
      <c r="W34" s="29"/>
      <c r="X34" s="29"/>
      <c r="Y34" s="29"/>
      <c r="Z34" s="30"/>
      <c r="AA34" s="30"/>
      <c r="AB34" s="30"/>
    </row>
    <row r="35" spans="1:28" ht="15.75" x14ac:dyDescent="0.25">
      <c r="A35" s="29"/>
      <c r="B35" s="173" t="s">
        <v>340</v>
      </c>
      <c r="C35" s="174"/>
      <c r="D35" s="175"/>
      <c r="E35" s="175"/>
      <c r="F35" s="291">
        <f>MEDIAN(F26:F31)</f>
        <v>9648.5729500000016</v>
      </c>
      <c r="G35" s="176"/>
      <c r="H35" s="176"/>
      <c r="I35" s="176"/>
      <c r="J35" s="176"/>
      <c r="K35" s="291">
        <f t="shared" ref="K35:T35" si="18">MEDIAN(K26:K31)</f>
        <v>12094.272650000003</v>
      </c>
      <c r="L35" s="203">
        <f t="shared" si="18"/>
        <v>3.8520096909626846</v>
      </c>
      <c r="M35" s="203">
        <f t="shared" si="18"/>
        <v>3.5380738044679791</v>
      </c>
      <c r="N35" s="203">
        <f t="shared" si="18"/>
        <v>3.3638670561863653</v>
      </c>
      <c r="O35" s="203">
        <f t="shared" si="18"/>
        <v>9.0654034988749608</v>
      </c>
      <c r="P35" s="203">
        <f t="shared" si="18"/>
        <v>8.1857961977434996</v>
      </c>
      <c r="Q35" s="203">
        <f t="shared" si="18"/>
        <v>7.4600962514402021</v>
      </c>
      <c r="R35" s="203">
        <f t="shared" si="18"/>
        <v>20.236584367572419</v>
      </c>
      <c r="S35" s="203">
        <f t="shared" si="18"/>
        <v>22.813466389707109</v>
      </c>
      <c r="T35" s="204">
        <f t="shared" si="18"/>
        <v>18.790068743109664</v>
      </c>
      <c r="U35" s="29"/>
      <c r="V35" s="29"/>
      <c r="W35" s="29"/>
      <c r="X35" s="29"/>
      <c r="Y35" s="29"/>
      <c r="Z35" s="30"/>
      <c r="AA35" s="30"/>
      <c r="AB35" s="30"/>
    </row>
    <row r="36" spans="1:28" ht="15.75" x14ac:dyDescent="0.25">
      <c r="A36" s="29"/>
      <c r="B36" s="168" t="s">
        <v>341</v>
      </c>
      <c r="C36" s="179"/>
      <c r="D36" s="170"/>
      <c r="E36" s="170"/>
      <c r="F36" s="218">
        <f>QUARTILE(F26:F31,1)</f>
        <v>5577.7646500000001</v>
      </c>
      <c r="G36" s="171"/>
      <c r="H36" s="171"/>
      <c r="I36" s="171"/>
      <c r="J36" s="171"/>
      <c r="K36" s="218">
        <f t="shared" ref="K36:T36" si="19">QUARTILE(K26:K31,1)</f>
        <v>7256.6593499999999</v>
      </c>
      <c r="L36" s="198">
        <f t="shared" si="19"/>
        <v>2.7942236868637296</v>
      </c>
      <c r="M36" s="198">
        <f t="shared" si="19"/>
        <v>2.4578536995469431</v>
      </c>
      <c r="N36" s="198">
        <f t="shared" si="19"/>
        <v>2.4417889779429958</v>
      </c>
      <c r="O36" s="198">
        <f t="shared" si="19"/>
        <v>7.1571230450100662</v>
      </c>
      <c r="P36" s="198">
        <f t="shared" si="19"/>
        <v>6.1020293696951349</v>
      </c>
      <c r="Q36" s="198">
        <f t="shared" si="19"/>
        <v>5.7682997074007014</v>
      </c>
      <c r="R36" s="198">
        <f t="shared" si="19"/>
        <v>17.967685914828373</v>
      </c>
      <c r="S36" s="198">
        <f t="shared" si="19"/>
        <v>19.440343209734671</v>
      </c>
      <c r="T36" s="202">
        <f t="shared" si="19"/>
        <v>16.368241175733427</v>
      </c>
      <c r="U36" s="29"/>
      <c r="V36" s="29"/>
      <c r="W36" s="29"/>
      <c r="X36" s="29"/>
      <c r="Y36" s="29"/>
      <c r="Z36" s="30"/>
      <c r="AA36" s="30"/>
      <c r="AB36" s="30"/>
    </row>
    <row r="37" spans="1:28" ht="15.75" x14ac:dyDescent="0.25">
      <c r="A37" s="29"/>
      <c r="B37" s="180" t="s">
        <v>342</v>
      </c>
      <c r="C37" s="181"/>
      <c r="D37" s="182"/>
      <c r="E37" s="182"/>
      <c r="F37" s="292">
        <f>MIN(F26:F31)</f>
        <v>5254.8141999999998</v>
      </c>
      <c r="G37" s="183"/>
      <c r="H37" s="183"/>
      <c r="I37" s="183"/>
      <c r="J37" s="183"/>
      <c r="K37" s="292">
        <f t="shared" ref="K37:T37" si="20">MIN(K26:K31)</f>
        <v>6125.1948000000002</v>
      </c>
      <c r="L37" s="205">
        <f t="shared" si="20"/>
        <v>1.9375162944162436</v>
      </c>
      <c r="M37" s="205">
        <f t="shared" si="20"/>
        <v>1.8566529331647046</v>
      </c>
      <c r="N37" s="205">
        <f t="shared" si="20"/>
        <v>1.7574450813822318</v>
      </c>
      <c r="O37" s="205">
        <f t="shared" si="20"/>
        <v>6.6963282456140352</v>
      </c>
      <c r="P37" s="205">
        <f t="shared" si="20"/>
        <v>4.8641609532305337</v>
      </c>
      <c r="Q37" s="205">
        <f t="shared" si="20"/>
        <v>4.4778356405443454</v>
      </c>
      <c r="R37" s="205">
        <f t="shared" si="20"/>
        <v>11.947647219316993</v>
      </c>
      <c r="S37" s="205">
        <f t="shared" si="20"/>
        <v>12.748214944201843</v>
      </c>
      <c r="T37" s="206">
        <f t="shared" si="20"/>
        <v>10.49912927072927</v>
      </c>
      <c r="U37" s="29"/>
      <c r="V37" s="29"/>
      <c r="W37" s="29"/>
      <c r="X37" s="29"/>
      <c r="Y37" s="29"/>
      <c r="Z37" s="30"/>
      <c r="AA37" s="30"/>
      <c r="AB37" s="30"/>
    </row>
    <row r="38" spans="1:28" ht="15.75" x14ac:dyDescent="0.25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0"/>
      <c r="AA38" s="30"/>
      <c r="AB38" s="30"/>
    </row>
    <row r="39" spans="1:28" ht="15.75" x14ac:dyDescent="0.25">
      <c r="A39" s="29"/>
      <c r="B39" s="186" t="s">
        <v>157</v>
      </c>
      <c r="C39" s="187"/>
      <c r="D39" s="188"/>
      <c r="E39" s="188"/>
      <c r="F39" s="207">
        <f>+F21</f>
        <v>17414.25</v>
      </c>
      <c r="G39" s="207"/>
      <c r="H39" s="207"/>
      <c r="I39" s="207"/>
      <c r="J39" s="207"/>
      <c r="K39" s="207">
        <f>+K21</f>
        <v>24854.25</v>
      </c>
      <c r="L39" s="208">
        <f t="shared" ref="L39:Q39" si="21">IFERROR(IF(OR(+$K21/L21&lt;0,+$K21/L21&gt;=100),"NM",+$K21/L21),"N/A")</f>
        <v>3.4267544464359574</v>
      </c>
      <c r="M39" s="208">
        <f t="shared" si="21"/>
        <v>2.9448163507109006</v>
      </c>
      <c r="N39" s="209">
        <f t="shared" si="21"/>
        <v>2.8549398669837003</v>
      </c>
      <c r="O39" s="210">
        <f t="shared" si="21"/>
        <v>10.736177105831533</v>
      </c>
      <c r="P39" s="210">
        <f t="shared" si="21"/>
        <v>8.1069378302563759</v>
      </c>
      <c r="Q39" s="210">
        <f t="shared" si="21"/>
        <v>7.5560909616027718</v>
      </c>
      <c r="R39" s="210">
        <f>IFERROR(IF(OR(+$F21/R21&lt;0,+$F21/R21&gt;=100),"NM",+$F21/R21),"N/A")</f>
        <v>23.024671770259012</v>
      </c>
      <c r="S39" s="210">
        <f>IFERROR(IF(OR(+$F21/S21&lt;0,+$F21/S21&gt;=100),"NM",+$F21/S21),"N/A")</f>
        <v>24.592924728145743</v>
      </c>
      <c r="T39" s="210">
        <f>IFERROR(IF(OR(+$F21/T21&lt;0,+$F21/T21&gt;=100),"NM",+$F21/T21),"N/A")</f>
        <v>20.197459986082116</v>
      </c>
      <c r="U39" s="29"/>
      <c r="V39" s="29"/>
      <c r="W39" s="29"/>
      <c r="X39" s="29"/>
      <c r="Y39" s="29"/>
      <c r="Z39" s="30"/>
      <c r="AA39" s="30"/>
      <c r="AB39" s="30"/>
    </row>
    <row r="40" spans="1:28" ht="15.75" x14ac:dyDescent="0.25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11"/>
      <c r="S40" s="29"/>
      <c r="T40" s="29"/>
      <c r="U40" s="29"/>
      <c r="V40" s="29"/>
      <c r="W40" s="29"/>
      <c r="X40" s="29"/>
      <c r="Y40" s="29"/>
      <c r="Z40" s="30"/>
      <c r="AA40" s="30"/>
      <c r="AB40" s="30"/>
    </row>
    <row r="41" spans="1:28" ht="15.75" x14ac:dyDescent="0.25">
      <c r="A41" s="29"/>
      <c r="B41" s="225"/>
      <c r="C41" s="225"/>
      <c r="D41" s="225"/>
      <c r="E41" s="225"/>
      <c r="F41" s="225"/>
      <c r="G41" s="225"/>
      <c r="H41" s="225"/>
      <c r="I41" s="225"/>
      <c r="J41" s="225"/>
      <c r="K41" s="16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30"/>
      <c r="AA41" s="30"/>
      <c r="AB41" s="30"/>
    </row>
    <row r="42" spans="1:28" ht="18.75" x14ac:dyDescent="0.3">
      <c r="A42" s="30"/>
      <c r="B42" s="225"/>
      <c r="C42" s="244"/>
      <c r="D42" s="244"/>
      <c r="E42" s="244"/>
      <c r="F42" s="244"/>
      <c r="G42" s="229"/>
      <c r="H42" s="229"/>
      <c r="I42" s="229"/>
      <c r="J42" s="225"/>
      <c r="K42" s="224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ht="18.75" x14ac:dyDescent="0.3">
      <c r="A43" s="30"/>
      <c r="B43" s="225"/>
      <c r="C43" s="244"/>
      <c r="D43" s="244"/>
      <c r="E43" s="244"/>
      <c r="F43" s="244"/>
      <c r="G43" s="244"/>
      <c r="H43" s="229"/>
      <c r="I43" s="229"/>
      <c r="J43" s="225"/>
      <c r="K43" s="224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ht="15.75" x14ac:dyDescent="0.25">
      <c r="A44" s="30"/>
      <c r="B44" s="225"/>
      <c r="C44" s="227"/>
      <c r="D44" s="227"/>
      <c r="E44" s="227"/>
      <c r="F44" s="227"/>
      <c r="G44" s="227"/>
      <c r="H44" s="227"/>
      <c r="I44" s="227"/>
      <c r="J44" s="225"/>
      <c r="K44" s="224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ht="15.75" x14ac:dyDescent="0.25">
      <c r="A45" s="30"/>
      <c r="B45" s="225"/>
      <c r="C45" s="225"/>
      <c r="D45" s="225"/>
      <c r="E45" s="225"/>
      <c r="F45" s="225"/>
      <c r="G45" s="225"/>
      <c r="H45" s="225"/>
      <c r="I45" s="225"/>
      <c r="J45" s="225"/>
      <c r="K45" s="224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ht="15.75" x14ac:dyDescent="0.25">
      <c r="A46" s="30"/>
      <c r="B46" s="225"/>
      <c r="C46" s="251"/>
      <c r="D46" s="251"/>
      <c r="E46" s="230"/>
      <c r="F46" s="231"/>
      <c r="G46" s="231"/>
      <c r="H46" s="231"/>
      <c r="I46" s="232"/>
      <c r="J46" s="232"/>
      <c r="K46" s="224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ht="15.75" x14ac:dyDescent="0.25">
      <c r="B47" s="225"/>
      <c r="C47" s="230"/>
      <c r="D47" s="230"/>
      <c r="E47" s="230"/>
      <c r="F47" s="231"/>
      <c r="G47" s="231"/>
      <c r="H47" s="231"/>
      <c r="I47" s="231"/>
      <c r="J47" s="231"/>
      <c r="K47" s="225"/>
    </row>
    <row r="48" spans="1:28" ht="15.75" x14ac:dyDescent="0.25">
      <c r="B48" s="225"/>
      <c r="C48" s="233"/>
      <c r="D48" s="233"/>
      <c r="E48" s="231"/>
      <c r="F48" s="231"/>
      <c r="G48" s="231"/>
      <c r="H48" s="231"/>
      <c r="I48" s="231"/>
      <c r="J48" s="231"/>
      <c r="K48" s="225"/>
    </row>
    <row r="49" spans="2:11" ht="15.75" x14ac:dyDescent="0.25">
      <c r="B49" s="225"/>
      <c r="C49" s="231"/>
      <c r="D49" s="231"/>
      <c r="E49" s="231"/>
      <c r="F49" s="231"/>
      <c r="G49" s="231"/>
      <c r="H49" s="231"/>
      <c r="I49" s="231"/>
      <c r="J49" s="231"/>
      <c r="K49" s="225"/>
    </row>
    <row r="50" spans="2:11" ht="15.75" x14ac:dyDescent="0.25">
      <c r="B50" s="225"/>
      <c r="C50" s="224"/>
      <c r="D50" s="234"/>
      <c r="E50" s="226"/>
      <c r="F50" s="235"/>
      <c r="G50" s="235"/>
      <c r="H50" s="235"/>
      <c r="I50" s="236"/>
      <c r="J50" s="236"/>
      <c r="K50" s="225"/>
    </row>
    <row r="51" spans="2:11" ht="15.75" x14ac:dyDescent="0.25">
      <c r="B51" s="225"/>
      <c r="C51" s="224"/>
      <c r="D51" s="234"/>
      <c r="E51" s="226"/>
      <c r="F51" s="237"/>
      <c r="G51" s="237"/>
      <c r="H51" s="237"/>
      <c r="I51" s="236"/>
      <c r="J51" s="236"/>
      <c r="K51" s="225"/>
    </row>
    <row r="52" spans="2:11" ht="15.75" x14ac:dyDescent="0.25">
      <c r="B52" s="225"/>
      <c r="C52" s="224"/>
      <c r="D52" s="234"/>
      <c r="E52" s="226"/>
      <c r="F52" s="237"/>
      <c r="G52" s="237"/>
      <c r="H52" s="237"/>
      <c r="I52" s="236"/>
      <c r="J52" s="236"/>
      <c r="K52" s="225"/>
    </row>
    <row r="53" spans="2:11" ht="15.75" x14ac:dyDescent="0.25">
      <c r="B53" s="225"/>
      <c r="C53" s="224"/>
      <c r="D53" s="234"/>
      <c r="E53" s="226"/>
      <c r="F53" s="237"/>
      <c r="G53" s="237"/>
      <c r="H53" s="237"/>
      <c r="I53" s="236"/>
      <c r="J53" s="236"/>
      <c r="K53" s="225"/>
    </row>
    <row r="54" spans="2:11" ht="15.75" x14ac:dyDescent="0.25">
      <c r="B54" s="225"/>
      <c r="C54" s="224"/>
      <c r="D54" s="234"/>
      <c r="E54" s="226"/>
      <c r="F54" s="237"/>
      <c r="G54" s="237"/>
      <c r="H54" s="237"/>
      <c r="I54" s="236"/>
      <c r="J54" s="236"/>
      <c r="K54" s="225"/>
    </row>
    <row r="55" spans="2:11" ht="15.75" x14ac:dyDescent="0.25">
      <c r="B55" s="225"/>
      <c r="C55" s="224"/>
      <c r="D55" s="234"/>
      <c r="E55" s="226"/>
      <c r="F55" s="237"/>
      <c r="G55" s="237"/>
      <c r="H55" s="237"/>
      <c r="I55" s="236"/>
      <c r="J55" s="236"/>
      <c r="K55" s="225"/>
    </row>
    <row r="56" spans="2:11" ht="15.75" x14ac:dyDescent="0.25">
      <c r="B56" s="225"/>
      <c r="C56" s="224"/>
      <c r="D56" s="234"/>
      <c r="E56" s="226"/>
      <c r="F56" s="237"/>
      <c r="G56" s="237"/>
      <c r="H56" s="238"/>
      <c r="I56" s="236"/>
      <c r="J56" s="236"/>
      <c r="K56" s="225"/>
    </row>
    <row r="57" spans="2:11" ht="15.75" x14ac:dyDescent="0.25">
      <c r="B57" s="225"/>
      <c r="C57" s="224"/>
      <c r="D57" s="234"/>
      <c r="E57" s="226"/>
      <c r="F57" s="237"/>
      <c r="G57" s="237"/>
      <c r="H57" s="237"/>
      <c r="I57" s="236"/>
      <c r="J57" s="236"/>
      <c r="K57" s="225"/>
    </row>
    <row r="58" spans="2:11" ht="15.75" x14ac:dyDescent="0.25">
      <c r="B58" s="225"/>
      <c r="C58" s="224"/>
      <c r="D58" s="234"/>
      <c r="E58" s="226"/>
      <c r="F58" s="237"/>
      <c r="G58" s="237"/>
      <c r="H58" s="237"/>
      <c r="I58" s="236"/>
      <c r="J58" s="236"/>
      <c r="K58" s="225"/>
    </row>
    <row r="59" spans="2:11" ht="15.75" x14ac:dyDescent="0.25">
      <c r="B59" s="225"/>
      <c r="C59" s="224"/>
      <c r="D59" s="234"/>
      <c r="E59" s="226"/>
      <c r="F59" s="237"/>
      <c r="G59" s="237"/>
      <c r="H59" s="237"/>
      <c r="I59" s="236"/>
      <c r="J59" s="236"/>
      <c r="K59" s="225"/>
    </row>
    <row r="60" spans="2:11" ht="15.75" x14ac:dyDescent="0.25">
      <c r="B60" s="225"/>
      <c r="C60" s="224"/>
      <c r="D60" s="234"/>
      <c r="E60" s="226"/>
      <c r="F60" s="237"/>
      <c r="G60" s="237"/>
      <c r="H60" s="237"/>
      <c r="I60" s="236"/>
      <c r="J60" s="236"/>
      <c r="K60" s="225"/>
    </row>
    <row r="61" spans="2:11" x14ac:dyDescent="0.25">
      <c r="B61" s="225"/>
      <c r="C61" s="225"/>
      <c r="D61" s="225"/>
      <c r="E61" s="225"/>
      <c r="F61" s="239"/>
      <c r="G61" s="225"/>
      <c r="H61" s="225"/>
      <c r="I61" s="225"/>
      <c r="J61" s="225"/>
      <c r="K61" s="225"/>
    </row>
    <row r="62" spans="2:11" ht="15.75" x14ac:dyDescent="0.25">
      <c r="B62" s="225"/>
      <c r="C62" s="225"/>
      <c r="D62" s="227"/>
      <c r="E62" s="212"/>
      <c r="F62" s="228"/>
      <c r="G62" s="228"/>
      <c r="H62" s="228"/>
      <c r="I62" s="228"/>
      <c r="J62" s="228"/>
      <c r="K62" s="225"/>
    </row>
    <row r="63" spans="2:11" ht="15.75" x14ac:dyDescent="0.25">
      <c r="B63" s="225"/>
      <c r="C63" s="225"/>
      <c r="D63" s="227"/>
      <c r="E63" s="212"/>
      <c r="F63" s="240"/>
      <c r="G63" s="240"/>
      <c r="H63" s="240"/>
      <c r="I63" s="240"/>
      <c r="J63" s="240"/>
      <c r="K63" s="225"/>
    </row>
    <row r="64" spans="2:11" ht="15.75" x14ac:dyDescent="0.25">
      <c r="B64" s="225"/>
      <c r="C64" s="225"/>
      <c r="D64" s="241"/>
      <c r="E64" s="242"/>
      <c r="F64" s="243"/>
      <c r="G64" s="243"/>
      <c r="H64" s="243"/>
      <c r="I64" s="243"/>
      <c r="J64" s="243"/>
      <c r="K64" s="225"/>
    </row>
    <row r="65" spans="2:11" ht="15.75" x14ac:dyDescent="0.25">
      <c r="B65" s="225"/>
      <c r="C65" s="225"/>
      <c r="D65" s="227"/>
      <c r="E65" s="212"/>
      <c r="F65" s="240"/>
      <c r="G65" s="240"/>
      <c r="H65" s="240"/>
      <c r="I65" s="240"/>
      <c r="J65" s="240"/>
      <c r="K65" s="225"/>
    </row>
    <row r="66" spans="2:11" ht="15.75" x14ac:dyDescent="0.25">
      <c r="B66" s="225"/>
      <c r="C66" s="225"/>
      <c r="D66" s="227"/>
      <c r="E66" s="212"/>
      <c r="F66" s="240"/>
      <c r="G66" s="240"/>
      <c r="H66" s="240"/>
      <c r="I66" s="240"/>
      <c r="J66" s="240"/>
      <c r="K66" s="225"/>
    </row>
    <row r="67" spans="2:11" x14ac:dyDescent="0.25">
      <c r="B67" s="225"/>
      <c r="C67" s="225"/>
      <c r="D67" s="225"/>
      <c r="E67" s="225"/>
      <c r="F67" s="225"/>
      <c r="G67" s="225"/>
      <c r="H67" s="225"/>
      <c r="I67" s="225"/>
      <c r="J67" s="225"/>
      <c r="K67" s="225"/>
    </row>
    <row r="68" spans="2:11" x14ac:dyDescent="0.25">
      <c r="B68" s="225"/>
      <c r="C68" s="225"/>
      <c r="D68" s="225"/>
      <c r="E68" s="225"/>
      <c r="F68" s="225"/>
      <c r="G68" s="225"/>
      <c r="H68" s="225"/>
      <c r="I68" s="225"/>
      <c r="J68" s="225"/>
      <c r="K68" s="225"/>
    </row>
    <row r="69" spans="2:11" x14ac:dyDescent="0.25">
      <c r="B69" s="225"/>
      <c r="C69" s="225"/>
      <c r="D69" s="225"/>
      <c r="E69" s="225"/>
      <c r="F69" s="225"/>
      <c r="G69" s="225"/>
      <c r="H69" s="225"/>
      <c r="I69" s="225"/>
      <c r="J69" s="225"/>
      <c r="K69" s="225"/>
    </row>
    <row r="70" spans="2:11" x14ac:dyDescent="0.25">
      <c r="B70" s="225"/>
      <c r="C70" s="225"/>
      <c r="D70" s="225"/>
      <c r="E70" s="225"/>
      <c r="F70" s="225"/>
      <c r="G70" s="225"/>
      <c r="H70" s="225"/>
      <c r="I70" s="225"/>
      <c r="J70" s="225"/>
      <c r="K70" s="225"/>
    </row>
  </sheetData>
  <mergeCells count="3">
    <mergeCell ref="B2:M2"/>
    <mergeCell ref="B3:H3"/>
    <mergeCell ref="C46:D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R461"/>
  <sheetViews>
    <sheetView tabSelected="1" zoomScale="80" zoomScaleNormal="80" workbookViewId="0">
      <selection activeCell="E4" sqref="E4"/>
    </sheetView>
  </sheetViews>
  <sheetFormatPr defaultColWidth="9.140625" defaultRowHeight="15.75" x14ac:dyDescent="0.25"/>
  <cols>
    <col min="1" max="1" width="4.140625" style="1" customWidth="1"/>
    <col min="2" max="3" width="9.140625" style="1"/>
    <col min="4" max="4" width="18.140625" style="1" customWidth="1"/>
    <col min="5" max="5" width="2.28515625" style="1" bestFit="1" customWidth="1"/>
    <col min="6" max="8" width="17" style="1" bestFit="1" customWidth="1"/>
    <col min="9" max="10" width="15.7109375" style="1" customWidth="1"/>
    <col min="11" max="11" width="15.7109375" style="1" bestFit="1" customWidth="1"/>
    <col min="12" max="17" width="15.7109375" style="1" customWidth="1"/>
    <col min="18" max="18" width="11.5703125" style="1" bestFit="1" customWidth="1"/>
    <col min="19" max="16384" width="9.140625" style="1"/>
  </cols>
  <sheetData>
    <row r="1" spans="1:17" x14ac:dyDescent="0.25">
      <c r="A1" s="264" t="s">
        <v>0</v>
      </c>
      <c r="B1" s="264"/>
      <c r="C1" s="264"/>
      <c r="D1" s="264"/>
    </row>
    <row r="2" spans="1:17" x14ac:dyDescent="0.25">
      <c r="B2" s="265" t="s">
        <v>22</v>
      </c>
      <c r="C2" s="266"/>
      <c r="D2" s="266"/>
      <c r="E2" s="88">
        <v>1</v>
      </c>
    </row>
    <row r="3" spans="1:17" x14ac:dyDescent="0.25">
      <c r="B3" s="267"/>
      <c r="C3" s="267"/>
      <c r="D3" s="267"/>
      <c r="E3" s="88">
        <v>1</v>
      </c>
    </row>
    <row r="4" spans="1:17" ht="15.75" customHeight="1" x14ac:dyDescent="0.25">
      <c r="B4" s="256"/>
      <c r="C4" s="256"/>
      <c r="D4" s="256"/>
      <c r="F4" s="252" t="s">
        <v>2</v>
      </c>
      <c r="G4" s="252" t="s">
        <v>3</v>
      </c>
      <c r="H4" s="254" t="s">
        <v>4</v>
      </c>
      <c r="I4" s="252" t="s">
        <v>5</v>
      </c>
      <c r="J4" s="252" t="s">
        <v>6</v>
      </c>
      <c r="K4" s="252" t="s">
        <v>7</v>
      </c>
      <c r="L4" s="252" t="s">
        <v>8</v>
      </c>
      <c r="M4" s="252" t="s">
        <v>9</v>
      </c>
      <c r="N4" s="252" t="s">
        <v>10</v>
      </c>
      <c r="O4" s="252" t="s">
        <v>11</v>
      </c>
      <c r="P4" s="252" t="s">
        <v>12</v>
      </c>
      <c r="Q4" s="252" t="s">
        <v>13</v>
      </c>
    </row>
    <row r="5" spans="1:17" ht="16.5" thickBot="1" x14ac:dyDescent="0.3">
      <c r="B5" s="256"/>
      <c r="C5" s="256"/>
      <c r="D5" s="256"/>
      <c r="F5" s="253"/>
      <c r="G5" s="253"/>
      <c r="H5" s="255"/>
      <c r="I5" s="253"/>
      <c r="J5" s="253"/>
      <c r="K5" s="253"/>
      <c r="L5" s="253"/>
      <c r="M5" s="253"/>
      <c r="N5" s="253"/>
      <c r="O5" s="253"/>
      <c r="P5" s="253"/>
      <c r="Q5" s="253"/>
    </row>
    <row r="6" spans="1:17" x14ac:dyDescent="0.25">
      <c r="B6" s="261" t="s">
        <v>1</v>
      </c>
      <c r="C6" s="261"/>
      <c r="D6" s="261"/>
      <c r="F6" s="61">
        <f t="shared" ref="F6:H6" si="0">+CHOOSE($E$2,F7,F8,F9)</f>
        <v>1366</v>
      </c>
      <c r="G6" s="61">
        <f t="shared" si="0"/>
        <v>1346</v>
      </c>
      <c r="H6" s="61">
        <f t="shared" si="0"/>
        <v>1355</v>
      </c>
      <c r="I6" s="66">
        <f>+CHOOSE($E$2,I7,I8,I9)</f>
        <v>1382.7839116719244</v>
      </c>
      <c r="J6" s="66">
        <f t="shared" ref="J6:Q6" si="1">+CHOOSE($E$2,J7,J8,J9)</f>
        <v>1506.7429022082022</v>
      </c>
      <c r="K6" s="66">
        <f t="shared" si="1"/>
        <v>1391.3053627760253</v>
      </c>
      <c r="L6" s="66">
        <f t="shared" si="1"/>
        <v>1391.3053627760253</v>
      </c>
      <c r="M6" s="66">
        <f t="shared" si="1"/>
        <v>1391.3053627760253</v>
      </c>
      <c r="N6" s="66">
        <f t="shared" si="1"/>
        <v>1391.3053627760253</v>
      </c>
      <c r="O6" s="66">
        <f t="shared" si="1"/>
        <v>1391.3053627760253</v>
      </c>
      <c r="P6" s="66">
        <f t="shared" si="1"/>
        <v>1391.3053627760253</v>
      </c>
      <c r="Q6" s="66">
        <f t="shared" si="1"/>
        <v>1391.3053627760253</v>
      </c>
    </row>
    <row r="7" spans="1:17" x14ac:dyDescent="0.25">
      <c r="B7" s="256" t="s">
        <v>19</v>
      </c>
      <c r="C7" s="256"/>
      <c r="D7" s="256"/>
      <c r="F7" s="61">
        <f>'Historical Prices'!B$2</f>
        <v>1366</v>
      </c>
      <c r="G7" s="61">
        <f>'Historical Prices'!B$3</f>
        <v>1346</v>
      </c>
      <c r="H7" s="61">
        <f>'Historical Prices'!B$4</f>
        <v>1355</v>
      </c>
      <c r="I7" s="7">
        <f>(1+(I$9-H$9)/H$9)*H7</f>
        <v>1382.7839116719244</v>
      </c>
      <c r="J7" s="7">
        <f>(1+(J$9-I$9)/I$9)*I7</f>
        <v>1506.7429022082022</v>
      </c>
      <c r="K7" s="7">
        <f>SUM(F7:J7)/5</f>
        <v>1391.3053627760253</v>
      </c>
      <c r="L7" s="7">
        <v>1391.3053627760253</v>
      </c>
      <c r="M7" s="7">
        <v>1391.3053627760253</v>
      </c>
      <c r="N7" s="7">
        <v>1391.3053627760253</v>
      </c>
      <c r="O7" s="7">
        <v>1391.3053627760253</v>
      </c>
      <c r="P7" s="7">
        <v>1391.3053627760253</v>
      </c>
      <c r="Q7" s="7">
        <v>1391.3053627760253</v>
      </c>
    </row>
    <row r="8" spans="1:17" x14ac:dyDescent="0.25">
      <c r="B8" s="256" t="s">
        <v>20</v>
      </c>
      <c r="C8" s="256"/>
      <c r="D8" s="256"/>
      <c r="F8" s="61">
        <f>'Historical Prices'!C$2</f>
        <v>1077</v>
      </c>
      <c r="G8" s="61">
        <f>'Historical Prices'!C$3</f>
        <v>1151</v>
      </c>
      <c r="H8" s="61">
        <f>'Historical Prices'!C$4</f>
        <v>1178</v>
      </c>
      <c r="I8" s="7">
        <f>(1+(I$9-H$9)/H$9)*H8</f>
        <v>1202.1545741324921</v>
      </c>
      <c r="J8" s="7">
        <f>(1+(J$9-I$9)/I$9)*I8</f>
        <v>1309.9211356466878</v>
      </c>
      <c r="K8" s="7">
        <f>SUM(F8:J8)/5</f>
        <v>1183.615141955836</v>
      </c>
      <c r="L8" s="7">
        <v>1183.615141955836</v>
      </c>
      <c r="M8" s="7">
        <v>1183.615141955836</v>
      </c>
      <c r="N8" s="7">
        <v>1183.615141955836</v>
      </c>
      <c r="O8" s="7">
        <v>1183.615141955836</v>
      </c>
      <c r="P8" s="7">
        <v>1183.615141955836</v>
      </c>
      <c r="Q8" s="7">
        <v>1183.615141955836</v>
      </c>
    </row>
    <row r="9" spans="1:17" x14ac:dyDescent="0.25">
      <c r="B9" s="256" t="s">
        <v>21</v>
      </c>
      <c r="C9" s="256"/>
      <c r="D9" s="256"/>
      <c r="F9" s="61">
        <f>'Historical Prices'!D$2</f>
        <v>1251</v>
      </c>
      <c r="G9" s="61">
        <f>'Historical Prices'!D$3</f>
        <v>1257</v>
      </c>
      <c r="H9" s="61">
        <f>'Historical Prices'!D$4</f>
        <v>1268</v>
      </c>
      <c r="I9" s="71">
        <v>1294</v>
      </c>
      <c r="J9" s="71">
        <v>1410</v>
      </c>
      <c r="K9" s="7">
        <f>SUM(F9:J9)/5</f>
        <v>1296</v>
      </c>
      <c r="L9" s="7">
        <v>1296</v>
      </c>
      <c r="M9" s="7">
        <v>1296</v>
      </c>
      <c r="N9" s="7">
        <v>1296</v>
      </c>
      <c r="O9" s="7">
        <v>1296</v>
      </c>
      <c r="P9" s="7">
        <v>1296</v>
      </c>
      <c r="Q9" s="7">
        <v>1296</v>
      </c>
    </row>
    <row r="10" spans="1:17" x14ac:dyDescent="0.25">
      <c r="B10" s="261" t="s">
        <v>18</v>
      </c>
      <c r="C10" s="261"/>
      <c r="D10" s="261"/>
      <c r="F10" s="61">
        <f>+CHOOSE($E$3,F11,F12,F13)</f>
        <v>2.69</v>
      </c>
      <c r="G10" s="61">
        <f t="shared" ref="G10:Q10" si="2">+CHOOSE($E$3,G11,G12,G13)</f>
        <v>3.27</v>
      </c>
      <c r="H10" s="61">
        <f t="shared" si="2"/>
        <v>3.29</v>
      </c>
      <c r="I10" s="61">
        <f t="shared" si="2"/>
        <v>3.3294800000000002</v>
      </c>
      <c r="J10" s="61">
        <f>+CHOOSE($E$3,J11,J12,J13)</f>
        <v>3.1448700000000001</v>
      </c>
      <c r="K10" s="61">
        <f t="shared" si="2"/>
        <v>3.1448700000000001</v>
      </c>
      <c r="L10" s="61">
        <f t="shared" si="2"/>
        <v>3.1448700000000001</v>
      </c>
      <c r="M10" s="61">
        <f t="shared" si="2"/>
        <v>3.1448700000000001</v>
      </c>
      <c r="N10" s="61">
        <f t="shared" si="2"/>
        <v>3.1448700000000001</v>
      </c>
      <c r="O10" s="61">
        <f t="shared" si="2"/>
        <v>3.1448700000000001</v>
      </c>
      <c r="P10" s="61">
        <f t="shared" si="2"/>
        <v>3.1448700000000001</v>
      </c>
      <c r="Q10" s="61">
        <f t="shared" si="2"/>
        <v>3.1448700000000001</v>
      </c>
    </row>
    <row r="11" spans="1:17" x14ac:dyDescent="0.25">
      <c r="B11" s="256" t="s">
        <v>19</v>
      </c>
      <c r="C11" s="256"/>
      <c r="D11" s="256"/>
      <c r="F11" s="61">
        <f>'Historical Prices'!H$2</f>
        <v>2.69</v>
      </c>
      <c r="G11" s="61">
        <f>'Historical Prices'!H$3</f>
        <v>3.27</v>
      </c>
      <c r="H11" s="61">
        <f>'Historical Prices'!H$4</f>
        <v>3.29</v>
      </c>
      <c r="I11" s="7">
        <f>H11*1.012</f>
        <v>3.3294800000000002</v>
      </c>
      <c r="J11" s="7">
        <f>SUM(F11:I11)/4</f>
        <v>3.1448700000000001</v>
      </c>
      <c r="K11" s="7">
        <v>3.1448700000000001</v>
      </c>
      <c r="L11" s="7">
        <v>3.1448700000000001</v>
      </c>
      <c r="M11" s="7">
        <v>3.1448700000000001</v>
      </c>
      <c r="N11" s="7">
        <v>3.1448700000000001</v>
      </c>
      <c r="O11" s="7">
        <v>3.1448700000000001</v>
      </c>
      <c r="P11" s="7">
        <v>3.1448700000000001</v>
      </c>
      <c r="Q11" s="7">
        <v>3.1448700000000001</v>
      </c>
    </row>
    <row r="12" spans="1:17" x14ac:dyDescent="0.25">
      <c r="B12" s="256" t="s">
        <v>20</v>
      </c>
      <c r="C12" s="256"/>
      <c r="D12" s="256"/>
      <c r="F12" s="61">
        <f>'Historical Prices'!I$2</f>
        <v>1.96</v>
      </c>
      <c r="G12" s="61">
        <f>'Historical Prices'!I$3</f>
        <v>2.48</v>
      </c>
      <c r="H12" s="61">
        <f>'Historical Prices'!I$4</f>
        <v>2.64</v>
      </c>
      <c r="I12" s="7">
        <f>H12*1.012</f>
        <v>2.6716800000000003</v>
      </c>
      <c r="J12" s="7">
        <f t="shared" ref="J12:J13" si="3">SUM(F12:I12)/4</f>
        <v>2.4379200000000001</v>
      </c>
      <c r="K12" s="7">
        <v>2.4379200000000001</v>
      </c>
      <c r="L12" s="7">
        <v>2.4379200000000001</v>
      </c>
      <c r="M12" s="7">
        <v>2.4379200000000001</v>
      </c>
      <c r="N12" s="7">
        <v>2.4379200000000001</v>
      </c>
      <c r="O12" s="7">
        <v>2.4379200000000001</v>
      </c>
      <c r="P12" s="7">
        <v>2.4379200000000001</v>
      </c>
      <c r="Q12" s="7">
        <v>2.4379200000000001</v>
      </c>
    </row>
    <row r="13" spans="1:17" x14ac:dyDescent="0.25">
      <c r="B13" s="256" t="s">
        <v>21</v>
      </c>
      <c r="C13" s="256"/>
      <c r="D13" s="256"/>
      <c r="F13" s="61">
        <f>'Historical Prices'!J$2</f>
        <v>2.21</v>
      </c>
      <c r="G13" s="61">
        <f>'Historical Prices'!J$3</f>
        <v>2.8</v>
      </c>
      <c r="H13" s="61">
        <f>'Historical Prices'!J$4</f>
        <v>2.96</v>
      </c>
      <c r="I13" s="7">
        <f>H13*1.012</f>
        <v>2.99552</v>
      </c>
      <c r="J13" s="7">
        <f t="shared" si="3"/>
        <v>2.7413799999999999</v>
      </c>
      <c r="K13" s="7">
        <v>2.7413799999999999</v>
      </c>
      <c r="L13" s="7">
        <v>2.7413799999999999</v>
      </c>
      <c r="M13" s="7">
        <v>2.7413799999999999</v>
      </c>
      <c r="N13" s="7">
        <v>2.7413799999999999</v>
      </c>
      <c r="O13" s="7">
        <v>2.7413799999999999</v>
      </c>
      <c r="P13" s="7">
        <v>2.7413799999999999</v>
      </c>
      <c r="Q13" s="7">
        <v>2.7413799999999999</v>
      </c>
    </row>
    <row r="14" spans="1:17" x14ac:dyDescent="0.25">
      <c r="B14" s="268"/>
      <c r="C14" s="268"/>
      <c r="D14" s="268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B15" s="268" t="s">
        <v>113</v>
      </c>
      <c r="C15" s="268"/>
      <c r="D15" s="268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B16" s="259" t="s">
        <v>165</v>
      </c>
      <c r="C16" s="259"/>
      <c r="D16" s="259"/>
      <c r="F16" s="62">
        <f>'2016 Reserves'!$L$50</f>
        <v>68460</v>
      </c>
      <c r="G16" s="62">
        <f>'2017 Reserves'!$L$51</f>
        <v>68470</v>
      </c>
      <c r="H16" s="63">
        <f>'2018 Reserves'!$L$52</f>
        <v>65440</v>
      </c>
      <c r="I16" s="67">
        <f>H16-(H17*(1+H$36))</f>
        <v>59340</v>
      </c>
      <c r="J16" s="67">
        <f>I16-(I17*(1+I$36))</f>
        <v>53172.639010984909</v>
      </c>
      <c r="K16" s="67">
        <f t="shared" ref="K16:Q16" si="4">J16-(J17*(1+J$36))</f>
        <v>47077.262765583851</v>
      </c>
      <c r="L16" s="67">
        <f t="shared" si="4"/>
        <v>41061.07252433274</v>
      </c>
      <c r="M16" s="67">
        <f t="shared" si="4"/>
        <v>35112.311874889725</v>
      </c>
      <c r="N16" s="67">
        <f t="shared" si="4"/>
        <v>29008.058861724647</v>
      </c>
      <c r="O16" s="67">
        <f t="shared" si="4"/>
        <v>23086.933438954522</v>
      </c>
      <c r="P16" s="67">
        <f t="shared" si="4"/>
        <v>17343.441778867498</v>
      </c>
      <c r="Q16" s="67">
        <f t="shared" si="4"/>
        <v>11772.254868583088</v>
      </c>
    </row>
    <row r="17" spans="2:18" s="8" customFormat="1" x14ac:dyDescent="0.25">
      <c r="B17" s="259" t="s">
        <v>170</v>
      </c>
      <c r="C17" s="259"/>
      <c r="D17" s="259"/>
      <c r="F17" s="64">
        <f>F22+F25+F28+F31</f>
        <v>4898</v>
      </c>
      <c r="G17" s="64">
        <f t="shared" ref="G17" si="5">G22+G25+G28+G31</f>
        <v>5266</v>
      </c>
      <c r="H17" s="64">
        <f>H22+H25+H28+H31</f>
        <v>5101</v>
      </c>
      <c r="I17" s="64">
        <f>I22+I25+I28+I31</f>
        <v>5088.333333333333</v>
      </c>
      <c r="J17" s="64">
        <f>J22+J25+J28+J31</f>
        <v>5088.333333333333</v>
      </c>
      <c r="K17" s="64">
        <f t="shared" ref="K17:Q17" si="6">K22+K25+K28+K31</f>
        <v>5088.333333333333</v>
      </c>
      <c r="L17" s="64">
        <f t="shared" si="6"/>
        <v>5088.333333333333</v>
      </c>
      <c r="M17" s="64">
        <f t="shared" si="6"/>
        <v>5088.333333333333</v>
      </c>
      <c r="N17" s="64">
        <f t="shared" si="6"/>
        <v>4935.6833333333325</v>
      </c>
      <c r="O17" s="64">
        <f t="shared" si="6"/>
        <v>4787.6128333333336</v>
      </c>
      <c r="P17" s="64">
        <f t="shared" si="6"/>
        <v>4643.9844483333327</v>
      </c>
      <c r="Q17" s="64">
        <f t="shared" si="6"/>
        <v>4504.6649148833321</v>
      </c>
    </row>
    <row r="18" spans="2:18" s="8" customFormat="1" x14ac:dyDescent="0.25">
      <c r="B18" s="259" t="s">
        <v>171</v>
      </c>
      <c r="C18" s="259"/>
      <c r="D18" s="259"/>
      <c r="F18" s="76">
        <v>4839</v>
      </c>
      <c r="G18" s="76">
        <v>5243</v>
      </c>
      <c r="H18" s="76">
        <v>5133</v>
      </c>
      <c r="I18" s="11"/>
      <c r="J18" s="11"/>
      <c r="K18" s="11"/>
      <c r="L18" s="11"/>
      <c r="M18" s="11"/>
      <c r="N18" s="11"/>
      <c r="O18" s="11"/>
      <c r="P18" s="11"/>
      <c r="Q18" s="11"/>
    </row>
    <row r="19" spans="2:18" s="8" customFormat="1" x14ac:dyDescent="0.25">
      <c r="B19" s="269"/>
      <c r="C19" s="269"/>
      <c r="D19" s="269"/>
      <c r="F19" s="78"/>
      <c r="G19" s="78"/>
      <c r="H19" s="78"/>
      <c r="I19" s="11"/>
      <c r="J19" s="11"/>
      <c r="K19" s="11"/>
      <c r="L19" s="11"/>
      <c r="M19" s="11"/>
      <c r="N19" s="11"/>
      <c r="O19" s="11"/>
      <c r="P19" s="11"/>
      <c r="Q19" s="11"/>
    </row>
    <row r="20" spans="2:18" s="2" customFormat="1" x14ac:dyDescent="0.25">
      <c r="B20" s="256" t="s">
        <v>174</v>
      </c>
      <c r="C20" s="256"/>
      <c r="D20" s="256"/>
      <c r="F20" s="81"/>
      <c r="G20" s="81"/>
      <c r="H20" s="81"/>
      <c r="I20" s="78"/>
      <c r="J20" s="78"/>
      <c r="K20" s="78"/>
      <c r="L20" s="78"/>
      <c r="M20" s="78"/>
      <c r="N20" s="78"/>
      <c r="O20" s="78"/>
      <c r="P20" s="78"/>
      <c r="Q20" s="78"/>
    </row>
    <row r="21" spans="2:18" s="2" customFormat="1" x14ac:dyDescent="0.25">
      <c r="B21" s="258" t="s">
        <v>114</v>
      </c>
      <c r="C21" s="258"/>
      <c r="D21" s="258"/>
      <c r="F21" s="64">
        <f>'2016 Reserves'!$L$23</f>
        <v>28870</v>
      </c>
      <c r="G21" s="64">
        <f>'2017 Reserves'!$L$24</f>
        <v>28820</v>
      </c>
      <c r="H21" s="65">
        <f>'2018 Reserves'!$L$24</f>
        <v>25240</v>
      </c>
      <c r="I21" s="67">
        <f>H21-(H22*(1+H$36))</f>
        <v>22780.148990394042</v>
      </c>
      <c r="J21" s="67">
        <f>I21-(I22*(1+I36))</f>
        <v>20238.056927316222</v>
      </c>
      <c r="K21" s="67">
        <f t="shared" ref="K21:Q21" si="7">J21-(J22*(1+J36))</f>
        <v>17725.635876804365</v>
      </c>
      <c r="L21" s="67">
        <f t="shared" si="7"/>
        <v>15245.854088533681</v>
      </c>
      <c r="M21" s="67">
        <f>L21-(L22*(1+L36))</f>
        <v>12793.865748782911</v>
      </c>
      <c r="N21" s="67">
        <f t="shared" si="7"/>
        <v>10277.785830090826</v>
      </c>
      <c r="O21" s="67">
        <f t="shared" si="7"/>
        <v>7837.1883089595049</v>
      </c>
      <c r="P21" s="67">
        <f t="shared" si="7"/>
        <v>5469.8087134621219</v>
      </c>
      <c r="Q21" s="67">
        <f t="shared" si="7"/>
        <v>3173.4505058296609</v>
      </c>
      <c r="R21" s="68"/>
    </row>
    <row r="22" spans="2:18" s="8" customFormat="1" x14ac:dyDescent="0.25">
      <c r="B22" s="258" t="s">
        <v>167</v>
      </c>
      <c r="C22" s="258"/>
      <c r="D22" s="258"/>
      <c r="F22" s="64">
        <v>2024</v>
      </c>
      <c r="G22" s="64">
        <v>2211</v>
      </c>
      <c r="H22" s="65">
        <v>2057</v>
      </c>
      <c r="I22" s="67">
        <f>(H22+G22+F22)/3</f>
        <v>2097.3333333333335</v>
      </c>
      <c r="J22" s="67">
        <v>2097.3333333333335</v>
      </c>
      <c r="K22" s="67">
        <v>2097.3333333333335</v>
      </c>
      <c r="L22" s="67">
        <v>2097.3333333333335</v>
      </c>
      <c r="M22" s="67">
        <v>2097.3333333333335</v>
      </c>
      <c r="N22" s="67">
        <f>M22*0.97</f>
        <v>2034.4133333333334</v>
      </c>
      <c r="O22" s="67">
        <f t="shared" ref="O22:Q22" si="8">N22*0.97</f>
        <v>1973.3809333333334</v>
      </c>
      <c r="P22" s="67">
        <f t="shared" si="8"/>
        <v>1914.1795053333333</v>
      </c>
      <c r="Q22" s="67">
        <f t="shared" si="8"/>
        <v>1856.7541201733331</v>
      </c>
      <c r="R22" s="68"/>
    </row>
    <row r="23" spans="2:18" s="2" customFormat="1" x14ac:dyDescent="0.25">
      <c r="B23" s="256" t="s">
        <v>175</v>
      </c>
      <c r="C23" s="256"/>
      <c r="D23" s="256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</row>
    <row r="24" spans="2:18" x14ac:dyDescent="0.25">
      <c r="B24" s="258" t="s">
        <v>114</v>
      </c>
      <c r="C24" s="258"/>
      <c r="D24" s="258"/>
      <c r="E24" s="5"/>
      <c r="F24" s="64">
        <f>'2016 Reserves'!$L$39</f>
        <v>20260</v>
      </c>
      <c r="G24" s="64">
        <f>'2017 Reserves'!$L$40</f>
        <v>20930</v>
      </c>
      <c r="H24" s="65">
        <f>'2018 Reserves'!$L$41</f>
        <v>20690</v>
      </c>
      <c r="I24" s="67">
        <f>H24-(H25*(1+H$36))</f>
        <v>18868.729660850815</v>
      </c>
      <c r="J24" s="67">
        <f t="shared" ref="J24:Q24" si="9">I24-(I25*(1+I$36))</f>
        <v>16954.888258625826</v>
      </c>
      <c r="K24" s="67">
        <f t="shared" si="9"/>
        <v>15063.384997933732</v>
      </c>
      <c r="L24" s="67">
        <f t="shared" si="9"/>
        <v>13196.454557527148</v>
      </c>
      <c r="M24" s="67">
        <f t="shared" si="9"/>
        <v>11350.448714329534</v>
      </c>
      <c r="N24" s="67">
        <f t="shared" si="9"/>
        <v>9456.1908353014969</v>
      </c>
      <c r="O24" s="67">
        <f t="shared" si="9"/>
        <v>7618.7606926443023</v>
      </c>
      <c r="P24" s="67">
        <f t="shared" si="9"/>
        <v>5836.4534542668225</v>
      </c>
      <c r="Q24" s="67">
        <f t="shared" si="9"/>
        <v>4107.615433040668</v>
      </c>
    </row>
    <row r="25" spans="2:18" s="8" customFormat="1" x14ac:dyDescent="0.25">
      <c r="B25" s="258" t="s">
        <v>167</v>
      </c>
      <c r="C25" s="258"/>
      <c r="D25" s="258"/>
      <c r="E25" s="9"/>
      <c r="F25" s="64">
        <v>1641</v>
      </c>
      <c r="G25" s="64">
        <v>1573</v>
      </c>
      <c r="H25" s="65">
        <v>1523</v>
      </c>
      <c r="I25" s="67">
        <f>(H25+G25+F25)/3</f>
        <v>1579</v>
      </c>
      <c r="J25" s="67">
        <v>1579</v>
      </c>
      <c r="K25" s="67">
        <v>1579</v>
      </c>
      <c r="L25" s="67">
        <v>1579</v>
      </c>
      <c r="M25" s="67">
        <v>1579</v>
      </c>
      <c r="N25" s="67">
        <f>M25*0.97</f>
        <v>1531.6299999999999</v>
      </c>
      <c r="O25" s="67">
        <f t="shared" ref="O25:Q25" si="10">N25*0.97</f>
        <v>1485.6810999999998</v>
      </c>
      <c r="P25" s="67">
        <f t="shared" si="10"/>
        <v>1441.1106669999997</v>
      </c>
      <c r="Q25" s="67">
        <f t="shared" si="10"/>
        <v>1397.8773469899998</v>
      </c>
    </row>
    <row r="26" spans="2:18" x14ac:dyDescent="0.25">
      <c r="B26" s="256" t="s">
        <v>176</v>
      </c>
      <c r="C26" s="256"/>
      <c r="D26" s="256"/>
      <c r="F26" s="26"/>
      <c r="G26" s="26"/>
      <c r="H26" s="26"/>
      <c r="I26" s="78"/>
      <c r="J26" s="78"/>
      <c r="K26" s="78"/>
      <c r="L26" s="78"/>
      <c r="M26" s="78"/>
      <c r="N26" s="78"/>
      <c r="O26" s="78"/>
      <c r="P26" s="78"/>
      <c r="Q26" s="78"/>
    </row>
    <row r="27" spans="2:18" x14ac:dyDescent="0.25">
      <c r="B27" s="258" t="s">
        <v>114</v>
      </c>
      <c r="C27" s="258"/>
      <c r="D27" s="258"/>
      <c r="F27" s="64">
        <f>'2016 Reserves'!$L$30</f>
        <v>6530</v>
      </c>
      <c r="G27" s="64">
        <f>'2017 Reserves'!$L$31</f>
        <v>6040</v>
      </c>
      <c r="H27" s="65">
        <f>'2018 Reserves'!$L$32</f>
        <v>7540</v>
      </c>
      <c r="I27" s="67">
        <f>H27-(H28*(1+H$36))</f>
        <v>6737.5887080964512</v>
      </c>
      <c r="J27" s="67">
        <f t="shared" ref="J27:Q27" si="11">I27-(I28*(1+I$36))</f>
        <v>6032.5743009014741</v>
      </c>
      <c r="K27" s="67">
        <f t="shared" si="11"/>
        <v>5335.7887425506815</v>
      </c>
      <c r="L27" s="67">
        <f t="shared" si="11"/>
        <v>4648.0552364266596</v>
      </c>
      <c r="M27" s="67">
        <f t="shared" si="11"/>
        <v>3968.0298624811589</v>
      </c>
      <c r="N27" s="67">
        <f t="shared" si="11"/>
        <v>3270.2295671668412</v>
      </c>
      <c r="O27" s="67">
        <f t="shared" si="11"/>
        <v>2593.3632807119529</v>
      </c>
      <c r="P27" s="67">
        <f t="shared" si="11"/>
        <v>1936.8029828507115</v>
      </c>
      <c r="Q27" s="67">
        <f t="shared" si="11"/>
        <v>1299.9394939253073</v>
      </c>
    </row>
    <row r="28" spans="2:18" s="8" customFormat="1" x14ac:dyDescent="0.25">
      <c r="B28" s="258" t="s">
        <v>167</v>
      </c>
      <c r="C28" s="258"/>
      <c r="D28" s="258"/>
      <c r="F28" s="64">
        <v>414</v>
      </c>
      <c r="G28" s="64">
        <v>660</v>
      </c>
      <c r="H28" s="65">
        <v>671</v>
      </c>
      <c r="I28" s="67">
        <f>(H28+G28+F28)/3</f>
        <v>581.66666666666663</v>
      </c>
      <c r="J28" s="67">
        <v>581.66666666666663</v>
      </c>
      <c r="K28" s="67">
        <v>581.66666666666663</v>
      </c>
      <c r="L28" s="67">
        <v>581.66666666666663</v>
      </c>
      <c r="M28" s="67">
        <v>581.66666666666663</v>
      </c>
      <c r="N28" s="67">
        <f>M28*0.97</f>
        <v>564.21666666666658</v>
      </c>
      <c r="O28" s="67">
        <f t="shared" ref="O28:Q28" si="12">N28*0.97</f>
        <v>547.29016666666655</v>
      </c>
      <c r="P28" s="67">
        <f t="shared" si="12"/>
        <v>530.87146166666651</v>
      </c>
      <c r="Q28" s="67">
        <f t="shared" si="12"/>
        <v>514.94531781666649</v>
      </c>
    </row>
    <row r="29" spans="2:18" x14ac:dyDescent="0.25">
      <c r="B29" s="256" t="s">
        <v>177</v>
      </c>
      <c r="C29" s="256"/>
      <c r="D29" s="256"/>
      <c r="F29" s="8"/>
      <c r="G29" s="8"/>
      <c r="H29" s="8"/>
      <c r="I29" s="79"/>
      <c r="J29" s="79"/>
      <c r="K29" s="79"/>
      <c r="L29" s="79"/>
      <c r="M29" s="79"/>
      <c r="N29" s="79"/>
      <c r="O29" s="79"/>
      <c r="P29" s="79"/>
      <c r="Q29" s="79"/>
    </row>
    <row r="30" spans="2:18" x14ac:dyDescent="0.25">
      <c r="B30" s="258" t="s">
        <v>114</v>
      </c>
      <c r="C30" s="258"/>
      <c r="D30" s="258"/>
      <c r="F30" s="64">
        <f>'2016 Reserves'!$L$49</f>
        <v>12800</v>
      </c>
      <c r="G30" s="64">
        <f>'2017 Reserves'!$L$50</f>
        <v>12680</v>
      </c>
      <c r="H30" s="64">
        <f>'2018 Reserves'!$L$51</f>
        <v>11970</v>
      </c>
      <c r="I30" s="67">
        <f>H30-(H31*(1+H$36))</f>
        <v>10953.532640658694</v>
      </c>
      <c r="J30" s="67">
        <f t="shared" ref="J30:Q30" si="13">I30-(I31*(1+I$36))</f>
        <v>9947.1195241413934</v>
      </c>
      <c r="K30" s="67">
        <f t="shared" si="13"/>
        <v>8952.4531482950752</v>
      </c>
      <c r="L30" s="67">
        <f t="shared" si="13"/>
        <v>7970.7086418452536</v>
      </c>
      <c r="M30" s="67">
        <f t="shared" si="13"/>
        <v>6999.9675492961178</v>
      </c>
      <c r="N30" s="67">
        <f t="shared" si="13"/>
        <v>6003.852629165478</v>
      </c>
      <c r="O30" s="67">
        <f t="shared" si="13"/>
        <v>5037.6211566387574</v>
      </c>
      <c r="P30" s="67">
        <f t="shared" si="13"/>
        <v>4100.3766282878387</v>
      </c>
      <c r="Q30" s="67">
        <f t="shared" si="13"/>
        <v>3191.2494357874475</v>
      </c>
    </row>
    <row r="31" spans="2:18" s="8" customFormat="1" x14ac:dyDescent="0.25">
      <c r="B31" s="258" t="s">
        <v>167</v>
      </c>
      <c r="C31" s="258"/>
      <c r="D31" s="258"/>
      <c r="F31" s="64">
        <v>819</v>
      </c>
      <c r="G31" s="64">
        <v>822</v>
      </c>
      <c r="H31" s="64">
        <v>850</v>
      </c>
      <c r="I31" s="67">
        <f>(H31+G31+F31)/3</f>
        <v>830.33333333333337</v>
      </c>
      <c r="J31" s="67">
        <v>830.33333333333337</v>
      </c>
      <c r="K31" s="67">
        <v>830.33333333333337</v>
      </c>
      <c r="L31" s="67">
        <v>830.33333333333337</v>
      </c>
      <c r="M31" s="67">
        <v>830.33333333333337</v>
      </c>
      <c r="N31" s="67">
        <f>M31*0.97</f>
        <v>805.4233333333334</v>
      </c>
      <c r="O31" s="67">
        <f t="shared" ref="O31:Q31" si="14">N31*0.97</f>
        <v>781.26063333333343</v>
      </c>
      <c r="P31" s="67">
        <f t="shared" si="14"/>
        <v>757.82281433333344</v>
      </c>
      <c r="Q31" s="67">
        <f t="shared" si="14"/>
        <v>735.08812990333342</v>
      </c>
    </row>
    <row r="32" spans="2:18" s="2" customFormat="1" x14ac:dyDescent="0.25">
      <c r="B32" s="258" t="s">
        <v>181</v>
      </c>
      <c r="C32" s="258"/>
      <c r="D32" s="258"/>
      <c r="F32" s="61">
        <f>F18*F6</f>
        <v>6610074</v>
      </c>
      <c r="G32" s="61">
        <f>G18*G6</f>
        <v>7057078</v>
      </c>
      <c r="H32" s="61">
        <f>H18*H6</f>
        <v>6955215</v>
      </c>
      <c r="I32" s="66">
        <f t="shared" ref="I32:Q32" si="15">I17*I6</f>
        <v>7036065.4705573088</v>
      </c>
      <c r="J32" s="66">
        <f t="shared" si="15"/>
        <v>7666810.1340694018</v>
      </c>
      <c r="K32" s="66">
        <f t="shared" si="15"/>
        <v>7079425.4542586748</v>
      </c>
      <c r="L32" s="66">
        <f t="shared" si="15"/>
        <v>7079425.4542586748</v>
      </c>
      <c r="M32" s="66">
        <f t="shared" si="15"/>
        <v>7079425.4542586748</v>
      </c>
      <c r="N32" s="66">
        <f t="shared" si="15"/>
        <v>6867042.6906309137</v>
      </c>
      <c r="O32" s="66">
        <f t="shared" si="15"/>
        <v>6661031.4099119883</v>
      </c>
      <c r="P32" s="66">
        <f t="shared" si="15"/>
        <v>6461200.4676146274</v>
      </c>
      <c r="Q32" s="66">
        <f t="shared" si="15"/>
        <v>6267364.4535861872</v>
      </c>
    </row>
    <row r="33" spans="2:17" s="8" customFormat="1" x14ac:dyDescent="0.25">
      <c r="B33" s="258" t="s">
        <v>172</v>
      </c>
      <c r="C33" s="258"/>
      <c r="D33" s="258"/>
      <c r="F33" s="72">
        <f>(F34-F32)/F32</f>
        <v>-2.7242357649853843E-2</v>
      </c>
      <c r="G33" s="72">
        <f t="shared" ref="G33:H33" si="16">(G34-G32)/G32</f>
        <v>9.8085921680332849E-4</v>
      </c>
      <c r="H33" s="72">
        <f t="shared" si="16"/>
        <v>-7.4979709469800721E-4</v>
      </c>
      <c r="I33" s="74">
        <f>SUM($F$33:$H$33)/3</f>
        <v>-9.0037651759161726E-3</v>
      </c>
      <c r="J33" s="74">
        <f t="shared" ref="J33:K33" si="17">SUM($F$33:$H$33)/3</f>
        <v>-9.0037651759161726E-3</v>
      </c>
      <c r="K33" s="74">
        <f t="shared" si="17"/>
        <v>-9.0037651759161726E-3</v>
      </c>
      <c r="L33" s="74">
        <v>0.15</v>
      </c>
      <c r="M33" s="74">
        <v>0.15</v>
      </c>
      <c r="N33" s="74">
        <v>0.15</v>
      </c>
      <c r="O33" s="74">
        <v>0.15</v>
      </c>
      <c r="P33" s="74">
        <v>0.15</v>
      </c>
      <c r="Q33" s="74">
        <v>0.15</v>
      </c>
    </row>
    <row r="34" spans="2:17" s="8" customFormat="1" x14ac:dyDescent="0.25">
      <c r="B34" s="257" t="s">
        <v>168</v>
      </c>
      <c r="C34" s="258"/>
      <c r="D34" s="258"/>
      <c r="F34" s="73">
        <v>6430000</v>
      </c>
      <c r="G34" s="73">
        <v>7064000</v>
      </c>
      <c r="H34" s="73">
        <v>6950000</v>
      </c>
      <c r="I34" s="66">
        <f>I32*(1-I33)</f>
        <v>7099416.5518165799</v>
      </c>
      <c r="J34" s="66">
        <f t="shared" ref="J34:Q34" si="18">J32*(1-J33)</f>
        <v>7735840.2921648975</v>
      </c>
      <c r="K34" s="66">
        <f>K32*(1-K33)</f>
        <v>7143166.938629224</v>
      </c>
      <c r="L34" s="66">
        <f>L32*(1-L33)</f>
        <v>6017511.6361198733</v>
      </c>
      <c r="M34" s="66">
        <f t="shared" si="18"/>
        <v>6017511.6361198733</v>
      </c>
      <c r="N34" s="66">
        <f t="shared" si="18"/>
        <v>5836986.2870362764</v>
      </c>
      <c r="O34" s="66">
        <f t="shared" si="18"/>
        <v>5661876.6984251896</v>
      </c>
      <c r="P34" s="66">
        <f t="shared" si="18"/>
        <v>5492020.3974724328</v>
      </c>
      <c r="Q34" s="66">
        <f t="shared" si="18"/>
        <v>5327259.7855482586</v>
      </c>
    </row>
    <row r="35" spans="2:17" s="8" customFormat="1" x14ac:dyDescent="0.25">
      <c r="B35" s="258" t="s">
        <v>178</v>
      </c>
      <c r="C35" s="258"/>
      <c r="D35" s="258"/>
      <c r="F35" s="26"/>
      <c r="G35" s="85">
        <f>(F36-G36)/F36</f>
        <v>4.2873400088090326E-2</v>
      </c>
      <c r="H35" s="85">
        <f>(G36-H36)/G36</f>
        <v>9.0551805901737226E-2</v>
      </c>
      <c r="I35" s="84">
        <f>(H35+G35)/2</f>
        <v>6.6712602994913772E-2</v>
      </c>
      <c r="J35" s="84">
        <f t="shared" ref="J35:K35" si="19">(I35+H35)/2</f>
        <v>7.8632204448325499E-2</v>
      </c>
      <c r="K35" s="84">
        <f t="shared" si="19"/>
        <v>7.2672403721619636E-2</v>
      </c>
      <c r="L35" s="84"/>
      <c r="M35" s="84"/>
      <c r="N35" s="84"/>
      <c r="O35" s="84"/>
      <c r="P35" s="84"/>
      <c r="Q35" s="84"/>
    </row>
    <row r="36" spans="2:17" s="2" customFormat="1" x14ac:dyDescent="0.25">
      <c r="B36" s="257" t="s">
        <v>173</v>
      </c>
      <c r="C36" s="257"/>
      <c r="D36" s="257"/>
      <c r="E36" s="5"/>
      <c r="F36" s="80">
        <f>(-F37-F17)/F17</f>
        <v>0.22498979175173539</v>
      </c>
      <c r="G36" s="80">
        <f t="shared" ref="G36:H36" si="20">(-G37-G17)/G17</f>
        <v>0.21534371439422711</v>
      </c>
      <c r="H36" s="80">
        <f t="shared" si="20"/>
        <v>0.19584395216624192</v>
      </c>
      <c r="I36" s="83">
        <f>SUM(F36:H36)/3</f>
        <v>0.21205915277073481</v>
      </c>
      <c r="J36" s="83">
        <f>I36*(1-I35)</f>
        <v>0.19791213470050301</v>
      </c>
      <c r="K36" s="83">
        <f>J36*(1-J35)</f>
        <v>0.18234986726192851</v>
      </c>
      <c r="L36" s="83">
        <f>K36*(1-K35)</f>
        <v>0.16909806408968589</v>
      </c>
      <c r="M36" s="83">
        <f>SUM(F36:L36)/7</f>
        <v>0.19965666816215097</v>
      </c>
      <c r="N36" s="83">
        <v>0.19965666816215097</v>
      </c>
      <c r="O36" s="83">
        <v>0.19965666816215097</v>
      </c>
      <c r="P36" s="83">
        <v>0.19965666816215097</v>
      </c>
      <c r="Q36" s="83">
        <v>0.19965666816215097</v>
      </c>
    </row>
    <row r="37" spans="2:17" s="2" customFormat="1" x14ac:dyDescent="0.25">
      <c r="B37" s="257" t="s">
        <v>166</v>
      </c>
      <c r="C37" s="257"/>
      <c r="D37" s="257"/>
      <c r="E37" s="5"/>
      <c r="F37" s="75">
        <v>-6000</v>
      </c>
      <c r="G37" s="75">
        <v>-6400</v>
      </c>
      <c r="H37" s="75">
        <v>-6100</v>
      </c>
      <c r="I37" s="82"/>
      <c r="J37" s="82"/>
      <c r="K37" s="82"/>
      <c r="L37" s="82"/>
      <c r="M37" s="82"/>
      <c r="N37" s="82"/>
      <c r="O37" s="82"/>
      <c r="P37" s="82"/>
      <c r="Q37" s="82"/>
    </row>
    <row r="38" spans="2:17" s="2" customFormat="1" x14ac:dyDescent="0.25">
      <c r="B38" s="258"/>
      <c r="C38" s="258"/>
      <c r="D38" s="258"/>
      <c r="F38" s="26"/>
      <c r="G38" s="26"/>
      <c r="H38" s="26"/>
    </row>
    <row r="39" spans="2:17" x14ac:dyDescent="0.25">
      <c r="B39" s="261" t="s">
        <v>179</v>
      </c>
      <c r="C39" s="261"/>
      <c r="D39" s="261"/>
      <c r="F39" s="9"/>
      <c r="G39" s="9"/>
      <c r="H39" s="9"/>
      <c r="I39" s="8"/>
      <c r="J39" s="8"/>
      <c r="K39" s="8"/>
      <c r="L39" s="8"/>
      <c r="M39" s="8"/>
      <c r="N39" s="8"/>
      <c r="O39" s="8"/>
      <c r="P39" s="8"/>
      <c r="Q39" s="8"/>
    </row>
    <row r="40" spans="2:17" s="8" customFormat="1" x14ac:dyDescent="0.25">
      <c r="B40" s="258" t="s">
        <v>179</v>
      </c>
      <c r="C40" s="258"/>
      <c r="D40" s="258"/>
      <c r="F40" s="89">
        <v>116000</v>
      </c>
      <c r="G40" s="89">
        <v>111000</v>
      </c>
      <c r="H40" s="89">
        <v>110000</v>
      </c>
      <c r="I40" s="90">
        <f>SUM(F40:H40)/3</f>
        <v>112333.33333333333</v>
      </c>
      <c r="J40" s="90">
        <v>112333.33333333333</v>
      </c>
      <c r="K40" s="90">
        <v>112333.33333333333</v>
      </c>
      <c r="L40" s="90">
        <v>112333.33333333333</v>
      </c>
      <c r="M40" s="90">
        <v>112333.33333333333</v>
      </c>
      <c r="N40" s="90">
        <v>100000</v>
      </c>
      <c r="O40" s="90">
        <v>100000</v>
      </c>
      <c r="P40" s="90">
        <v>100000</v>
      </c>
      <c r="Q40" s="90">
        <v>100000</v>
      </c>
    </row>
    <row r="41" spans="2:17" s="8" customFormat="1" x14ac:dyDescent="0.25">
      <c r="B41" s="258" t="s">
        <v>180</v>
      </c>
      <c r="C41" s="258"/>
      <c r="D41" s="258"/>
      <c r="F41" s="70">
        <f t="shared" ref="F41:Q41" si="21">F40*F10</f>
        <v>312040</v>
      </c>
      <c r="G41" s="70">
        <f t="shared" si="21"/>
        <v>362970</v>
      </c>
      <c r="H41" s="70">
        <f t="shared" si="21"/>
        <v>361900</v>
      </c>
      <c r="I41" s="69">
        <f t="shared" si="21"/>
        <v>374011.58666666667</v>
      </c>
      <c r="J41" s="69">
        <f t="shared" si="21"/>
        <v>353273.73</v>
      </c>
      <c r="K41" s="69">
        <f t="shared" si="21"/>
        <v>353273.73</v>
      </c>
      <c r="L41" s="69">
        <f t="shared" si="21"/>
        <v>353273.73</v>
      </c>
      <c r="M41" s="69">
        <f t="shared" si="21"/>
        <v>353273.73</v>
      </c>
      <c r="N41" s="69">
        <f t="shared" si="21"/>
        <v>314487</v>
      </c>
      <c r="O41" s="69">
        <f t="shared" si="21"/>
        <v>314487</v>
      </c>
      <c r="P41" s="69">
        <f t="shared" si="21"/>
        <v>314487</v>
      </c>
      <c r="Q41" s="69">
        <f t="shared" si="21"/>
        <v>314487</v>
      </c>
    </row>
    <row r="42" spans="2:17" s="8" customFormat="1" x14ac:dyDescent="0.25">
      <c r="B42" s="258" t="s">
        <v>182</v>
      </c>
      <c r="C42" s="258"/>
      <c r="D42" s="258"/>
      <c r="F42" s="86">
        <v>5000</v>
      </c>
      <c r="G42" s="86">
        <v>14000</v>
      </c>
      <c r="H42" s="86">
        <v>-7000</v>
      </c>
      <c r="I42" s="66">
        <f>SUM(F42:H42)/3</f>
        <v>4000</v>
      </c>
      <c r="J42" s="66">
        <f t="shared" ref="J42:Q42" si="22">SUM(G42:I42)/3</f>
        <v>3666.6666666666665</v>
      </c>
      <c r="K42" s="66">
        <f t="shared" si="22"/>
        <v>222.22222222222217</v>
      </c>
      <c r="L42" s="66">
        <f t="shared" si="22"/>
        <v>2629.6296296296296</v>
      </c>
      <c r="M42" s="66">
        <f t="shared" si="22"/>
        <v>2172.8395061728393</v>
      </c>
      <c r="N42" s="66">
        <f t="shared" si="22"/>
        <v>1674.8971193415637</v>
      </c>
      <c r="O42" s="66">
        <f t="shared" si="22"/>
        <v>2159.1220850480108</v>
      </c>
      <c r="P42" s="66">
        <f t="shared" si="22"/>
        <v>2002.286236854138</v>
      </c>
      <c r="Q42" s="66">
        <f t="shared" si="22"/>
        <v>1945.4351470812373</v>
      </c>
    </row>
    <row r="43" spans="2:17" s="8" customFormat="1" x14ac:dyDescent="0.25">
      <c r="B43" s="258" t="s">
        <v>183</v>
      </c>
      <c r="C43" s="258"/>
      <c r="D43" s="258"/>
      <c r="F43" s="86">
        <v>-16000</v>
      </c>
      <c r="G43" s="86">
        <v>-13000</v>
      </c>
      <c r="H43" s="86">
        <v>-13000</v>
      </c>
      <c r="I43" s="69">
        <v>-13000</v>
      </c>
      <c r="J43" s="69">
        <v>-13000</v>
      </c>
      <c r="K43" s="69">
        <v>-13000</v>
      </c>
      <c r="L43" s="69">
        <v>-13000</v>
      </c>
      <c r="M43" s="69">
        <v>-13000</v>
      </c>
      <c r="N43" s="69">
        <v>-13000</v>
      </c>
      <c r="O43" s="69">
        <v>-13000</v>
      </c>
      <c r="P43" s="69">
        <v>-13000</v>
      </c>
      <c r="Q43" s="69">
        <v>-13000</v>
      </c>
    </row>
    <row r="44" spans="2:17" s="8" customFormat="1" x14ac:dyDescent="0.25">
      <c r="B44" s="263"/>
      <c r="C44" s="263"/>
      <c r="D44" s="263"/>
      <c r="F44" s="87">
        <f>SUM(F41:F43)</f>
        <v>301040</v>
      </c>
      <c r="G44" s="87">
        <f>SUM(G41:G43)</f>
        <v>363970</v>
      </c>
      <c r="H44" s="87">
        <f>SUM(H$41:H$43)</f>
        <v>341900</v>
      </c>
    </row>
    <row r="45" spans="2:17" s="8" customFormat="1" x14ac:dyDescent="0.25">
      <c r="B45" s="257" t="s">
        <v>169</v>
      </c>
      <c r="C45" s="257"/>
      <c r="D45" s="257"/>
      <c r="F45" s="77">
        <v>250000</v>
      </c>
      <c r="G45" s="77">
        <v>315000</v>
      </c>
      <c r="H45" s="77">
        <v>303000</v>
      </c>
      <c r="I45" s="69">
        <f>SUM(I$41:I$43)</f>
        <v>365011.58666666667</v>
      </c>
      <c r="J45" s="69">
        <f t="shared" ref="J45:Q45" si="23">SUM(J$41:J$43)</f>
        <v>343940.39666666667</v>
      </c>
      <c r="K45" s="69">
        <f t="shared" si="23"/>
        <v>340495.95222222223</v>
      </c>
      <c r="L45" s="69">
        <f t="shared" si="23"/>
        <v>342903.35962962959</v>
      </c>
      <c r="M45" s="69">
        <f t="shared" si="23"/>
        <v>342446.56950617285</v>
      </c>
      <c r="N45" s="69">
        <f t="shared" si="23"/>
        <v>303161.89711934153</v>
      </c>
      <c r="O45" s="69">
        <f t="shared" si="23"/>
        <v>303646.122085048</v>
      </c>
      <c r="P45" s="69">
        <f t="shared" si="23"/>
        <v>303489.28623685415</v>
      </c>
      <c r="Q45" s="69">
        <f t="shared" si="23"/>
        <v>303432.43514708121</v>
      </c>
    </row>
    <row r="46" spans="2:17" s="2" customFormat="1" x14ac:dyDescent="0.25">
      <c r="B46" s="256"/>
      <c r="C46" s="256"/>
      <c r="D46" s="256"/>
    </row>
    <row r="47" spans="2:17" x14ac:dyDescent="0.25">
      <c r="B47" s="261" t="s">
        <v>164</v>
      </c>
      <c r="C47" s="261"/>
      <c r="D47" s="261"/>
      <c r="F47" s="77">
        <v>3738000</v>
      </c>
      <c r="G47" s="77">
        <v>4062000</v>
      </c>
      <c r="H47" s="77">
        <v>4093000</v>
      </c>
      <c r="I47" s="69">
        <f>I34*H48</f>
        <v>4006330.0629512286</v>
      </c>
      <c r="J47" s="69">
        <f>J34*I48</f>
        <v>4152003.2010097443</v>
      </c>
      <c r="K47" s="69">
        <f>K34*J48</f>
        <v>3670700.1262461855</v>
      </c>
      <c r="L47" s="69">
        <f t="shared" ref="L47" si="24">L34*K48</f>
        <v>2951560.0909008896</v>
      </c>
      <c r="M47" s="69">
        <f>M34*L48</f>
        <v>2792435.2740461705</v>
      </c>
      <c r="N47" s="69">
        <v>2338143.3749026926</v>
      </c>
      <c r="O47" s="69">
        <v>2338143.3749026926</v>
      </c>
      <c r="P47" s="69">
        <v>2338143.3749026926</v>
      </c>
      <c r="Q47" s="69">
        <v>2338143.3749026926</v>
      </c>
    </row>
    <row r="48" spans="2:17" x14ac:dyDescent="0.25">
      <c r="B48" s="256" t="s">
        <v>159</v>
      </c>
      <c r="C48" s="256"/>
      <c r="D48" s="256"/>
      <c r="F48" s="91">
        <f>F47/(F$45+F$34)</f>
        <v>0.55958083832335326</v>
      </c>
      <c r="G48" s="91">
        <f t="shared" ref="G48:H48" si="25">G47/(G$45+G$34)</f>
        <v>0.55048109499932241</v>
      </c>
      <c r="H48" s="91">
        <f t="shared" si="25"/>
        <v>0.56431821315317798</v>
      </c>
      <c r="I48" s="91">
        <f t="shared" ref="I48:Q48" si="26">I47/(I$45+I$34)</f>
        <v>0.53672297309640993</v>
      </c>
      <c r="J48" s="91">
        <f t="shared" si="26"/>
        <v>0.51387573016046495</v>
      </c>
      <c r="K48" s="91">
        <f t="shared" si="26"/>
        <v>0.49049511980737487</v>
      </c>
      <c r="L48" s="91">
        <f t="shared" si="26"/>
        <v>0.46405149551929226</v>
      </c>
      <c r="M48" s="91">
        <f t="shared" si="26"/>
        <v>0.43906503529786883</v>
      </c>
      <c r="N48" s="91">
        <f t="shared" si="26"/>
        <v>0.38079591970372451</v>
      </c>
      <c r="O48" s="91">
        <f t="shared" si="26"/>
        <v>0.39194274253110789</v>
      </c>
      <c r="P48" s="91">
        <f t="shared" si="26"/>
        <v>0.40344050868813597</v>
      </c>
      <c r="Q48" s="91">
        <f t="shared" si="26"/>
        <v>0.4152497212170394</v>
      </c>
    </row>
    <row r="49" spans="2:17" x14ac:dyDescent="0.25">
      <c r="B49" s="256"/>
      <c r="C49" s="256"/>
      <c r="D49" s="256"/>
    </row>
    <row r="50" spans="2:17" x14ac:dyDescent="0.25">
      <c r="B50" s="261" t="s">
        <v>213</v>
      </c>
      <c r="C50" s="261"/>
      <c r="D50" s="261"/>
      <c r="F50" s="10"/>
      <c r="G50" s="10"/>
      <c r="H50" s="10"/>
      <c r="I50" s="2"/>
      <c r="J50" s="2"/>
      <c r="K50" s="2"/>
      <c r="L50" s="2"/>
      <c r="M50" s="2"/>
      <c r="N50" s="2"/>
      <c r="O50" s="2"/>
      <c r="P50" s="2"/>
      <c r="Q50" s="2"/>
    </row>
    <row r="51" spans="2:17" x14ac:dyDescent="0.25">
      <c r="B51" s="256" t="s">
        <v>160</v>
      </c>
      <c r="C51" s="256"/>
      <c r="D51" s="256"/>
      <c r="F51" s="77">
        <v>233000</v>
      </c>
      <c r="G51" s="77">
        <v>237000</v>
      </c>
      <c r="H51" s="77">
        <v>244000</v>
      </c>
      <c r="I51" s="66">
        <f t="shared" ref="I51:Q51" si="27">(I$34*(H51/H$54))*H$55</f>
        <v>238833.26053264106</v>
      </c>
      <c r="J51" s="66">
        <f t="shared" si="27"/>
        <v>247517.41535459991</v>
      </c>
      <c r="K51" s="66">
        <f t="shared" si="27"/>
        <v>206264.22876041787</v>
      </c>
      <c r="L51" s="66">
        <f t="shared" si="27"/>
        <v>173760.09931517742</v>
      </c>
      <c r="M51" s="66">
        <f t="shared" si="27"/>
        <v>173760.09931517742</v>
      </c>
      <c r="N51" s="66">
        <f t="shared" si="27"/>
        <v>168547.29633572209</v>
      </c>
      <c r="O51" s="66">
        <f t="shared" si="27"/>
        <v>245236.31616847563</v>
      </c>
      <c r="P51" s="66">
        <f t="shared" si="27"/>
        <v>237879.22668342135</v>
      </c>
      <c r="Q51" s="66">
        <f t="shared" si="27"/>
        <v>230742.84988291864</v>
      </c>
    </row>
    <row r="52" spans="2:17" x14ac:dyDescent="0.25">
      <c r="B52" s="256" t="s">
        <v>161</v>
      </c>
      <c r="C52" s="256"/>
      <c r="D52" s="256"/>
      <c r="F52" s="77">
        <v>134000</v>
      </c>
      <c r="G52" s="77">
        <v>143000</v>
      </c>
      <c r="H52" s="77">
        <v>153000</v>
      </c>
      <c r="I52" s="66">
        <f t="shared" ref="I52:Q52" si="28">(I$34*(H52/H$54))*H$55</f>
        <v>149760.20025202492</v>
      </c>
      <c r="J52" s="66">
        <f t="shared" si="28"/>
        <v>155205.59241497453</v>
      </c>
      <c r="K52" s="66">
        <f t="shared" si="28"/>
        <v>129337.81557518002</v>
      </c>
      <c r="L52" s="66">
        <f t="shared" si="28"/>
        <v>108956.12784927106</v>
      </c>
      <c r="M52" s="66">
        <f t="shared" si="28"/>
        <v>108956.12784927106</v>
      </c>
      <c r="N52" s="66">
        <f t="shared" si="28"/>
        <v>105687.44401379291</v>
      </c>
      <c r="O52" s="66">
        <f t="shared" si="28"/>
        <v>153775.2310400687</v>
      </c>
      <c r="P52" s="66">
        <f t="shared" si="28"/>
        <v>149161.97410886662</v>
      </c>
      <c r="Q52" s="66">
        <f t="shared" si="28"/>
        <v>144687.11488560057</v>
      </c>
    </row>
    <row r="53" spans="2:17" x14ac:dyDescent="0.25">
      <c r="B53" s="262" t="s">
        <v>162</v>
      </c>
      <c r="C53" s="262"/>
      <c r="D53" s="262"/>
      <c r="E53" s="10"/>
      <c r="F53" s="119">
        <v>343000</v>
      </c>
      <c r="G53" s="119">
        <v>341000</v>
      </c>
      <c r="H53" s="119">
        <v>448000</v>
      </c>
      <c r="I53" s="66">
        <f t="shared" ref="I53:Q53" si="29">(I$34*(H53/H$54))*H$55</f>
        <v>438513.52753534098</v>
      </c>
      <c r="J53" s="66">
        <f t="shared" si="29"/>
        <v>454458.2052412327</v>
      </c>
      <c r="K53" s="66">
        <f t="shared" si="29"/>
        <v>378714.64952732465</v>
      </c>
      <c r="L53" s="66">
        <f t="shared" si="29"/>
        <v>319034.9364475389</v>
      </c>
      <c r="M53" s="66">
        <f t="shared" si="29"/>
        <v>319034.9364475389</v>
      </c>
      <c r="N53" s="66">
        <f t="shared" si="29"/>
        <v>309463.88835411269</v>
      </c>
      <c r="O53" s="66">
        <f t="shared" si="29"/>
        <v>450269.95755523402</v>
      </c>
      <c r="P53" s="66">
        <f t="shared" si="29"/>
        <v>436761.85882857698</v>
      </c>
      <c r="Q53" s="66">
        <f t="shared" si="29"/>
        <v>423659.0030637196</v>
      </c>
    </row>
    <row r="54" spans="2:17" x14ac:dyDescent="0.25">
      <c r="B54" s="260" t="s">
        <v>163</v>
      </c>
      <c r="C54" s="260"/>
      <c r="D54" s="260"/>
      <c r="E54" s="120"/>
      <c r="F54" s="121">
        <f>SUM(F51:F53)</f>
        <v>710000</v>
      </c>
      <c r="G54" s="121">
        <f>SUM(G51:G53)</f>
        <v>721000</v>
      </c>
      <c r="H54" s="121">
        <f>SUM(H51:H53)</f>
        <v>845000</v>
      </c>
      <c r="I54" s="122">
        <f t="shared" ref="I54" si="30">SUM(I51:I53)</f>
        <v>827106.98832000699</v>
      </c>
      <c r="J54" s="122">
        <f>SUM(J51:J53)</f>
        <v>857181.21301080706</v>
      </c>
      <c r="K54" s="122">
        <f t="shared" ref="K54:Q54" si="31">SUM(K51:K53)</f>
        <v>714316.69386292249</v>
      </c>
      <c r="L54" s="122">
        <f t="shared" si="31"/>
        <v>601751.16361198737</v>
      </c>
      <c r="M54" s="122">
        <f t="shared" si="31"/>
        <v>601751.16361198737</v>
      </c>
      <c r="N54" s="122">
        <f t="shared" si="31"/>
        <v>583698.62870362774</v>
      </c>
      <c r="O54" s="122">
        <f t="shared" si="31"/>
        <v>849281.5047637783</v>
      </c>
      <c r="P54" s="122">
        <f t="shared" si="31"/>
        <v>823803.05962086492</v>
      </c>
      <c r="Q54" s="122">
        <f t="shared" si="31"/>
        <v>799088.96783223888</v>
      </c>
    </row>
    <row r="55" spans="2:17" x14ac:dyDescent="0.25">
      <c r="B55" s="256" t="s">
        <v>159</v>
      </c>
      <c r="C55" s="256"/>
      <c r="D55" s="256"/>
      <c r="F55" s="91">
        <f>F54/(F$45+F$34)</f>
        <v>0.1062874251497006</v>
      </c>
      <c r="G55" s="91">
        <f t="shared" ref="G55:H55" si="32">G54/(G$45+G$34)</f>
        <v>9.7709716763789131E-2</v>
      </c>
      <c r="H55" s="91">
        <f t="shared" si="32"/>
        <v>0.11650351578657107</v>
      </c>
      <c r="I55" s="118">
        <f>I54/(I$45+I$34)</f>
        <v>0.11080647746554273</v>
      </c>
      <c r="J55" s="118">
        <v>0.1</v>
      </c>
      <c r="K55" s="118">
        <v>0.1</v>
      </c>
      <c r="L55" s="118">
        <v>0.1</v>
      </c>
      <c r="M55" s="118">
        <v>0.1</v>
      </c>
      <c r="N55" s="118">
        <v>0.15</v>
      </c>
      <c r="O55" s="118">
        <v>0.15</v>
      </c>
      <c r="P55" s="118">
        <v>0.15</v>
      </c>
      <c r="Q55" s="118">
        <v>0.15</v>
      </c>
    </row>
    <row r="56" spans="2:17" x14ac:dyDescent="0.25">
      <c r="B56" s="256"/>
      <c r="C56" s="256"/>
      <c r="D56" s="256"/>
    </row>
    <row r="57" spans="2:17" x14ac:dyDescent="0.25">
      <c r="B57" s="256"/>
      <c r="C57" s="256"/>
      <c r="D57" s="256"/>
    </row>
    <row r="58" spans="2:17" x14ac:dyDescent="0.25">
      <c r="B58" s="256"/>
      <c r="C58" s="256"/>
      <c r="D58" s="256"/>
    </row>
    <row r="59" spans="2:17" x14ac:dyDescent="0.25">
      <c r="B59" s="256"/>
      <c r="C59" s="256"/>
      <c r="D59" s="256"/>
    </row>
    <row r="60" spans="2:17" x14ac:dyDescent="0.25">
      <c r="B60" s="256"/>
      <c r="C60" s="256"/>
      <c r="D60" s="256"/>
    </row>
    <row r="61" spans="2:17" x14ac:dyDescent="0.25">
      <c r="B61" s="256"/>
      <c r="C61" s="256"/>
      <c r="D61" s="256"/>
    </row>
    <row r="62" spans="2:17" x14ac:dyDescent="0.25">
      <c r="B62" s="256"/>
      <c r="C62" s="256"/>
      <c r="D62" s="256"/>
    </row>
    <row r="63" spans="2:17" x14ac:dyDescent="0.25">
      <c r="B63" s="256"/>
      <c r="C63" s="256"/>
      <c r="D63" s="256"/>
    </row>
    <row r="64" spans="2:17" x14ac:dyDescent="0.25">
      <c r="B64" s="256"/>
      <c r="C64" s="256"/>
      <c r="D64" s="256"/>
    </row>
    <row r="65" spans="2:4" x14ac:dyDescent="0.25">
      <c r="B65" s="256"/>
      <c r="C65" s="256"/>
      <c r="D65" s="256"/>
    </row>
    <row r="66" spans="2:4" x14ac:dyDescent="0.25">
      <c r="B66" s="256"/>
      <c r="C66" s="256"/>
      <c r="D66" s="256"/>
    </row>
    <row r="67" spans="2:4" x14ac:dyDescent="0.25">
      <c r="B67" s="256"/>
      <c r="C67" s="256"/>
      <c r="D67" s="256"/>
    </row>
    <row r="68" spans="2:4" x14ac:dyDescent="0.25">
      <c r="B68" s="256"/>
      <c r="C68" s="256"/>
      <c r="D68" s="256"/>
    </row>
    <row r="69" spans="2:4" x14ac:dyDescent="0.25">
      <c r="B69" s="256"/>
      <c r="C69" s="256"/>
      <c r="D69" s="256"/>
    </row>
    <row r="70" spans="2:4" x14ac:dyDescent="0.25">
      <c r="B70" s="256"/>
      <c r="C70" s="256"/>
      <c r="D70" s="256"/>
    </row>
    <row r="71" spans="2:4" x14ac:dyDescent="0.25">
      <c r="B71" s="256"/>
      <c r="C71" s="256"/>
      <c r="D71" s="256"/>
    </row>
    <row r="72" spans="2:4" x14ac:dyDescent="0.25">
      <c r="B72" s="256"/>
      <c r="C72" s="256"/>
      <c r="D72" s="256"/>
    </row>
    <row r="73" spans="2:4" x14ac:dyDescent="0.25">
      <c r="B73" s="256"/>
      <c r="C73" s="256"/>
      <c r="D73" s="256"/>
    </row>
    <row r="74" spans="2:4" x14ac:dyDescent="0.25">
      <c r="B74" s="256"/>
      <c r="C74" s="256"/>
      <c r="D74" s="256"/>
    </row>
    <row r="75" spans="2:4" x14ac:dyDescent="0.25">
      <c r="B75" s="256"/>
      <c r="C75" s="256"/>
      <c r="D75" s="256"/>
    </row>
    <row r="76" spans="2:4" x14ac:dyDescent="0.25">
      <c r="B76" s="256"/>
      <c r="C76" s="256"/>
      <c r="D76" s="256"/>
    </row>
    <row r="77" spans="2:4" x14ac:dyDescent="0.25">
      <c r="B77" s="256"/>
      <c r="C77" s="256"/>
      <c r="D77" s="256"/>
    </row>
    <row r="78" spans="2:4" x14ac:dyDescent="0.25">
      <c r="B78" s="256"/>
      <c r="C78" s="256"/>
      <c r="D78" s="256"/>
    </row>
    <row r="79" spans="2:4" x14ac:dyDescent="0.25">
      <c r="B79" s="256"/>
      <c r="C79" s="256"/>
      <c r="D79" s="256"/>
    </row>
    <row r="80" spans="2:4" x14ac:dyDescent="0.25">
      <c r="B80" s="256"/>
      <c r="C80" s="256"/>
      <c r="D80" s="256"/>
    </row>
    <row r="81" spans="2:4" x14ac:dyDescent="0.25">
      <c r="B81" s="256"/>
      <c r="C81" s="256"/>
      <c r="D81" s="256"/>
    </row>
    <row r="82" spans="2:4" x14ac:dyDescent="0.25">
      <c r="B82" s="256"/>
      <c r="C82" s="256"/>
      <c r="D82" s="256"/>
    </row>
    <row r="83" spans="2:4" x14ac:dyDescent="0.25">
      <c r="B83" s="256"/>
      <c r="C83" s="256"/>
      <c r="D83" s="256"/>
    </row>
    <row r="84" spans="2:4" x14ac:dyDescent="0.25">
      <c r="B84" s="256"/>
      <c r="C84" s="256"/>
      <c r="D84" s="256"/>
    </row>
    <row r="85" spans="2:4" x14ac:dyDescent="0.25">
      <c r="B85" s="256"/>
      <c r="C85" s="256"/>
      <c r="D85" s="256"/>
    </row>
    <row r="86" spans="2:4" x14ac:dyDescent="0.25">
      <c r="B86" s="256"/>
      <c r="C86" s="256"/>
      <c r="D86" s="256"/>
    </row>
    <row r="87" spans="2:4" x14ac:dyDescent="0.25">
      <c r="B87" s="256"/>
      <c r="C87" s="256"/>
      <c r="D87" s="256"/>
    </row>
    <row r="88" spans="2:4" x14ac:dyDescent="0.25">
      <c r="B88" s="256"/>
      <c r="C88" s="256"/>
      <c r="D88" s="256"/>
    </row>
    <row r="89" spans="2:4" x14ac:dyDescent="0.25">
      <c r="B89" s="256"/>
      <c r="C89" s="256"/>
      <c r="D89" s="256"/>
    </row>
    <row r="90" spans="2:4" x14ac:dyDescent="0.25">
      <c r="B90" s="256"/>
      <c r="C90" s="256"/>
      <c r="D90" s="256"/>
    </row>
    <row r="91" spans="2:4" x14ac:dyDescent="0.25">
      <c r="B91" s="256"/>
      <c r="C91" s="256"/>
      <c r="D91" s="256"/>
    </row>
    <row r="92" spans="2:4" x14ac:dyDescent="0.25">
      <c r="B92" s="256"/>
      <c r="C92" s="256"/>
      <c r="D92" s="256"/>
    </row>
    <row r="93" spans="2:4" x14ac:dyDescent="0.25">
      <c r="B93" s="256"/>
      <c r="C93" s="256"/>
      <c r="D93" s="256"/>
    </row>
    <row r="94" spans="2:4" x14ac:dyDescent="0.25">
      <c r="B94" s="256"/>
      <c r="C94" s="256"/>
      <c r="D94" s="256"/>
    </row>
    <row r="95" spans="2:4" x14ac:dyDescent="0.25">
      <c r="B95" s="256"/>
      <c r="C95" s="256"/>
      <c r="D95" s="256"/>
    </row>
    <row r="96" spans="2:4" x14ac:dyDescent="0.25">
      <c r="B96" s="256"/>
      <c r="C96" s="256"/>
      <c r="D96" s="256"/>
    </row>
    <row r="97" spans="2:4" x14ac:dyDescent="0.25">
      <c r="B97" s="256"/>
      <c r="C97" s="256"/>
      <c r="D97" s="256"/>
    </row>
    <row r="98" spans="2:4" x14ac:dyDescent="0.25">
      <c r="B98" s="256"/>
      <c r="C98" s="256"/>
      <c r="D98" s="256"/>
    </row>
    <row r="99" spans="2:4" x14ac:dyDescent="0.25">
      <c r="B99" s="256"/>
      <c r="C99" s="256"/>
      <c r="D99" s="256"/>
    </row>
    <row r="100" spans="2:4" x14ac:dyDescent="0.25">
      <c r="B100" s="256"/>
      <c r="C100" s="256"/>
      <c r="D100" s="256"/>
    </row>
    <row r="101" spans="2:4" x14ac:dyDescent="0.25">
      <c r="B101" s="256"/>
      <c r="C101" s="256"/>
      <c r="D101" s="256"/>
    </row>
    <row r="102" spans="2:4" x14ac:dyDescent="0.25">
      <c r="B102" s="256"/>
      <c r="C102" s="256"/>
      <c r="D102" s="256"/>
    </row>
    <row r="103" spans="2:4" x14ac:dyDescent="0.25">
      <c r="B103" s="256"/>
      <c r="C103" s="256"/>
      <c r="D103" s="256"/>
    </row>
    <row r="104" spans="2:4" x14ac:dyDescent="0.25">
      <c r="B104" s="256"/>
      <c r="C104" s="256"/>
      <c r="D104" s="256"/>
    </row>
    <row r="105" spans="2:4" x14ac:dyDescent="0.25">
      <c r="B105" s="256"/>
      <c r="C105" s="256"/>
      <c r="D105" s="256"/>
    </row>
    <row r="106" spans="2:4" x14ac:dyDescent="0.25">
      <c r="B106" s="256"/>
      <c r="C106" s="256"/>
      <c r="D106" s="256"/>
    </row>
    <row r="107" spans="2:4" x14ac:dyDescent="0.25">
      <c r="B107" s="256"/>
      <c r="C107" s="256"/>
      <c r="D107" s="256"/>
    </row>
    <row r="108" spans="2:4" x14ac:dyDescent="0.25">
      <c r="B108" s="256"/>
      <c r="C108" s="256"/>
      <c r="D108" s="256"/>
    </row>
    <row r="109" spans="2:4" x14ac:dyDescent="0.25">
      <c r="B109" s="256"/>
      <c r="C109" s="256"/>
      <c r="D109" s="256"/>
    </row>
    <row r="110" spans="2:4" x14ac:dyDescent="0.25">
      <c r="B110" s="256"/>
      <c r="C110" s="256"/>
      <c r="D110" s="256"/>
    </row>
    <row r="111" spans="2:4" x14ac:dyDescent="0.25">
      <c r="B111" s="256"/>
      <c r="C111" s="256"/>
      <c r="D111" s="256"/>
    </row>
    <row r="112" spans="2:4" x14ac:dyDescent="0.25">
      <c r="B112" s="256"/>
      <c r="C112" s="256"/>
      <c r="D112" s="256"/>
    </row>
    <row r="113" spans="2:4" x14ac:dyDescent="0.25">
      <c r="B113" s="256"/>
      <c r="C113" s="256"/>
      <c r="D113" s="256"/>
    </row>
    <row r="114" spans="2:4" x14ac:dyDescent="0.25">
      <c r="B114" s="256"/>
      <c r="C114" s="256"/>
      <c r="D114" s="256"/>
    </row>
    <row r="115" spans="2:4" x14ac:dyDescent="0.25">
      <c r="B115" s="256"/>
      <c r="C115" s="256"/>
      <c r="D115" s="256"/>
    </row>
    <row r="116" spans="2:4" x14ac:dyDescent="0.25">
      <c r="B116" s="256"/>
      <c r="C116" s="256"/>
      <c r="D116" s="256"/>
    </row>
    <row r="117" spans="2:4" x14ac:dyDescent="0.25">
      <c r="B117" s="256"/>
      <c r="C117" s="256"/>
      <c r="D117" s="256"/>
    </row>
    <row r="118" spans="2:4" x14ac:dyDescent="0.25">
      <c r="B118" s="256"/>
      <c r="C118" s="256"/>
      <c r="D118" s="256"/>
    </row>
    <row r="119" spans="2:4" x14ac:dyDescent="0.25">
      <c r="B119" s="256"/>
      <c r="C119" s="256"/>
      <c r="D119" s="256"/>
    </row>
    <row r="120" spans="2:4" x14ac:dyDescent="0.25">
      <c r="B120" s="256"/>
      <c r="C120" s="256"/>
      <c r="D120" s="256"/>
    </row>
    <row r="121" spans="2:4" x14ac:dyDescent="0.25">
      <c r="B121" s="256"/>
      <c r="C121" s="256"/>
      <c r="D121" s="256"/>
    </row>
    <row r="122" spans="2:4" x14ac:dyDescent="0.25">
      <c r="B122" s="256"/>
      <c r="C122" s="256"/>
      <c r="D122" s="256"/>
    </row>
    <row r="123" spans="2:4" x14ac:dyDescent="0.25">
      <c r="B123" s="256"/>
      <c r="C123" s="256"/>
      <c r="D123" s="256"/>
    </row>
    <row r="124" spans="2:4" x14ac:dyDescent="0.25">
      <c r="B124" s="256"/>
      <c r="C124" s="256"/>
      <c r="D124" s="256"/>
    </row>
    <row r="125" spans="2:4" x14ac:dyDescent="0.25">
      <c r="B125" s="256"/>
      <c r="C125" s="256"/>
      <c r="D125" s="256"/>
    </row>
    <row r="126" spans="2:4" x14ac:dyDescent="0.25">
      <c r="B126" s="256"/>
      <c r="C126" s="256"/>
      <c r="D126" s="256"/>
    </row>
    <row r="127" spans="2:4" x14ac:dyDescent="0.25">
      <c r="B127" s="256"/>
      <c r="C127" s="256"/>
      <c r="D127" s="256"/>
    </row>
    <row r="128" spans="2:4" x14ac:dyDescent="0.25">
      <c r="B128" s="256"/>
      <c r="C128" s="256"/>
      <c r="D128" s="256"/>
    </row>
    <row r="129" spans="2:4" x14ac:dyDescent="0.25">
      <c r="B129" s="256"/>
      <c r="C129" s="256"/>
      <c r="D129" s="256"/>
    </row>
    <row r="130" spans="2:4" x14ac:dyDescent="0.25">
      <c r="B130" s="256"/>
      <c r="C130" s="256"/>
      <c r="D130" s="256"/>
    </row>
    <row r="131" spans="2:4" x14ac:dyDescent="0.25">
      <c r="B131" s="256"/>
      <c r="C131" s="256"/>
      <c r="D131" s="256"/>
    </row>
    <row r="132" spans="2:4" x14ac:dyDescent="0.25">
      <c r="B132" s="256"/>
      <c r="C132" s="256"/>
      <c r="D132" s="256"/>
    </row>
    <row r="133" spans="2:4" x14ac:dyDescent="0.25">
      <c r="B133" s="256"/>
      <c r="C133" s="256"/>
      <c r="D133" s="256"/>
    </row>
    <row r="134" spans="2:4" x14ac:dyDescent="0.25">
      <c r="B134" s="256"/>
      <c r="C134" s="256"/>
      <c r="D134" s="256"/>
    </row>
    <row r="135" spans="2:4" x14ac:dyDescent="0.25">
      <c r="B135" s="256"/>
      <c r="C135" s="256"/>
      <c r="D135" s="256"/>
    </row>
    <row r="136" spans="2:4" x14ac:dyDescent="0.25">
      <c r="B136" s="256"/>
      <c r="C136" s="256"/>
      <c r="D136" s="256"/>
    </row>
    <row r="137" spans="2:4" x14ac:dyDescent="0.25">
      <c r="B137" s="256"/>
      <c r="C137" s="256"/>
      <c r="D137" s="256"/>
    </row>
    <row r="138" spans="2:4" x14ac:dyDescent="0.25">
      <c r="B138" s="256"/>
      <c r="C138" s="256"/>
      <c r="D138" s="256"/>
    </row>
    <row r="139" spans="2:4" x14ac:dyDescent="0.25">
      <c r="B139" s="256"/>
      <c r="C139" s="256"/>
      <c r="D139" s="256"/>
    </row>
    <row r="140" spans="2:4" x14ac:dyDescent="0.25">
      <c r="B140" s="256"/>
      <c r="C140" s="256"/>
      <c r="D140" s="256"/>
    </row>
    <row r="141" spans="2:4" x14ac:dyDescent="0.25">
      <c r="B141" s="256"/>
      <c r="C141" s="256"/>
      <c r="D141" s="256"/>
    </row>
    <row r="142" spans="2:4" x14ac:dyDescent="0.25">
      <c r="B142" s="256"/>
      <c r="C142" s="256"/>
      <c r="D142" s="256"/>
    </row>
    <row r="143" spans="2:4" x14ac:dyDescent="0.25">
      <c r="B143" s="256"/>
      <c r="C143" s="256"/>
      <c r="D143" s="256"/>
    </row>
    <row r="144" spans="2:4" x14ac:dyDescent="0.25">
      <c r="B144" s="256"/>
      <c r="C144" s="256"/>
      <c r="D144" s="256"/>
    </row>
    <row r="145" spans="2:4" x14ac:dyDescent="0.25">
      <c r="B145" s="256"/>
      <c r="C145" s="256"/>
      <c r="D145" s="256"/>
    </row>
    <row r="146" spans="2:4" x14ac:dyDescent="0.25">
      <c r="B146" s="256"/>
      <c r="C146" s="256"/>
      <c r="D146" s="256"/>
    </row>
    <row r="147" spans="2:4" x14ac:dyDescent="0.25">
      <c r="B147" s="256"/>
      <c r="C147" s="256"/>
      <c r="D147" s="256"/>
    </row>
    <row r="148" spans="2:4" x14ac:dyDescent="0.25">
      <c r="B148" s="256"/>
      <c r="C148" s="256"/>
      <c r="D148" s="256"/>
    </row>
    <row r="149" spans="2:4" x14ac:dyDescent="0.25">
      <c r="B149" s="256"/>
      <c r="C149" s="256"/>
      <c r="D149" s="256"/>
    </row>
    <row r="150" spans="2:4" x14ac:dyDescent="0.25">
      <c r="B150" s="256"/>
      <c r="C150" s="256"/>
      <c r="D150" s="256"/>
    </row>
    <row r="151" spans="2:4" x14ac:dyDescent="0.25">
      <c r="B151" s="256"/>
      <c r="C151" s="256"/>
      <c r="D151" s="256"/>
    </row>
    <row r="152" spans="2:4" x14ac:dyDescent="0.25">
      <c r="B152" s="256"/>
      <c r="C152" s="256"/>
      <c r="D152" s="256"/>
    </row>
    <row r="153" spans="2:4" x14ac:dyDescent="0.25">
      <c r="B153" s="256"/>
      <c r="C153" s="256"/>
      <c r="D153" s="256"/>
    </row>
    <row r="154" spans="2:4" x14ac:dyDescent="0.25">
      <c r="B154" s="256"/>
      <c r="C154" s="256"/>
      <c r="D154" s="256"/>
    </row>
    <row r="155" spans="2:4" x14ac:dyDescent="0.25">
      <c r="B155" s="256"/>
      <c r="C155" s="256"/>
      <c r="D155" s="256"/>
    </row>
    <row r="156" spans="2:4" x14ac:dyDescent="0.25">
      <c r="B156" s="256"/>
      <c r="C156" s="256"/>
      <c r="D156" s="256"/>
    </row>
    <row r="157" spans="2:4" x14ac:dyDescent="0.25">
      <c r="B157" s="256"/>
      <c r="C157" s="256"/>
      <c r="D157" s="256"/>
    </row>
    <row r="158" spans="2:4" x14ac:dyDescent="0.25">
      <c r="B158" s="256"/>
      <c r="C158" s="256"/>
      <c r="D158" s="256"/>
    </row>
    <row r="159" spans="2:4" x14ac:dyDescent="0.25">
      <c r="B159" s="256"/>
      <c r="C159" s="256"/>
      <c r="D159" s="256"/>
    </row>
    <row r="160" spans="2:4" x14ac:dyDescent="0.25">
      <c r="B160" s="256"/>
      <c r="C160" s="256"/>
      <c r="D160" s="256"/>
    </row>
    <row r="161" spans="2:4" x14ac:dyDescent="0.25">
      <c r="B161" s="256"/>
      <c r="C161" s="256"/>
      <c r="D161" s="256"/>
    </row>
    <row r="162" spans="2:4" x14ac:dyDescent="0.25">
      <c r="B162" s="256"/>
      <c r="C162" s="256"/>
      <c r="D162" s="256"/>
    </row>
    <row r="163" spans="2:4" x14ac:dyDescent="0.25">
      <c r="B163" s="256"/>
      <c r="C163" s="256"/>
      <c r="D163" s="256"/>
    </row>
    <row r="164" spans="2:4" x14ac:dyDescent="0.25">
      <c r="B164" s="256"/>
      <c r="C164" s="256"/>
      <c r="D164" s="256"/>
    </row>
    <row r="165" spans="2:4" x14ac:dyDescent="0.25">
      <c r="B165" s="256"/>
      <c r="C165" s="256"/>
      <c r="D165" s="256"/>
    </row>
    <row r="166" spans="2:4" x14ac:dyDescent="0.25">
      <c r="B166" s="256"/>
      <c r="C166" s="256"/>
      <c r="D166" s="256"/>
    </row>
    <row r="167" spans="2:4" x14ac:dyDescent="0.25">
      <c r="B167" s="256"/>
      <c r="C167" s="256"/>
      <c r="D167" s="256"/>
    </row>
    <row r="168" spans="2:4" x14ac:dyDescent="0.25">
      <c r="B168" s="256"/>
      <c r="C168" s="256"/>
      <c r="D168" s="256"/>
    </row>
    <row r="169" spans="2:4" x14ac:dyDescent="0.25">
      <c r="B169" s="256"/>
      <c r="C169" s="256"/>
      <c r="D169" s="256"/>
    </row>
    <row r="170" spans="2:4" x14ac:dyDescent="0.25">
      <c r="B170" s="256"/>
      <c r="C170" s="256"/>
      <c r="D170" s="256"/>
    </row>
    <row r="171" spans="2:4" x14ac:dyDescent="0.25">
      <c r="B171" s="256"/>
      <c r="C171" s="256"/>
      <c r="D171" s="256"/>
    </row>
    <row r="172" spans="2:4" x14ac:dyDescent="0.25">
      <c r="B172" s="256"/>
      <c r="C172" s="256"/>
      <c r="D172" s="256"/>
    </row>
    <row r="173" spans="2:4" x14ac:dyDescent="0.25">
      <c r="B173" s="256"/>
      <c r="C173" s="256"/>
      <c r="D173" s="256"/>
    </row>
    <row r="174" spans="2:4" x14ac:dyDescent="0.25">
      <c r="B174" s="256"/>
      <c r="C174" s="256"/>
      <c r="D174" s="256"/>
    </row>
    <row r="175" spans="2:4" x14ac:dyDescent="0.25">
      <c r="B175" s="256"/>
      <c r="C175" s="256"/>
      <c r="D175" s="256"/>
    </row>
    <row r="176" spans="2:4" x14ac:dyDescent="0.25">
      <c r="B176" s="256"/>
      <c r="C176" s="256"/>
      <c r="D176" s="256"/>
    </row>
    <row r="177" spans="2:4" x14ac:dyDescent="0.25">
      <c r="B177" s="256"/>
      <c r="C177" s="256"/>
      <c r="D177" s="256"/>
    </row>
    <row r="178" spans="2:4" x14ac:dyDescent="0.25">
      <c r="B178" s="256"/>
      <c r="C178" s="256"/>
      <c r="D178" s="256"/>
    </row>
    <row r="179" spans="2:4" x14ac:dyDescent="0.25">
      <c r="B179" s="256"/>
      <c r="C179" s="256"/>
      <c r="D179" s="256"/>
    </row>
    <row r="180" spans="2:4" x14ac:dyDescent="0.25">
      <c r="B180" s="256"/>
      <c r="C180" s="256"/>
      <c r="D180" s="256"/>
    </row>
    <row r="181" spans="2:4" x14ac:dyDescent="0.25">
      <c r="B181" s="256"/>
      <c r="C181" s="256"/>
      <c r="D181" s="256"/>
    </row>
    <row r="182" spans="2:4" x14ac:dyDescent="0.25">
      <c r="B182" s="256"/>
      <c r="C182" s="256"/>
      <c r="D182" s="256"/>
    </row>
    <row r="183" spans="2:4" x14ac:dyDescent="0.25">
      <c r="B183" s="256"/>
      <c r="C183" s="256"/>
      <c r="D183" s="256"/>
    </row>
    <row r="184" spans="2:4" x14ac:dyDescent="0.25">
      <c r="B184" s="256"/>
      <c r="C184" s="256"/>
      <c r="D184" s="256"/>
    </row>
    <row r="185" spans="2:4" x14ac:dyDescent="0.25">
      <c r="B185" s="256"/>
      <c r="C185" s="256"/>
      <c r="D185" s="256"/>
    </row>
    <row r="186" spans="2:4" x14ac:dyDescent="0.25">
      <c r="B186" s="256"/>
      <c r="C186" s="256"/>
      <c r="D186" s="256"/>
    </row>
    <row r="187" spans="2:4" x14ac:dyDescent="0.25">
      <c r="B187" s="256"/>
      <c r="C187" s="256"/>
      <c r="D187" s="256"/>
    </row>
    <row r="188" spans="2:4" x14ac:dyDescent="0.25">
      <c r="B188" s="256"/>
      <c r="C188" s="256"/>
      <c r="D188" s="256"/>
    </row>
    <row r="189" spans="2:4" x14ac:dyDescent="0.25">
      <c r="B189" s="256"/>
      <c r="C189" s="256"/>
      <c r="D189" s="256"/>
    </row>
    <row r="190" spans="2:4" x14ac:dyDescent="0.25">
      <c r="B190" s="256"/>
      <c r="C190" s="256"/>
      <c r="D190" s="256"/>
    </row>
    <row r="191" spans="2:4" x14ac:dyDescent="0.25">
      <c r="B191" s="256"/>
      <c r="C191" s="256"/>
      <c r="D191" s="256"/>
    </row>
    <row r="192" spans="2:4" x14ac:dyDescent="0.25">
      <c r="B192" s="256"/>
      <c r="C192" s="256"/>
      <c r="D192" s="256"/>
    </row>
    <row r="193" spans="2:4" x14ac:dyDescent="0.25">
      <c r="B193" s="256"/>
      <c r="C193" s="256"/>
      <c r="D193" s="256"/>
    </row>
    <row r="194" spans="2:4" x14ac:dyDescent="0.25">
      <c r="B194" s="256"/>
      <c r="C194" s="256"/>
      <c r="D194" s="256"/>
    </row>
    <row r="195" spans="2:4" x14ac:dyDescent="0.25">
      <c r="B195" s="256"/>
      <c r="C195" s="256"/>
      <c r="D195" s="256"/>
    </row>
    <row r="196" spans="2:4" x14ac:dyDescent="0.25">
      <c r="B196" s="256"/>
      <c r="C196" s="256"/>
      <c r="D196" s="256"/>
    </row>
    <row r="197" spans="2:4" x14ac:dyDescent="0.25">
      <c r="B197" s="256"/>
      <c r="C197" s="256"/>
      <c r="D197" s="256"/>
    </row>
    <row r="198" spans="2:4" x14ac:dyDescent="0.25">
      <c r="B198" s="256"/>
      <c r="C198" s="256"/>
      <c r="D198" s="256"/>
    </row>
    <row r="199" spans="2:4" x14ac:dyDescent="0.25">
      <c r="B199" s="256"/>
      <c r="C199" s="256"/>
      <c r="D199" s="256"/>
    </row>
    <row r="200" spans="2:4" x14ac:dyDescent="0.25">
      <c r="B200" s="256"/>
      <c r="C200" s="256"/>
      <c r="D200" s="256"/>
    </row>
    <row r="201" spans="2:4" x14ac:dyDescent="0.25">
      <c r="B201" s="256"/>
      <c r="C201" s="256"/>
      <c r="D201" s="256"/>
    </row>
    <row r="202" spans="2:4" x14ac:dyDescent="0.25">
      <c r="B202" s="256"/>
      <c r="C202" s="256"/>
      <c r="D202" s="256"/>
    </row>
    <row r="203" spans="2:4" x14ac:dyDescent="0.25">
      <c r="B203" s="256"/>
      <c r="C203" s="256"/>
      <c r="D203" s="256"/>
    </row>
    <row r="204" spans="2:4" x14ac:dyDescent="0.25">
      <c r="B204" s="256"/>
      <c r="C204" s="256"/>
      <c r="D204" s="256"/>
    </row>
    <row r="205" spans="2:4" x14ac:dyDescent="0.25">
      <c r="B205" s="256"/>
      <c r="C205" s="256"/>
      <c r="D205" s="256"/>
    </row>
    <row r="206" spans="2:4" x14ac:dyDescent="0.25">
      <c r="B206" s="256"/>
      <c r="C206" s="256"/>
      <c r="D206" s="256"/>
    </row>
    <row r="207" spans="2:4" x14ac:dyDescent="0.25">
      <c r="B207" s="256"/>
      <c r="C207" s="256"/>
      <c r="D207" s="256"/>
    </row>
    <row r="208" spans="2:4" x14ac:dyDescent="0.25">
      <c r="B208" s="256"/>
      <c r="C208" s="256"/>
      <c r="D208" s="256"/>
    </row>
    <row r="209" spans="2:4" x14ac:dyDescent="0.25">
      <c r="B209" s="256"/>
      <c r="C209" s="256"/>
      <c r="D209" s="256"/>
    </row>
    <row r="210" spans="2:4" x14ac:dyDescent="0.25">
      <c r="B210" s="256"/>
      <c r="C210" s="256"/>
      <c r="D210" s="256"/>
    </row>
    <row r="211" spans="2:4" x14ac:dyDescent="0.25">
      <c r="B211" s="256"/>
      <c r="C211" s="256"/>
      <c r="D211" s="256"/>
    </row>
    <row r="212" spans="2:4" x14ac:dyDescent="0.25">
      <c r="B212" s="256"/>
      <c r="C212" s="256"/>
      <c r="D212" s="256"/>
    </row>
    <row r="213" spans="2:4" x14ac:dyDescent="0.25">
      <c r="B213" s="256"/>
      <c r="C213" s="256"/>
      <c r="D213" s="256"/>
    </row>
    <row r="214" spans="2:4" x14ac:dyDescent="0.25">
      <c r="B214" s="256"/>
      <c r="C214" s="256"/>
      <c r="D214" s="256"/>
    </row>
    <row r="215" spans="2:4" x14ac:dyDescent="0.25">
      <c r="B215" s="256"/>
      <c r="C215" s="256"/>
      <c r="D215" s="256"/>
    </row>
    <row r="216" spans="2:4" x14ac:dyDescent="0.25">
      <c r="B216" s="256"/>
      <c r="C216" s="256"/>
      <c r="D216" s="256"/>
    </row>
    <row r="217" spans="2:4" x14ac:dyDescent="0.25">
      <c r="B217" s="256"/>
      <c r="C217" s="256"/>
      <c r="D217" s="256"/>
    </row>
    <row r="218" spans="2:4" x14ac:dyDescent="0.25">
      <c r="B218" s="256"/>
      <c r="C218" s="256"/>
      <c r="D218" s="256"/>
    </row>
    <row r="219" spans="2:4" x14ac:dyDescent="0.25">
      <c r="B219" s="256"/>
      <c r="C219" s="256"/>
      <c r="D219" s="256"/>
    </row>
    <row r="220" spans="2:4" x14ac:dyDescent="0.25">
      <c r="B220" s="256"/>
      <c r="C220" s="256"/>
      <c r="D220" s="256"/>
    </row>
    <row r="221" spans="2:4" x14ac:dyDescent="0.25">
      <c r="B221" s="256"/>
      <c r="C221" s="256"/>
      <c r="D221" s="256"/>
    </row>
    <row r="222" spans="2:4" x14ac:dyDescent="0.25">
      <c r="B222" s="256"/>
      <c r="C222" s="256"/>
      <c r="D222" s="256"/>
    </row>
    <row r="223" spans="2:4" x14ac:dyDescent="0.25">
      <c r="B223" s="256"/>
      <c r="C223" s="256"/>
      <c r="D223" s="256"/>
    </row>
    <row r="224" spans="2:4" x14ac:dyDescent="0.25">
      <c r="B224" s="256"/>
      <c r="C224" s="256"/>
      <c r="D224" s="256"/>
    </row>
    <row r="225" spans="2:4" x14ac:dyDescent="0.25">
      <c r="B225" s="256"/>
      <c r="C225" s="256"/>
      <c r="D225" s="256"/>
    </row>
    <row r="226" spans="2:4" x14ac:dyDescent="0.25">
      <c r="B226" s="256"/>
      <c r="C226" s="256"/>
      <c r="D226" s="256"/>
    </row>
    <row r="227" spans="2:4" x14ac:dyDescent="0.25">
      <c r="B227" s="256"/>
      <c r="C227" s="256"/>
      <c r="D227" s="256"/>
    </row>
    <row r="228" spans="2:4" x14ac:dyDescent="0.25">
      <c r="B228" s="256"/>
      <c r="C228" s="256"/>
      <c r="D228" s="256"/>
    </row>
    <row r="229" spans="2:4" x14ac:dyDescent="0.25">
      <c r="B229" s="256"/>
      <c r="C229" s="256"/>
      <c r="D229" s="256"/>
    </row>
    <row r="230" spans="2:4" x14ac:dyDescent="0.25">
      <c r="B230" s="256"/>
      <c r="C230" s="256"/>
      <c r="D230" s="256"/>
    </row>
    <row r="231" spans="2:4" x14ac:dyDescent="0.25">
      <c r="B231" s="256"/>
      <c r="C231" s="256"/>
      <c r="D231" s="256"/>
    </row>
    <row r="232" spans="2:4" x14ac:dyDescent="0.25">
      <c r="B232" s="256"/>
      <c r="C232" s="256"/>
      <c r="D232" s="256"/>
    </row>
    <row r="233" spans="2:4" x14ac:dyDescent="0.25">
      <c r="B233" s="256"/>
      <c r="C233" s="256"/>
      <c r="D233" s="256"/>
    </row>
    <row r="234" spans="2:4" x14ac:dyDescent="0.25">
      <c r="B234" s="256"/>
      <c r="C234" s="256"/>
      <c r="D234" s="256"/>
    </row>
    <row r="235" spans="2:4" x14ac:dyDescent="0.25">
      <c r="B235" s="256"/>
      <c r="C235" s="256"/>
      <c r="D235" s="256"/>
    </row>
    <row r="236" spans="2:4" x14ac:dyDescent="0.25">
      <c r="B236" s="256"/>
      <c r="C236" s="256"/>
      <c r="D236" s="256"/>
    </row>
    <row r="237" spans="2:4" x14ac:dyDescent="0.25">
      <c r="B237" s="256"/>
      <c r="C237" s="256"/>
      <c r="D237" s="256"/>
    </row>
    <row r="238" spans="2:4" x14ac:dyDescent="0.25">
      <c r="B238" s="256"/>
      <c r="C238" s="256"/>
      <c r="D238" s="256"/>
    </row>
    <row r="239" spans="2:4" x14ac:dyDescent="0.25">
      <c r="B239" s="256"/>
      <c r="C239" s="256"/>
      <c r="D239" s="256"/>
    </row>
    <row r="240" spans="2:4" x14ac:dyDescent="0.25">
      <c r="B240" s="256"/>
      <c r="C240" s="256"/>
      <c r="D240" s="256"/>
    </row>
    <row r="241" spans="2:4" x14ac:dyDescent="0.25">
      <c r="B241" s="256"/>
      <c r="C241" s="256"/>
      <c r="D241" s="256"/>
    </row>
    <row r="242" spans="2:4" x14ac:dyDescent="0.25">
      <c r="B242" s="256"/>
      <c r="C242" s="256"/>
      <c r="D242" s="256"/>
    </row>
    <row r="243" spans="2:4" x14ac:dyDescent="0.25">
      <c r="B243" s="256"/>
      <c r="C243" s="256"/>
      <c r="D243" s="256"/>
    </row>
    <row r="244" spans="2:4" x14ac:dyDescent="0.25">
      <c r="B244" s="256"/>
      <c r="C244" s="256"/>
      <c r="D244" s="256"/>
    </row>
    <row r="245" spans="2:4" x14ac:dyDescent="0.25">
      <c r="B245" s="256"/>
      <c r="C245" s="256"/>
      <c r="D245" s="256"/>
    </row>
    <row r="246" spans="2:4" x14ac:dyDescent="0.25">
      <c r="B246" s="256"/>
      <c r="C246" s="256"/>
      <c r="D246" s="256"/>
    </row>
    <row r="247" spans="2:4" x14ac:dyDescent="0.25">
      <c r="B247" s="256"/>
      <c r="C247" s="256"/>
      <c r="D247" s="256"/>
    </row>
    <row r="248" spans="2:4" x14ac:dyDescent="0.25">
      <c r="B248" s="256"/>
      <c r="C248" s="256"/>
      <c r="D248" s="256"/>
    </row>
    <row r="249" spans="2:4" x14ac:dyDescent="0.25">
      <c r="B249" s="256"/>
      <c r="C249" s="256"/>
      <c r="D249" s="256"/>
    </row>
    <row r="250" spans="2:4" x14ac:dyDescent="0.25">
      <c r="B250" s="256"/>
      <c r="C250" s="256"/>
      <c r="D250" s="256"/>
    </row>
    <row r="251" spans="2:4" x14ac:dyDescent="0.25">
      <c r="B251" s="256"/>
      <c r="C251" s="256"/>
      <c r="D251" s="256"/>
    </row>
    <row r="252" spans="2:4" x14ac:dyDescent="0.25">
      <c r="B252" s="256"/>
      <c r="C252" s="256"/>
      <c r="D252" s="256"/>
    </row>
    <row r="253" spans="2:4" x14ac:dyDescent="0.25">
      <c r="B253" s="256"/>
      <c r="C253" s="256"/>
      <c r="D253" s="256"/>
    </row>
    <row r="254" spans="2:4" x14ac:dyDescent="0.25">
      <c r="B254" s="256"/>
      <c r="C254" s="256"/>
      <c r="D254" s="256"/>
    </row>
    <row r="255" spans="2:4" x14ac:dyDescent="0.25">
      <c r="B255" s="256"/>
      <c r="C255" s="256"/>
      <c r="D255" s="256"/>
    </row>
    <row r="256" spans="2:4" x14ac:dyDescent="0.25">
      <c r="B256" s="256"/>
      <c r="C256" s="256"/>
      <c r="D256" s="256"/>
    </row>
    <row r="257" spans="2:4" x14ac:dyDescent="0.25">
      <c r="B257" s="256"/>
      <c r="C257" s="256"/>
      <c r="D257" s="256"/>
    </row>
    <row r="258" spans="2:4" x14ac:dyDescent="0.25">
      <c r="B258" s="256"/>
      <c r="C258" s="256"/>
      <c r="D258" s="256"/>
    </row>
    <row r="259" spans="2:4" x14ac:dyDescent="0.25">
      <c r="B259" s="256"/>
      <c r="C259" s="256"/>
      <c r="D259" s="256"/>
    </row>
    <row r="260" spans="2:4" x14ac:dyDescent="0.25">
      <c r="B260" s="256"/>
      <c r="C260" s="256"/>
      <c r="D260" s="256"/>
    </row>
    <row r="261" spans="2:4" x14ac:dyDescent="0.25">
      <c r="B261" s="256"/>
      <c r="C261" s="256"/>
      <c r="D261" s="256"/>
    </row>
    <row r="262" spans="2:4" x14ac:dyDescent="0.25">
      <c r="B262" s="256"/>
      <c r="C262" s="256"/>
      <c r="D262" s="256"/>
    </row>
    <row r="263" spans="2:4" x14ac:dyDescent="0.25">
      <c r="B263" s="256"/>
      <c r="C263" s="256"/>
      <c r="D263" s="256"/>
    </row>
    <row r="264" spans="2:4" x14ac:dyDescent="0.25">
      <c r="B264" s="256"/>
      <c r="C264" s="256"/>
      <c r="D264" s="256"/>
    </row>
    <row r="265" spans="2:4" x14ac:dyDescent="0.25">
      <c r="B265" s="256"/>
      <c r="C265" s="256"/>
      <c r="D265" s="256"/>
    </row>
    <row r="266" spans="2:4" x14ac:dyDescent="0.25">
      <c r="B266" s="256"/>
      <c r="C266" s="256"/>
      <c r="D266" s="256"/>
    </row>
    <row r="267" spans="2:4" x14ac:dyDescent="0.25">
      <c r="B267" s="256"/>
      <c r="C267" s="256"/>
      <c r="D267" s="256"/>
    </row>
    <row r="268" spans="2:4" x14ac:dyDescent="0.25">
      <c r="B268" s="256"/>
      <c r="C268" s="256"/>
      <c r="D268" s="256"/>
    </row>
    <row r="269" spans="2:4" x14ac:dyDescent="0.25">
      <c r="B269" s="256"/>
      <c r="C269" s="256"/>
      <c r="D269" s="256"/>
    </row>
    <row r="270" spans="2:4" x14ac:dyDescent="0.25">
      <c r="B270" s="256"/>
      <c r="C270" s="256"/>
      <c r="D270" s="256"/>
    </row>
    <row r="271" spans="2:4" x14ac:dyDescent="0.25">
      <c r="B271" s="256"/>
      <c r="C271" s="256"/>
      <c r="D271" s="256"/>
    </row>
    <row r="272" spans="2:4" x14ac:dyDescent="0.25">
      <c r="B272" s="256"/>
      <c r="C272" s="256"/>
      <c r="D272" s="256"/>
    </row>
    <row r="273" spans="2:4" x14ac:dyDescent="0.25">
      <c r="B273" s="256"/>
      <c r="C273" s="256"/>
      <c r="D273" s="256"/>
    </row>
    <row r="274" spans="2:4" x14ac:dyDescent="0.25">
      <c r="B274" s="256"/>
      <c r="C274" s="256"/>
      <c r="D274" s="256"/>
    </row>
    <row r="275" spans="2:4" x14ac:dyDescent="0.25">
      <c r="B275" s="256"/>
      <c r="C275" s="256"/>
      <c r="D275" s="256"/>
    </row>
    <row r="276" spans="2:4" x14ac:dyDescent="0.25">
      <c r="B276" s="256"/>
      <c r="C276" s="256"/>
      <c r="D276" s="256"/>
    </row>
    <row r="277" spans="2:4" x14ac:dyDescent="0.25">
      <c r="B277" s="256"/>
      <c r="C277" s="256"/>
      <c r="D277" s="256"/>
    </row>
    <row r="278" spans="2:4" x14ac:dyDescent="0.25">
      <c r="B278" s="256"/>
      <c r="C278" s="256"/>
      <c r="D278" s="256"/>
    </row>
    <row r="279" spans="2:4" x14ac:dyDescent="0.25">
      <c r="B279" s="256"/>
      <c r="C279" s="256"/>
      <c r="D279" s="256"/>
    </row>
    <row r="280" spans="2:4" x14ac:dyDescent="0.25">
      <c r="B280" s="256"/>
      <c r="C280" s="256"/>
      <c r="D280" s="256"/>
    </row>
    <row r="281" spans="2:4" x14ac:dyDescent="0.25">
      <c r="B281" s="256"/>
      <c r="C281" s="256"/>
      <c r="D281" s="256"/>
    </row>
    <row r="282" spans="2:4" x14ac:dyDescent="0.25">
      <c r="B282" s="256"/>
      <c r="C282" s="256"/>
      <c r="D282" s="256"/>
    </row>
    <row r="283" spans="2:4" x14ac:dyDescent="0.25">
      <c r="B283" s="256"/>
      <c r="C283" s="256"/>
      <c r="D283" s="256"/>
    </row>
    <row r="284" spans="2:4" x14ac:dyDescent="0.25">
      <c r="B284" s="256"/>
      <c r="C284" s="256"/>
      <c r="D284" s="256"/>
    </row>
    <row r="285" spans="2:4" x14ac:dyDescent="0.25">
      <c r="B285" s="256"/>
      <c r="C285" s="256"/>
      <c r="D285" s="256"/>
    </row>
    <row r="286" spans="2:4" x14ac:dyDescent="0.25">
      <c r="B286" s="256"/>
      <c r="C286" s="256"/>
      <c r="D286" s="256"/>
    </row>
    <row r="287" spans="2:4" x14ac:dyDescent="0.25">
      <c r="B287" s="256"/>
      <c r="C287" s="256"/>
      <c r="D287" s="256"/>
    </row>
    <row r="288" spans="2:4" x14ac:dyDescent="0.25">
      <c r="B288" s="256"/>
      <c r="C288" s="256"/>
      <c r="D288" s="256"/>
    </row>
    <row r="289" spans="2:4" x14ac:dyDescent="0.25">
      <c r="B289" s="256"/>
      <c r="C289" s="256"/>
      <c r="D289" s="256"/>
    </row>
    <row r="290" spans="2:4" x14ac:dyDescent="0.25">
      <c r="B290" s="256"/>
      <c r="C290" s="256"/>
      <c r="D290" s="256"/>
    </row>
    <row r="291" spans="2:4" x14ac:dyDescent="0.25">
      <c r="B291" s="256"/>
      <c r="C291" s="256"/>
      <c r="D291" s="256"/>
    </row>
    <row r="292" spans="2:4" x14ac:dyDescent="0.25">
      <c r="B292" s="256"/>
      <c r="C292" s="256"/>
      <c r="D292" s="256"/>
    </row>
    <row r="293" spans="2:4" x14ac:dyDescent="0.25">
      <c r="B293" s="256"/>
      <c r="C293" s="256"/>
      <c r="D293" s="256"/>
    </row>
    <row r="294" spans="2:4" x14ac:dyDescent="0.25">
      <c r="B294" s="256"/>
      <c r="C294" s="256"/>
      <c r="D294" s="256"/>
    </row>
    <row r="295" spans="2:4" x14ac:dyDescent="0.25">
      <c r="B295" s="256"/>
      <c r="C295" s="256"/>
      <c r="D295" s="256"/>
    </row>
    <row r="296" spans="2:4" x14ac:dyDescent="0.25">
      <c r="B296" s="256"/>
      <c r="C296" s="256"/>
      <c r="D296" s="256"/>
    </row>
    <row r="297" spans="2:4" x14ac:dyDescent="0.25">
      <c r="B297" s="256"/>
      <c r="C297" s="256"/>
      <c r="D297" s="256"/>
    </row>
    <row r="298" spans="2:4" x14ac:dyDescent="0.25">
      <c r="B298" s="256"/>
      <c r="C298" s="256"/>
      <c r="D298" s="256"/>
    </row>
    <row r="299" spans="2:4" x14ac:dyDescent="0.25">
      <c r="B299" s="256"/>
      <c r="C299" s="256"/>
      <c r="D299" s="256"/>
    </row>
    <row r="300" spans="2:4" x14ac:dyDescent="0.25">
      <c r="B300" s="256"/>
      <c r="C300" s="256"/>
      <c r="D300" s="256"/>
    </row>
    <row r="301" spans="2:4" x14ac:dyDescent="0.25">
      <c r="B301" s="256"/>
      <c r="C301" s="256"/>
      <c r="D301" s="256"/>
    </row>
    <row r="302" spans="2:4" x14ac:dyDescent="0.25">
      <c r="B302" s="256"/>
      <c r="C302" s="256"/>
      <c r="D302" s="256"/>
    </row>
    <row r="303" spans="2:4" x14ac:dyDescent="0.25">
      <c r="B303" s="256"/>
      <c r="C303" s="256"/>
      <c r="D303" s="256"/>
    </row>
    <row r="304" spans="2:4" x14ac:dyDescent="0.25">
      <c r="B304" s="256"/>
      <c r="C304" s="256"/>
      <c r="D304" s="256"/>
    </row>
    <row r="305" spans="2:4" x14ac:dyDescent="0.25">
      <c r="B305" s="256"/>
      <c r="C305" s="256"/>
      <c r="D305" s="256"/>
    </row>
    <row r="306" spans="2:4" x14ac:dyDescent="0.25">
      <c r="B306" s="256"/>
      <c r="C306" s="256"/>
      <c r="D306" s="256"/>
    </row>
    <row r="307" spans="2:4" x14ac:dyDescent="0.25">
      <c r="B307" s="256"/>
      <c r="C307" s="256"/>
      <c r="D307" s="256"/>
    </row>
    <row r="308" spans="2:4" x14ac:dyDescent="0.25">
      <c r="B308" s="256"/>
      <c r="C308" s="256"/>
      <c r="D308" s="256"/>
    </row>
    <row r="309" spans="2:4" x14ac:dyDescent="0.25">
      <c r="B309" s="256"/>
      <c r="C309" s="256"/>
      <c r="D309" s="256"/>
    </row>
    <row r="310" spans="2:4" x14ac:dyDescent="0.25">
      <c r="B310" s="256"/>
      <c r="C310" s="256"/>
      <c r="D310" s="256"/>
    </row>
    <row r="311" spans="2:4" x14ac:dyDescent="0.25">
      <c r="B311" s="256"/>
      <c r="C311" s="256"/>
      <c r="D311" s="256"/>
    </row>
    <row r="312" spans="2:4" x14ac:dyDescent="0.25">
      <c r="B312" s="256"/>
      <c r="C312" s="256"/>
      <c r="D312" s="256"/>
    </row>
    <row r="313" spans="2:4" x14ac:dyDescent="0.25">
      <c r="B313" s="256"/>
      <c r="C313" s="256"/>
      <c r="D313" s="256"/>
    </row>
    <row r="314" spans="2:4" x14ac:dyDescent="0.25">
      <c r="B314" s="256"/>
      <c r="C314" s="256"/>
      <c r="D314" s="256"/>
    </row>
    <row r="315" spans="2:4" x14ac:dyDescent="0.25">
      <c r="B315" s="256"/>
      <c r="C315" s="256"/>
      <c r="D315" s="256"/>
    </row>
    <row r="316" spans="2:4" x14ac:dyDescent="0.25">
      <c r="B316" s="256"/>
      <c r="C316" s="256"/>
      <c r="D316" s="256"/>
    </row>
    <row r="317" spans="2:4" x14ac:dyDescent="0.25">
      <c r="B317" s="256"/>
      <c r="C317" s="256"/>
      <c r="D317" s="256"/>
    </row>
    <row r="318" spans="2:4" x14ac:dyDescent="0.25">
      <c r="B318" s="256"/>
      <c r="C318" s="256"/>
      <c r="D318" s="256"/>
    </row>
    <row r="319" spans="2:4" x14ac:dyDescent="0.25">
      <c r="B319" s="256"/>
      <c r="C319" s="256"/>
      <c r="D319" s="256"/>
    </row>
    <row r="320" spans="2:4" x14ac:dyDescent="0.25">
      <c r="B320" s="256"/>
      <c r="C320" s="256"/>
      <c r="D320" s="256"/>
    </row>
    <row r="321" spans="2:4" x14ac:dyDescent="0.25">
      <c r="B321" s="256"/>
      <c r="C321" s="256"/>
      <c r="D321" s="256"/>
    </row>
    <row r="322" spans="2:4" x14ac:dyDescent="0.25">
      <c r="B322" s="256"/>
      <c r="C322" s="256"/>
      <c r="D322" s="256"/>
    </row>
    <row r="323" spans="2:4" x14ac:dyDescent="0.25">
      <c r="B323" s="256"/>
      <c r="C323" s="256"/>
      <c r="D323" s="256"/>
    </row>
    <row r="324" spans="2:4" x14ac:dyDescent="0.25">
      <c r="B324" s="256"/>
      <c r="C324" s="256"/>
      <c r="D324" s="256"/>
    </row>
    <row r="325" spans="2:4" x14ac:dyDescent="0.25">
      <c r="B325" s="256"/>
      <c r="C325" s="256"/>
      <c r="D325" s="256"/>
    </row>
    <row r="326" spans="2:4" x14ac:dyDescent="0.25">
      <c r="B326" s="256"/>
      <c r="C326" s="256"/>
      <c r="D326" s="256"/>
    </row>
    <row r="327" spans="2:4" x14ac:dyDescent="0.25">
      <c r="B327" s="256"/>
      <c r="C327" s="256"/>
      <c r="D327" s="256"/>
    </row>
    <row r="328" spans="2:4" x14ac:dyDescent="0.25">
      <c r="B328" s="256"/>
      <c r="C328" s="256"/>
      <c r="D328" s="256"/>
    </row>
    <row r="329" spans="2:4" x14ac:dyDescent="0.25">
      <c r="B329" s="256"/>
      <c r="C329" s="256"/>
      <c r="D329" s="256"/>
    </row>
    <row r="330" spans="2:4" x14ac:dyDescent="0.25">
      <c r="B330" s="256"/>
      <c r="C330" s="256"/>
      <c r="D330" s="256"/>
    </row>
    <row r="331" spans="2:4" x14ac:dyDescent="0.25">
      <c r="B331" s="256"/>
      <c r="C331" s="256"/>
      <c r="D331" s="256"/>
    </row>
    <row r="332" spans="2:4" x14ac:dyDescent="0.25">
      <c r="B332" s="256"/>
      <c r="C332" s="256"/>
      <c r="D332" s="256"/>
    </row>
    <row r="333" spans="2:4" x14ac:dyDescent="0.25">
      <c r="B333" s="256"/>
      <c r="C333" s="256"/>
      <c r="D333" s="256"/>
    </row>
    <row r="334" spans="2:4" x14ac:dyDescent="0.25">
      <c r="B334" s="256"/>
      <c r="C334" s="256"/>
      <c r="D334" s="256"/>
    </row>
    <row r="335" spans="2:4" x14ac:dyDescent="0.25">
      <c r="B335" s="256"/>
      <c r="C335" s="256"/>
      <c r="D335" s="256"/>
    </row>
    <row r="336" spans="2:4" x14ac:dyDescent="0.25">
      <c r="B336" s="256"/>
      <c r="C336" s="256"/>
      <c r="D336" s="256"/>
    </row>
    <row r="337" spans="2:4" x14ac:dyDescent="0.25">
      <c r="B337" s="256"/>
      <c r="C337" s="256"/>
      <c r="D337" s="256"/>
    </row>
    <row r="338" spans="2:4" x14ac:dyDescent="0.25">
      <c r="B338" s="256"/>
      <c r="C338" s="256"/>
      <c r="D338" s="256"/>
    </row>
    <row r="339" spans="2:4" x14ac:dyDescent="0.25">
      <c r="B339" s="256"/>
      <c r="C339" s="256"/>
      <c r="D339" s="256"/>
    </row>
    <row r="340" spans="2:4" x14ac:dyDescent="0.25">
      <c r="B340" s="256"/>
      <c r="C340" s="256"/>
      <c r="D340" s="256"/>
    </row>
    <row r="341" spans="2:4" x14ac:dyDescent="0.25">
      <c r="B341" s="256"/>
      <c r="C341" s="256"/>
      <c r="D341" s="256"/>
    </row>
    <row r="342" spans="2:4" x14ac:dyDescent="0.25">
      <c r="B342" s="256"/>
      <c r="C342" s="256"/>
      <c r="D342" s="256"/>
    </row>
    <row r="343" spans="2:4" x14ac:dyDescent="0.25">
      <c r="B343" s="256"/>
      <c r="C343" s="256"/>
      <c r="D343" s="256"/>
    </row>
    <row r="344" spans="2:4" x14ac:dyDescent="0.25">
      <c r="B344" s="256"/>
      <c r="C344" s="256"/>
      <c r="D344" s="256"/>
    </row>
    <row r="345" spans="2:4" x14ac:dyDescent="0.25">
      <c r="B345" s="256"/>
      <c r="C345" s="256"/>
      <c r="D345" s="256"/>
    </row>
    <row r="346" spans="2:4" x14ac:dyDescent="0.25">
      <c r="B346" s="256"/>
      <c r="C346" s="256"/>
      <c r="D346" s="256"/>
    </row>
    <row r="347" spans="2:4" x14ac:dyDescent="0.25">
      <c r="B347" s="256"/>
      <c r="C347" s="256"/>
      <c r="D347" s="256"/>
    </row>
    <row r="348" spans="2:4" x14ac:dyDescent="0.25">
      <c r="B348" s="256"/>
      <c r="C348" s="256"/>
      <c r="D348" s="256"/>
    </row>
    <row r="349" spans="2:4" x14ac:dyDescent="0.25">
      <c r="B349" s="256"/>
      <c r="C349" s="256"/>
      <c r="D349" s="256"/>
    </row>
    <row r="350" spans="2:4" x14ac:dyDescent="0.25">
      <c r="B350" s="256"/>
      <c r="C350" s="256"/>
      <c r="D350" s="256"/>
    </row>
    <row r="351" spans="2:4" x14ac:dyDescent="0.25">
      <c r="B351" s="256"/>
      <c r="C351" s="256"/>
      <c r="D351" s="256"/>
    </row>
    <row r="352" spans="2:4" x14ac:dyDescent="0.25">
      <c r="B352" s="256"/>
      <c r="C352" s="256"/>
      <c r="D352" s="256"/>
    </row>
    <row r="353" spans="2:4" x14ac:dyDescent="0.25">
      <c r="B353" s="256"/>
      <c r="C353" s="256"/>
      <c r="D353" s="256"/>
    </row>
    <row r="354" spans="2:4" x14ac:dyDescent="0.25">
      <c r="B354" s="256"/>
      <c r="C354" s="256"/>
      <c r="D354" s="256"/>
    </row>
    <row r="355" spans="2:4" x14ac:dyDescent="0.25">
      <c r="B355" s="256"/>
      <c r="C355" s="256"/>
      <c r="D355" s="256"/>
    </row>
    <row r="356" spans="2:4" x14ac:dyDescent="0.25">
      <c r="B356" s="256"/>
      <c r="C356" s="256"/>
      <c r="D356" s="256"/>
    </row>
    <row r="357" spans="2:4" x14ac:dyDescent="0.25">
      <c r="B357" s="256"/>
      <c r="C357" s="256"/>
      <c r="D357" s="256"/>
    </row>
    <row r="358" spans="2:4" x14ac:dyDescent="0.25">
      <c r="B358" s="256"/>
      <c r="C358" s="256"/>
      <c r="D358" s="256"/>
    </row>
    <row r="359" spans="2:4" x14ac:dyDescent="0.25">
      <c r="B359" s="256"/>
      <c r="C359" s="256"/>
      <c r="D359" s="256"/>
    </row>
    <row r="360" spans="2:4" x14ac:dyDescent="0.25">
      <c r="B360" s="256"/>
      <c r="C360" s="256"/>
      <c r="D360" s="256"/>
    </row>
    <row r="361" spans="2:4" x14ac:dyDescent="0.25">
      <c r="B361" s="256"/>
      <c r="C361" s="256"/>
      <c r="D361" s="256"/>
    </row>
    <row r="362" spans="2:4" x14ac:dyDescent="0.25">
      <c r="B362" s="256"/>
      <c r="C362" s="256"/>
      <c r="D362" s="256"/>
    </row>
    <row r="363" spans="2:4" x14ac:dyDescent="0.25">
      <c r="B363" s="256"/>
      <c r="C363" s="256"/>
      <c r="D363" s="256"/>
    </row>
    <row r="364" spans="2:4" x14ac:dyDescent="0.25">
      <c r="B364" s="256"/>
      <c r="C364" s="256"/>
      <c r="D364" s="256"/>
    </row>
    <row r="365" spans="2:4" x14ac:dyDescent="0.25">
      <c r="B365" s="256"/>
      <c r="C365" s="256"/>
      <c r="D365" s="256"/>
    </row>
    <row r="366" spans="2:4" x14ac:dyDescent="0.25">
      <c r="B366" s="256"/>
      <c r="C366" s="256"/>
      <c r="D366" s="256"/>
    </row>
    <row r="367" spans="2:4" x14ac:dyDescent="0.25">
      <c r="B367" s="256"/>
      <c r="C367" s="256"/>
      <c r="D367" s="256"/>
    </row>
    <row r="368" spans="2:4" x14ac:dyDescent="0.25">
      <c r="B368" s="256"/>
      <c r="C368" s="256"/>
      <c r="D368" s="256"/>
    </row>
    <row r="369" spans="2:4" x14ac:dyDescent="0.25">
      <c r="B369" s="256"/>
      <c r="C369" s="256"/>
      <c r="D369" s="256"/>
    </row>
    <row r="370" spans="2:4" x14ac:dyDescent="0.25">
      <c r="B370" s="256"/>
      <c r="C370" s="256"/>
      <c r="D370" s="256"/>
    </row>
    <row r="371" spans="2:4" x14ac:dyDescent="0.25">
      <c r="B371" s="256"/>
      <c r="C371" s="256"/>
      <c r="D371" s="256"/>
    </row>
    <row r="372" spans="2:4" x14ac:dyDescent="0.25">
      <c r="B372" s="256"/>
      <c r="C372" s="256"/>
      <c r="D372" s="256"/>
    </row>
    <row r="373" spans="2:4" x14ac:dyDescent="0.25">
      <c r="B373" s="256"/>
      <c r="C373" s="256"/>
      <c r="D373" s="256"/>
    </row>
    <row r="374" spans="2:4" x14ac:dyDescent="0.25">
      <c r="B374" s="256"/>
      <c r="C374" s="256"/>
      <c r="D374" s="256"/>
    </row>
    <row r="375" spans="2:4" x14ac:dyDescent="0.25">
      <c r="B375" s="256"/>
      <c r="C375" s="256"/>
      <c r="D375" s="256"/>
    </row>
    <row r="376" spans="2:4" x14ac:dyDescent="0.25">
      <c r="B376" s="256"/>
      <c r="C376" s="256"/>
      <c r="D376" s="256"/>
    </row>
    <row r="377" spans="2:4" x14ac:dyDescent="0.25">
      <c r="B377" s="256"/>
      <c r="C377" s="256"/>
      <c r="D377" s="256"/>
    </row>
    <row r="378" spans="2:4" x14ac:dyDescent="0.25">
      <c r="B378" s="256"/>
      <c r="C378" s="256"/>
      <c r="D378" s="256"/>
    </row>
    <row r="379" spans="2:4" x14ac:dyDescent="0.25">
      <c r="B379" s="256"/>
      <c r="C379" s="256"/>
      <c r="D379" s="256"/>
    </row>
    <row r="380" spans="2:4" x14ac:dyDescent="0.25">
      <c r="B380" s="256"/>
      <c r="C380" s="256"/>
      <c r="D380" s="256"/>
    </row>
    <row r="381" spans="2:4" x14ac:dyDescent="0.25">
      <c r="B381" s="256"/>
      <c r="C381" s="256"/>
      <c r="D381" s="256"/>
    </row>
    <row r="382" spans="2:4" x14ac:dyDescent="0.25">
      <c r="B382" s="256"/>
      <c r="C382" s="256"/>
      <c r="D382" s="256"/>
    </row>
    <row r="383" spans="2:4" x14ac:dyDescent="0.25">
      <c r="B383" s="256"/>
      <c r="C383" s="256"/>
      <c r="D383" s="256"/>
    </row>
    <row r="384" spans="2:4" x14ac:dyDescent="0.25">
      <c r="B384" s="256"/>
      <c r="C384" s="256"/>
      <c r="D384" s="256"/>
    </row>
    <row r="385" spans="2:4" x14ac:dyDescent="0.25">
      <c r="B385" s="256"/>
      <c r="C385" s="256"/>
      <c r="D385" s="256"/>
    </row>
    <row r="386" spans="2:4" x14ac:dyDescent="0.25">
      <c r="B386" s="256"/>
      <c r="C386" s="256"/>
      <c r="D386" s="256"/>
    </row>
    <row r="387" spans="2:4" x14ac:dyDescent="0.25">
      <c r="B387" s="256"/>
      <c r="C387" s="256"/>
      <c r="D387" s="256"/>
    </row>
    <row r="388" spans="2:4" x14ac:dyDescent="0.25">
      <c r="B388" s="256"/>
      <c r="C388" s="256"/>
      <c r="D388" s="256"/>
    </row>
    <row r="389" spans="2:4" x14ac:dyDescent="0.25">
      <c r="B389" s="256"/>
      <c r="C389" s="256"/>
      <c r="D389" s="256"/>
    </row>
    <row r="390" spans="2:4" x14ac:dyDescent="0.25">
      <c r="B390" s="256"/>
      <c r="C390" s="256"/>
      <c r="D390" s="256"/>
    </row>
    <row r="391" spans="2:4" x14ac:dyDescent="0.25">
      <c r="B391" s="256"/>
      <c r="C391" s="256"/>
      <c r="D391" s="256"/>
    </row>
    <row r="392" spans="2:4" x14ac:dyDescent="0.25">
      <c r="B392" s="256"/>
      <c r="C392" s="256"/>
      <c r="D392" s="256"/>
    </row>
    <row r="393" spans="2:4" x14ac:dyDescent="0.25">
      <c r="B393" s="256"/>
      <c r="C393" s="256"/>
      <c r="D393" s="256"/>
    </row>
    <row r="394" spans="2:4" x14ac:dyDescent="0.25">
      <c r="B394" s="256"/>
      <c r="C394" s="256"/>
      <c r="D394" s="256"/>
    </row>
    <row r="395" spans="2:4" x14ac:dyDescent="0.25">
      <c r="B395" s="256"/>
      <c r="C395" s="256"/>
      <c r="D395" s="256"/>
    </row>
    <row r="396" spans="2:4" x14ac:dyDescent="0.25">
      <c r="B396" s="256"/>
      <c r="C396" s="256"/>
      <c r="D396" s="256"/>
    </row>
    <row r="397" spans="2:4" x14ac:dyDescent="0.25">
      <c r="B397" s="256"/>
      <c r="C397" s="256"/>
      <c r="D397" s="256"/>
    </row>
    <row r="398" spans="2:4" x14ac:dyDescent="0.25">
      <c r="B398" s="256"/>
      <c r="C398" s="256"/>
      <c r="D398" s="256"/>
    </row>
    <row r="399" spans="2:4" x14ac:dyDescent="0.25">
      <c r="B399" s="256"/>
      <c r="C399" s="256"/>
      <c r="D399" s="256"/>
    </row>
    <row r="400" spans="2:4" x14ac:dyDescent="0.25">
      <c r="B400" s="256"/>
      <c r="C400" s="256"/>
      <c r="D400" s="256"/>
    </row>
    <row r="401" spans="2:4" x14ac:dyDescent="0.25">
      <c r="B401" s="256"/>
      <c r="C401" s="256"/>
      <c r="D401" s="256"/>
    </row>
    <row r="402" spans="2:4" x14ac:dyDescent="0.25">
      <c r="B402" s="256"/>
      <c r="C402" s="256"/>
      <c r="D402" s="256"/>
    </row>
    <row r="403" spans="2:4" x14ac:dyDescent="0.25">
      <c r="B403" s="256"/>
      <c r="C403" s="256"/>
      <c r="D403" s="256"/>
    </row>
    <row r="404" spans="2:4" x14ac:dyDescent="0.25">
      <c r="B404" s="256"/>
      <c r="C404" s="256"/>
      <c r="D404" s="256"/>
    </row>
    <row r="405" spans="2:4" x14ac:dyDescent="0.25">
      <c r="B405" s="256"/>
      <c r="C405" s="256"/>
      <c r="D405" s="256"/>
    </row>
    <row r="406" spans="2:4" x14ac:dyDescent="0.25">
      <c r="B406" s="256"/>
      <c r="C406" s="256"/>
      <c r="D406" s="256"/>
    </row>
    <row r="407" spans="2:4" x14ac:dyDescent="0.25">
      <c r="B407" s="256"/>
      <c r="C407" s="256"/>
      <c r="D407" s="256"/>
    </row>
    <row r="408" spans="2:4" x14ac:dyDescent="0.25">
      <c r="B408" s="256"/>
      <c r="C408" s="256"/>
      <c r="D408" s="256"/>
    </row>
    <row r="409" spans="2:4" x14ac:dyDescent="0.25">
      <c r="B409" s="256"/>
      <c r="C409" s="256"/>
      <c r="D409" s="256"/>
    </row>
    <row r="410" spans="2:4" x14ac:dyDescent="0.25">
      <c r="B410" s="256"/>
      <c r="C410" s="256"/>
      <c r="D410" s="256"/>
    </row>
    <row r="411" spans="2:4" x14ac:dyDescent="0.25">
      <c r="B411" s="256"/>
      <c r="C411" s="256"/>
      <c r="D411" s="256"/>
    </row>
    <row r="412" spans="2:4" x14ac:dyDescent="0.25">
      <c r="B412" s="256"/>
      <c r="C412" s="256"/>
      <c r="D412" s="256"/>
    </row>
    <row r="413" spans="2:4" x14ac:dyDescent="0.25">
      <c r="B413" s="256"/>
      <c r="C413" s="256"/>
      <c r="D413" s="256"/>
    </row>
    <row r="414" spans="2:4" x14ac:dyDescent="0.25">
      <c r="B414" s="256"/>
      <c r="C414" s="256"/>
      <c r="D414" s="256"/>
    </row>
    <row r="415" spans="2:4" x14ac:dyDescent="0.25">
      <c r="B415" s="256"/>
      <c r="C415" s="256"/>
      <c r="D415" s="256"/>
    </row>
    <row r="416" spans="2:4" x14ac:dyDescent="0.25">
      <c r="B416" s="256"/>
      <c r="C416" s="256"/>
      <c r="D416" s="256"/>
    </row>
    <row r="417" spans="2:4" x14ac:dyDescent="0.25">
      <c r="B417" s="256"/>
      <c r="C417" s="256"/>
      <c r="D417" s="256"/>
    </row>
    <row r="418" spans="2:4" x14ac:dyDescent="0.25">
      <c r="B418" s="256"/>
      <c r="C418" s="256"/>
      <c r="D418" s="256"/>
    </row>
    <row r="419" spans="2:4" x14ac:dyDescent="0.25">
      <c r="B419" s="256"/>
      <c r="C419" s="256"/>
      <c r="D419" s="256"/>
    </row>
    <row r="420" spans="2:4" x14ac:dyDescent="0.25">
      <c r="B420" s="256"/>
      <c r="C420" s="256"/>
      <c r="D420" s="256"/>
    </row>
    <row r="421" spans="2:4" x14ac:dyDescent="0.25">
      <c r="B421" s="256"/>
      <c r="C421" s="256"/>
      <c r="D421" s="256"/>
    </row>
    <row r="422" spans="2:4" x14ac:dyDescent="0.25">
      <c r="B422" s="256"/>
      <c r="C422" s="256"/>
      <c r="D422" s="256"/>
    </row>
    <row r="423" spans="2:4" x14ac:dyDescent="0.25">
      <c r="B423" s="256"/>
      <c r="C423" s="256"/>
      <c r="D423" s="256"/>
    </row>
    <row r="424" spans="2:4" x14ac:dyDescent="0.25">
      <c r="B424" s="256"/>
      <c r="C424" s="256"/>
      <c r="D424" s="256"/>
    </row>
    <row r="425" spans="2:4" x14ac:dyDescent="0.25">
      <c r="B425" s="256"/>
      <c r="C425" s="256"/>
      <c r="D425" s="256"/>
    </row>
    <row r="426" spans="2:4" x14ac:dyDescent="0.25">
      <c r="B426" s="256"/>
      <c r="C426" s="256"/>
      <c r="D426" s="256"/>
    </row>
    <row r="427" spans="2:4" x14ac:dyDescent="0.25">
      <c r="B427" s="256"/>
      <c r="C427" s="256"/>
      <c r="D427" s="256"/>
    </row>
    <row r="428" spans="2:4" x14ac:dyDescent="0.25">
      <c r="B428" s="256"/>
      <c r="C428" s="256"/>
      <c r="D428" s="256"/>
    </row>
    <row r="429" spans="2:4" x14ac:dyDescent="0.25">
      <c r="B429" s="256"/>
      <c r="C429" s="256"/>
      <c r="D429" s="256"/>
    </row>
    <row r="430" spans="2:4" x14ac:dyDescent="0.25">
      <c r="B430" s="256"/>
      <c r="C430" s="256"/>
      <c r="D430" s="256"/>
    </row>
    <row r="431" spans="2:4" x14ac:dyDescent="0.25">
      <c r="B431" s="256"/>
      <c r="C431" s="256"/>
      <c r="D431" s="256"/>
    </row>
    <row r="432" spans="2:4" x14ac:dyDescent="0.25">
      <c r="B432" s="256"/>
      <c r="C432" s="256"/>
      <c r="D432" s="256"/>
    </row>
    <row r="433" spans="2:4" x14ac:dyDescent="0.25">
      <c r="B433" s="256"/>
      <c r="C433" s="256"/>
      <c r="D433" s="256"/>
    </row>
    <row r="434" spans="2:4" x14ac:dyDescent="0.25">
      <c r="B434" s="256"/>
      <c r="C434" s="256"/>
      <c r="D434" s="256"/>
    </row>
    <row r="435" spans="2:4" x14ac:dyDescent="0.25">
      <c r="B435" s="256"/>
      <c r="C435" s="256"/>
      <c r="D435" s="256"/>
    </row>
    <row r="436" spans="2:4" x14ac:dyDescent="0.25">
      <c r="B436" s="256"/>
      <c r="C436" s="256"/>
      <c r="D436" s="256"/>
    </row>
    <row r="437" spans="2:4" x14ac:dyDescent="0.25">
      <c r="B437" s="256"/>
      <c r="C437" s="256"/>
      <c r="D437" s="256"/>
    </row>
    <row r="438" spans="2:4" x14ac:dyDescent="0.25">
      <c r="B438" s="256"/>
      <c r="C438" s="256"/>
      <c r="D438" s="256"/>
    </row>
    <row r="439" spans="2:4" x14ac:dyDescent="0.25">
      <c r="B439" s="256"/>
      <c r="C439" s="256"/>
      <c r="D439" s="256"/>
    </row>
    <row r="440" spans="2:4" x14ac:dyDescent="0.25">
      <c r="B440" s="256"/>
      <c r="C440" s="256"/>
      <c r="D440" s="256"/>
    </row>
    <row r="441" spans="2:4" x14ac:dyDescent="0.25">
      <c r="B441" s="256"/>
      <c r="C441" s="256"/>
      <c r="D441" s="256"/>
    </row>
    <row r="442" spans="2:4" x14ac:dyDescent="0.25">
      <c r="B442" s="256"/>
      <c r="C442" s="256"/>
      <c r="D442" s="256"/>
    </row>
    <row r="443" spans="2:4" x14ac:dyDescent="0.25">
      <c r="B443" s="256"/>
      <c r="C443" s="256"/>
      <c r="D443" s="256"/>
    </row>
    <row r="444" spans="2:4" x14ac:dyDescent="0.25">
      <c r="B444" s="256"/>
      <c r="C444" s="256"/>
      <c r="D444" s="256"/>
    </row>
    <row r="445" spans="2:4" x14ac:dyDescent="0.25">
      <c r="B445" s="256"/>
      <c r="C445" s="256"/>
      <c r="D445" s="256"/>
    </row>
    <row r="446" spans="2:4" x14ac:dyDescent="0.25">
      <c r="B446" s="256"/>
      <c r="C446" s="256"/>
      <c r="D446" s="256"/>
    </row>
    <row r="447" spans="2:4" x14ac:dyDescent="0.25">
      <c r="B447" s="256"/>
      <c r="C447" s="256"/>
      <c r="D447" s="256"/>
    </row>
    <row r="448" spans="2:4" x14ac:dyDescent="0.25">
      <c r="B448" s="256"/>
      <c r="C448" s="256"/>
      <c r="D448" s="256"/>
    </row>
    <row r="449" spans="2:4" x14ac:dyDescent="0.25">
      <c r="B449" s="256"/>
      <c r="C449" s="256"/>
      <c r="D449" s="256"/>
    </row>
    <row r="450" spans="2:4" x14ac:dyDescent="0.25">
      <c r="B450" s="256"/>
      <c r="C450" s="256"/>
      <c r="D450" s="256"/>
    </row>
    <row r="451" spans="2:4" x14ac:dyDescent="0.25">
      <c r="B451" s="256"/>
      <c r="C451" s="256"/>
      <c r="D451" s="256"/>
    </row>
    <row r="452" spans="2:4" x14ac:dyDescent="0.25">
      <c r="B452" s="256"/>
      <c r="C452" s="256"/>
      <c r="D452" s="256"/>
    </row>
    <row r="453" spans="2:4" x14ac:dyDescent="0.25">
      <c r="B453" s="256"/>
      <c r="C453" s="256"/>
      <c r="D453" s="256"/>
    </row>
    <row r="454" spans="2:4" x14ac:dyDescent="0.25">
      <c r="B454" s="256"/>
      <c r="C454" s="256"/>
      <c r="D454" s="256"/>
    </row>
    <row r="455" spans="2:4" x14ac:dyDescent="0.25">
      <c r="B455" s="256"/>
      <c r="C455" s="256"/>
      <c r="D455" s="256"/>
    </row>
    <row r="456" spans="2:4" x14ac:dyDescent="0.25">
      <c r="B456" s="256"/>
      <c r="C456" s="256"/>
      <c r="D456" s="256"/>
    </row>
    <row r="457" spans="2:4" x14ac:dyDescent="0.25">
      <c r="B457" s="256"/>
      <c r="C457" s="256"/>
      <c r="D457" s="256"/>
    </row>
    <row r="458" spans="2:4" x14ac:dyDescent="0.25">
      <c r="B458" s="256"/>
      <c r="C458" s="256"/>
      <c r="D458" s="256"/>
    </row>
    <row r="459" spans="2:4" x14ac:dyDescent="0.25">
      <c r="B459" s="256"/>
      <c r="C459" s="256"/>
      <c r="D459" s="256"/>
    </row>
    <row r="460" spans="2:4" x14ac:dyDescent="0.25">
      <c r="B460" s="256"/>
      <c r="C460" s="256"/>
      <c r="D460" s="256"/>
    </row>
    <row r="461" spans="2:4" x14ac:dyDescent="0.25">
      <c r="B461" s="256"/>
      <c r="C461" s="256"/>
      <c r="D461" s="256"/>
    </row>
  </sheetData>
  <mergeCells count="472">
    <mergeCell ref="A1:D1"/>
    <mergeCell ref="B4:D4"/>
    <mergeCell ref="B5:D5"/>
    <mergeCell ref="B6:D6"/>
    <mergeCell ref="B2:D3"/>
    <mergeCell ref="B23:D23"/>
    <mergeCell ref="B26:D26"/>
    <mergeCell ref="B29:D29"/>
    <mergeCell ref="B21:D21"/>
    <mergeCell ref="B24:D24"/>
    <mergeCell ref="B27:D27"/>
    <mergeCell ref="B16:D16"/>
    <mergeCell ref="B10:D10"/>
    <mergeCell ref="B14:D14"/>
    <mergeCell ref="B15:D15"/>
    <mergeCell ref="B11:D11"/>
    <mergeCell ref="B12:D12"/>
    <mergeCell ref="B13:D13"/>
    <mergeCell ref="B7:D7"/>
    <mergeCell ref="B18:D18"/>
    <mergeCell ref="B19:D19"/>
    <mergeCell ref="B8:D8"/>
    <mergeCell ref="B9:D9"/>
    <mergeCell ref="B20:D20"/>
    <mergeCell ref="B47:D47"/>
    <mergeCell ref="B30:D30"/>
    <mergeCell ref="B32:D32"/>
    <mergeCell ref="B36:D36"/>
    <mergeCell ref="B38:D38"/>
    <mergeCell ref="B37:D37"/>
    <mergeCell ref="B31:D31"/>
    <mergeCell ref="B28:D28"/>
    <mergeCell ref="B22:D22"/>
    <mergeCell ref="B25:D25"/>
    <mergeCell ref="B40:D40"/>
    <mergeCell ref="B46:D46"/>
    <mergeCell ref="B44:D44"/>
    <mergeCell ref="B33:D33"/>
    <mergeCell ref="B42:D42"/>
    <mergeCell ref="B43:D43"/>
    <mergeCell ref="B39:D39"/>
    <mergeCell ref="B41:D41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66:D66"/>
    <mergeCell ref="B67:D67"/>
    <mergeCell ref="B68:D68"/>
    <mergeCell ref="B69:D69"/>
    <mergeCell ref="B70:D70"/>
    <mergeCell ref="B71:D71"/>
    <mergeCell ref="B60:D60"/>
    <mergeCell ref="B61:D61"/>
    <mergeCell ref="B62:D62"/>
    <mergeCell ref="B63:D63"/>
    <mergeCell ref="B64:D64"/>
    <mergeCell ref="B65:D65"/>
    <mergeCell ref="B78:D78"/>
    <mergeCell ref="B79:D79"/>
    <mergeCell ref="B80:D80"/>
    <mergeCell ref="B81:D81"/>
    <mergeCell ref="B82:D82"/>
    <mergeCell ref="B83:D83"/>
    <mergeCell ref="B72:D72"/>
    <mergeCell ref="B73:D73"/>
    <mergeCell ref="B74:D74"/>
    <mergeCell ref="B75:D75"/>
    <mergeCell ref="B76:D76"/>
    <mergeCell ref="B77:D77"/>
    <mergeCell ref="B90:D90"/>
    <mergeCell ref="B91:D91"/>
    <mergeCell ref="B92:D92"/>
    <mergeCell ref="B93:D93"/>
    <mergeCell ref="B94:D94"/>
    <mergeCell ref="B95:D95"/>
    <mergeCell ref="B84:D84"/>
    <mergeCell ref="B85:D85"/>
    <mergeCell ref="B86:D86"/>
    <mergeCell ref="B87:D87"/>
    <mergeCell ref="B88:D88"/>
    <mergeCell ref="B89:D89"/>
    <mergeCell ref="B102:D102"/>
    <mergeCell ref="B103:D103"/>
    <mergeCell ref="B104:D104"/>
    <mergeCell ref="B105:D105"/>
    <mergeCell ref="B106:D106"/>
    <mergeCell ref="B107:D107"/>
    <mergeCell ref="B96:D96"/>
    <mergeCell ref="B97:D97"/>
    <mergeCell ref="B98:D98"/>
    <mergeCell ref="B99:D99"/>
    <mergeCell ref="B100:D100"/>
    <mergeCell ref="B101:D101"/>
    <mergeCell ref="B114:D114"/>
    <mergeCell ref="B115:D115"/>
    <mergeCell ref="B116:D116"/>
    <mergeCell ref="B117:D117"/>
    <mergeCell ref="B118:D118"/>
    <mergeCell ref="B119:D119"/>
    <mergeCell ref="B108:D108"/>
    <mergeCell ref="B109:D109"/>
    <mergeCell ref="B110:D110"/>
    <mergeCell ref="B111:D111"/>
    <mergeCell ref="B112:D112"/>
    <mergeCell ref="B113:D113"/>
    <mergeCell ref="B126:D126"/>
    <mergeCell ref="B127:D127"/>
    <mergeCell ref="B128:D128"/>
    <mergeCell ref="B129:D129"/>
    <mergeCell ref="B130:D130"/>
    <mergeCell ref="B131:D131"/>
    <mergeCell ref="B120:D120"/>
    <mergeCell ref="B121:D121"/>
    <mergeCell ref="B122:D122"/>
    <mergeCell ref="B123:D123"/>
    <mergeCell ref="B124:D124"/>
    <mergeCell ref="B125:D125"/>
    <mergeCell ref="B138:D138"/>
    <mergeCell ref="B139:D139"/>
    <mergeCell ref="B140:D140"/>
    <mergeCell ref="B141:D141"/>
    <mergeCell ref="B142:D142"/>
    <mergeCell ref="B143:D143"/>
    <mergeCell ref="B132:D132"/>
    <mergeCell ref="B133:D133"/>
    <mergeCell ref="B134:D134"/>
    <mergeCell ref="B135:D135"/>
    <mergeCell ref="B136:D136"/>
    <mergeCell ref="B137:D137"/>
    <mergeCell ref="B150:D150"/>
    <mergeCell ref="B151:D151"/>
    <mergeCell ref="B152:D152"/>
    <mergeCell ref="B153:D153"/>
    <mergeCell ref="B154:D154"/>
    <mergeCell ref="B155:D155"/>
    <mergeCell ref="B144:D144"/>
    <mergeCell ref="B145:D145"/>
    <mergeCell ref="B146:D146"/>
    <mergeCell ref="B147:D147"/>
    <mergeCell ref="B148:D148"/>
    <mergeCell ref="B149:D149"/>
    <mergeCell ref="B162:D162"/>
    <mergeCell ref="B163:D163"/>
    <mergeCell ref="B164:D164"/>
    <mergeCell ref="B165:D165"/>
    <mergeCell ref="B166:D166"/>
    <mergeCell ref="B167:D167"/>
    <mergeCell ref="B156:D156"/>
    <mergeCell ref="B157:D157"/>
    <mergeCell ref="B158:D158"/>
    <mergeCell ref="B159:D159"/>
    <mergeCell ref="B160:D160"/>
    <mergeCell ref="B161:D161"/>
    <mergeCell ref="B174:D174"/>
    <mergeCell ref="B175:D175"/>
    <mergeCell ref="B176:D176"/>
    <mergeCell ref="B177:D177"/>
    <mergeCell ref="B178:D178"/>
    <mergeCell ref="B179:D179"/>
    <mergeCell ref="B168:D168"/>
    <mergeCell ref="B169:D169"/>
    <mergeCell ref="B170:D170"/>
    <mergeCell ref="B171:D171"/>
    <mergeCell ref="B172:D172"/>
    <mergeCell ref="B173:D173"/>
    <mergeCell ref="B186:D186"/>
    <mergeCell ref="B187:D187"/>
    <mergeCell ref="B188:D188"/>
    <mergeCell ref="B189:D189"/>
    <mergeCell ref="B190:D190"/>
    <mergeCell ref="B191:D191"/>
    <mergeCell ref="B180:D180"/>
    <mergeCell ref="B181:D181"/>
    <mergeCell ref="B182:D182"/>
    <mergeCell ref="B183:D183"/>
    <mergeCell ref="B184:D184"/>
    <mergeCell ref="B185:D185"/>
    <mergeCell ref="B198:D198"/>
    <mergeCell ref="B199:D199"/>
    <mergeCell ref="B200:D200"/>
    <mergeCell ref="B201:D201"/>
    <mergeCell ref="B202:D202"/>
    <mergeCell ref="B203:D203"/>
    <mergeCell ref="B192:D192"/>
    <mergeCell ref="B193:D193"/>
    <mergeCell ref="B194:D194"/>
    <mergeCell ref="B195:D195"/>
    <mergeCell ref="B196:D196"/>
    <mergeCell ref="B197:D197"/>
    <mergeCell ref="B210:D210"/>
    <mergeCell ref="B211:D211"/>
    <mergeCell ref="B212:D212"/>
    <mergeCell ref="B213:D213"/>
    <mergeCell ref="B214:D214"/>
    <mergeCell ref="B215:D215"/>
    <mergeCell ref="B204:D204"/>
    <mergeCell ref="B205:D205"/>
    <mergeCell ref="B206:D206"/>
    <mergeCell ref="B207:D207"/>
    <mergeCell ref="B208:D208"/>
    <mergeCell ref="B209:D209"/>
    <mergeCell ref="B222:D222"/>
    <mergeCell ref="B223:D223"/>
    <mergeCell ref="B224:D224"/>
    <mergeCell ref="B225:D225"/>
    <mergeCell ref="B226:D226"/>
    <mergeCell ref="B227:D227"/>
    <mergeCell ref="B216:D216"/>
    <mergeCell ref="B217:D217"/>
    <mergeCell ref="B218:D218"/>
    <mergeCell ref="B219:D219"/>
    <mergeCell ref="B220:D220"/>
    <mergeCell ref="B221:D221"/>
    <mergeCell ref="B234:D234"/>
    <mergeCell ref="B235:D235"/>
    <mergeCell ref="B236:D236"/>
    <mergeCell ref="B237:D237"/>
    <mergeCell ref="B238:D238"/>
    <mergeCell ref="B239:D239"/>
    <mergeCell ref="B228:D228"/>
    <mergeCell ref="B229:D229"/>
    <mergeCell ref="B230:D230"/>
    <mergeCell ref="B231:D231"/>
    <mergeCell ref="B232:D232"/>
    <mergeCell ref="B233:D233"/>
    <mergeCell ref="B246:D246"/>
    <mergeCell ref="B247:D247"/>
    <mergeCell ref="B248:D248"/>
    <mergeCell ref="B249:D249"/>
    <mergeCell ref="B250:D250"/>
    <mergeCell ref="B251:D251"/>
    <mergeCell ref="B240:D240"/>
    <mergeCell ref="B241:D241"/>
    <mergeCell ref="B242:D242"/>
    <mergeCell ref="B243:D243"/>
    <mergeCell ref="B244:D244"/>
    <mergeCell ref="B245:D245"/>
    <mergeCell ref="B258:D258"/>
    <mergeCell ref="B259:D259"/>
    <mergeCell ref="B260:D260"/>
    <mergeCell ref="B261:D261"/>
    <mergeCell ref="B262:D262"/>
    <mergeCell ref="B263:D263"/>
    <mergeCell ref="B252:D252"/>
    <mergeCell ref="B253:D253"/>
    <mergeCell ref="B254:D254"/>
    <mergeCell ref="B255:D255"/>
    <mergeCell ref="B256:D256"/>
    <mergeCell ref="B257:D257"/>
    <mergeCell ref="B270:D270"/>
    <mergeCell ref="B271:D271"/>
    <mergeCell ref="B272:D272"/>
    <mergeCell ref="B273:D273"/>
    <mergeCell ref="B274:D274"/>
    <mergeCell ref="B275:D275"/>
    <mergeCell ref="B264:D264"/>
    <mergeCell ref="B265:D265"/>
    <mergeCell ref="B266:D266"/>
    <mergeCell ref="B267:D267"/>
    <mergeCell ref="B268:D268"/>
    <mergeCell ref="B269:D269"/>
    <mergeCell ref="B282:D282"/>
    <mergeCell ref="B283:D283"/>
    <mergeCell ref="B284:D284"/>
    <mergeCell ref="B285:D285"/>
    <mergeCell ref="B286:D286"/>
    <mergeCell ref="B287:D287"/>
    <mergeCell ref="B276:D276"/>
    <mergeCell ref="B277:D277"/>
    <mergeCell ref="B278:D278"/>
    <mergeCell ref="B279:D279"/>
    <mergeCell ref="B280:D280"/>
    <mergeCell ref="B281:D281"/>
    <mergeCell ref="B294:D294"/>
    <mergeCell ref="B295:D295"/>
    <mergeCell ref="B296:D296"/>
    <mergeCell ref="B297:D297"/>
    <mergeCell ref="B298:D298"/>
    <mergeCell ref="B299:D299"/>
    <mergeCell ref="B288:D288"/>
    <mergeCell ref="B289:D289"/>
    <mergeCell ref="B290:D290"/>
    <mergeCell ref="B291:D291"/>
    <mergeCell ref="B292:D292"/>
    <mergeCell ref="B293:D293"/>
    <mergeCell ref="B306:D306"/>
    <mergeCell ref="B307:D307"/>
    <mergeCell ref="B308:D308"/>
    <mergeCell ref="B309:D309"/>
    <mergeCell ref="B310:D310"/>
    <mergeCell ref="B311:D311"/>
    <mergeCell ref="B300:D300"/>
    <mergeCell ref="B301:D301"/>
    <mergeCell ref="B302:D302"/>
    <mergeCell ref="B303:D303"/>
    <mergeCell ref="B304:D304"/>
    <mergeCell ref="B305:D305"/>
    <mergeCell ref="B318:D318"/>
    <mergeCell ref="B319:D319"/>
    <mergeCell ref="B320:D320"/>
    <mergeCell ref="B321:D321"/>
    <mergeCell ref="B322:D322"/>
    <mergeCell ref="B323:D323"/>
    <mergeCell ref="B312:D312"/>
    <mergeCell ref="B313:D313"/>
    <mergeCell ref="B314:D314"/>
    <mergeCell ref="B315:D315"/>
    <mergeCell ref="B316:D316"/>
    <mergeCell ref="B317:D317"/>
    <mergeCell ref="B330:D330"/>
    <mergeCell ref="B331:D331"/>
    <mergeCell ref="B332:D332"/>
    <mergeCell ref="B333:D333"/>
    <mergeCell ref="B334:D334"/>
    <mergeCell ref="B335:D335"/>
    <mergeCell ref="B324:D324"/>
    <mergeCell ref="B325:D325"/>
    <mergeCell ref="B326:D326"/>
    <mergeCell ref="B327:D327"/>
    <mergeCell ref="B328:D328"/>
    <mergeCell ref="B329:D329"/>
    <mergeCell ref="B342:D342"/>
    <mergeCell ref="B343:D343"/>
    <mergeCell ref="B344:D344"/>
    <mergeCell ref="B345:D345"/>
    <mergeCell ref="B346:D346"/>
    <mergeCell ref="B347:D347"/>
    <mergeCell ref="B336:D336"/>
    <mergeCell ref="B337:D337"/>
    <mergeCell ref="B338:D338"/>
    <mergeCell ref="B339:D339"/>
    <mergeCell ref="B340:D340"/>
    <mergeCell ref="B341:D341"/>
    <mergeCell ref="B354:D354"/>
    <mergeCell ref="B355:D355"/>
    <mergeCell ref="B356:D356"/>
    <mergeCell ref="B357:D357"/>
    <mergeCell ref="B358:D358"/>
    <mergeCell ref="B359:D359"/>
    <mergeCell ref="B348:D348"/>
    <mergeCell ref="B349:D349"/>
    <mergeCell ref="B350:D350"/>
    <mergeCell ref="B351:D351"/>
    <mergeCell ref="B352:D352"/>
    <mergeCell ref="B353:D353"/>
    <mergeCell ref="B366:D366"/>
    <mergeCell ref="B367:D367"/>
    <mergeCell ref="B368:D368"/>
    <mergeCell ref="B369:D369"/>
    <mergeCell ref="B370:D370"/>
    <mergeCell ref="B371:D371"/>
    <mergeCell ref="B360:D360"/>
    <mergeCell ref="B361:D361"/>
    <mergeCell ref="B362:D362"/>
    <mergeCell ref="B363:D363"/>
    <mergeCell ref="B364:D364"/>
    <mergeCell ref="B365:D365"/>
    <mergeCell ref="B378:D378"/>
    <mergeCell ref="B379:D379"/>
    <mergeCell ref="B380:D380"/>
    <mergeCell ref="B381:D381"/>
    <mergeCell ref="B382:D382"/>
    <mergeCell ref="B383:D383"/>
    <mergeCell ref="B372:D372"/>
    <mergeCell ref="B373:D373"/>
    <mergeCell ref="B374:D374"/>
    <mergeCell ref="B375:D375"/>
    <mergeCell ref="B376:D376"/>
    <mergeCell ref="B377:D377"/>
    <mergeCell ref="B390:D390"/>
    <mergeCell ref="B391:D391"/>
    <mergeCell ref="B392:D392"/>
    <mergeCell ref="B393:D393"/>
    <mergeCell ref="B394:D394"/>
    <mergeCell ref="B395:D395"/>
    <mergeCell ref="B384:D384"/>
    <mergeCell ref="B385:D385"/>
    <mergeCell ref="B386:D386"/>
    <mergeCell ref="B387:D387"/>
    <mergeCell ref="B388:D388"/>
    <mergeCell ref="B389:D389"/>
    <mergeCell ref="B402:D402"/>
    <mergeCell ref="B403:D403"/>
    <mergeCell ref="B404:D404"/>
    <mergeCell ref="B405:D405"/>
    <mergeCell ref="B406:D406"/>
    <mergeCell ref="B407:D407"/>
    <mergeCell ref="B396:D396"/>
    <mergeCell ref="B397:D397"/>
    <mergeCell ref="B398:D398"/>
    <mergeCell ref="B399:D399"/>
    <mergeCell ref="B400:D400"/>
    <mergeCell ref="B401:D401"/>
    <mergeCell ref="B414:D414"/>
    <mergeCell ref="B415:D415"/>
    <mergeCell ref="B416:D416"/>
    <mergeCell ref="B417:D417"/>
    <mergeCell ref="B418:D418"/>
    <mergeCell ref="B419:D419"/>
    <mergeCell ref="B408:D408"/>
    <mergeCell ref="B409:D409"/>
    <mergeCell ref="B410:D410"/>
    <mergeCell ref="B411:D411"/>
    <mergeCell ref="B412:D412"/>
    <mergeCell ref="B413:D413"/>
    <mergeCell ref="B459:D459"/>
    <mergeCell ref="B460:D460"/>
    <mergeCell ref="B461:D461"/>
    <mergeCell ref="B450:D450"/>
    <mergeCell ref="B451:D451"/>
    <mergeCell ref="B452:D452"/>
    <mergeCell ref="B453:D453"/>
    <mergeCell ref="B454:D454"/>
    <mergeCell ref="B455:D455"/>
    <mergeCell ref="B456:D456"/>
    <mergeCell ref="B432:D432"/>
    <mergeCell ref="B433:D433"/>
    <mergeCell ref="B434:D434"/>
    <mergeCell ref="B34:D34"/>
    <mergeCell ref="B35:D35"/>
    <mergeCell ref="B17:D17"/>
    <mergeCell ref="B45:D45"/>
    <mergeCell ref="B457:D457"/>
    <mergeCell ref="B458:D458"/>
    <mergeCell ref="B435:D435"/>
    <mergeCell ref="B436:D436"/>
    <mergeCell ref="B437:D437"/>
    <mergeCell ref="B426:D426"/>
    <mergeCell ref="B427:D427"/>
    <mergeCell ref="B428:D428"/>
    <mergeCell ref="B429:D429"/>
    <mergeCell ref="B430:D430"/>
    <mergeCell ref="B431:D431"/>
    <mergeCell ref="B420:D420"/>
    <mergeCell ref="B421:D421"/>
    <mergeCell ref="B422:D422"/>
    <mergeCell ref="B423:D423"/>
    <mergeCell ref="B424:D424"/>
    <mergeCell ref="B425:D425"/>
    <mergeCell ref="B444:D444"/>
    <mergeCell ref="B445:D445"/>
    <mergeCell ref="B446:D446"/>
    <mergeCell ref="B447:D447"/>
    <mergeCell ref="B448:D448"/>
    <mergeCell ref="B449:D449"/>
    <mergeCell ref="B438:D438"/>
    <mergeCell ref="B439:D439"/>
    <mergeCell ref="B440:D440"/>
    <mergeCell ref="B441:D441"/>
    <mergeCell ref="B442:D442"/>
    <mergeCell ref="B443:D443"/>
    <mergeCell ref="N4:N5"/>
    <mergeCell ref="O4:O5"/>
    <mergeCell ref="P4:P5"/>
    <mergeCell ref="Q4:Q5"/>
    <mergeCell ref="F4:F5"/>
    <mergeCell ref="G4:G5"/>
    <mergeCell ref="H4:H5"/>
    <mergeCell ref="I4:I5"/>
    <mergeCell ref="J4:J5"/>
    <mergeCell ref="K4:K5"/>
    <mergeCell ref="L4:L5"/>
    <mergeCell ref="M4:M5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61"/>
  <sheetViews>
    <sheetView zoomScale="69" zoomScaleNormal="70" workbookViewId="0">
      <selection activeCell="B12" sqref="B12:D12"/>
    </sheetView>
  </sheetViews>
  <sheetFormatPr defaultColWidth="8.7109375" defaultRowHeight="15" x14ac:dyDescent="0.25"/>
  <cols>
    <col min="1" max="1" width="8.7109375" style="93" customWidth="1"/>
    <col min="2" max="3" width="8.7109375" style="93"/>
    <col min="4" max="4" width="18.42578125" style="93" customWidth="1"/>
    <col min="5" max="5" width="8.7109375" style="93"/>
    <col min="6" max="8" width="20.28515625" style="93" bestFit="1" customWidth="1"/>
    <col min="9" max="9" width="20" style="93" bestFit="1" customWidth="1"/>
    <col min="10" max="12" width="20.28515625" style="93" bestFit="1" customWidth="1"/>
    <col min="13" max="13" width="20" style="93" bestFit="1" customWidth="1"/>
    <col min="14" max="15" width="20.28515625" style="93" bestFit="1" customWidth="1"/>
    <col min="16" max="16" width="20" style="93" bestFit="1" customWidth="1"/>
    <col min="17" max="17" width="20.28515625" style="93" bestFit="1" customWidth="1"/>
    <col min="18" max="16384" width="8.7109375" style="93"/>
  </cols>
  <sheetData>
    <row r="1" spans="1:17" x14ac:dyDescent="0.25">
      <c r="A1" s="280" t="s">
        <v>184</v>
      </c>
      <c r="B1" s="280"/>
      <c r="C1" s="280"/>
      <c r="D1" s="280"/>
    </row>
    <row r="3" spans="1:17" ht="15.75" x14ac:dyDescent="0.25">
      <c r="B3" s="262"/>
      <c r="C3" s="262"/>
      <c r="D3" s="262"/>
      <c r="E3" s="10"/>
      <c r="F3" s="252" t="s">
        <v>2</v>
      </c>
      <c r="G3" s="252" t="s">
        <v>3</v>
      </c>
      <c r="H3" s="254" t="s">
        <v>4</v>
      </c>
      <c r="I3" s="252" t="s">
        <v>5</v>
      </c>
      <c r="J3" s="252" t="s">
        <v>6</v>
      </c>
      <c r="K3" s="252" t="s">
        <v>7</v>
      </c>
      <c r="L3" s="252" t="s">
        <v>8</v>
      </c>
      <c r="M3" s="252" t="s">
        <v>9</v>
      </c>
      <c r="N3" s="252" t="s">
        <v>10</v>
      </c>
      <c r="O3" s="252" t="s">
        <v>11</v>
      </c>
      <c r="P3" s="252" t="s">
        <v>12</v>
      </c>
      <c r="Q3" s="252" t="s">
        <v>13</v>
      </c>
    </row>
    <row r="4" spans="1:17" ht="16.5" thickBot="1" x14ac:dyDescent="0.3">
      <c r="B4" s="283"/>
      <c r="C4" s="283"/>
      <c r="D4" s="283"/>
      <c r="E4" s="117"/>
      <c r="F4" s="253"/>
      <c r="G4" s="253"/>
      <c r="H4" s="255"/>
      <c r="I4" s="253"/>
      <c r="J4" s="253"/>
      <c r="K4" s="253"/>
      <c r="L4" s="253"/>
      <c r="M4" s="253"/>
      <c r="N4" s="253"/>
      <c r="O4" s="253"/>
      <c r="P4" s="253"/>
      <c r="Q4" s="253"/>
    </row>
    <row r="5" spans="1:17" x14ac:dyDescent="0.25">
      <c r="B5" s="273"/>
      <c r="C5" s="273"/>
      <c r="D5" s="273"/>
    </row>
    <row r="6" spans="1:17" x14ac:dyDescent="0.25">
      <c r="B6" s="272" t="s">
        <v>185</v>
      </c>
      <c r="C6" s="272"/>
      <c r="D6" s="272"/>
      <c r="E6" s="94"/>
      <c r="F6" s="103">
        <f>'Revenue and Expense Projection'!F45+'Revenue and Expense Projection'!F34</f>
        <v>6680000</v>
      </c>
      <c r="G6" s="103">
        <f>'Revenue and Expense Projection'!G45+'Revenue and Expense Projection'!G34</f>
        <v>7379000</v>
      </c>
      <c r="H6" s="103">
        <f>'Revenue and Expense Projection'!H45+'Revenue and Expense Projection'!H34</f>
        <v>7253000</v>
      </c>
      <c r="I6" s="103">
        <f>'Revenue and Expense Projection'!I45+'Revenue and Expense Projection'!I34</f>
        <v>7464428.1384832468</v>
      </c>
      <c r="J6" s="103">
        <f>'Revenue and Expense Projection'!J45+'Revenue and Expense Projection'!J34</f>
        <v>8079780.688831564</v>
      </c>
      <c r="K6" s="103">
        <f>'Revenue and Expense Projection'!K45+'Revenue and Expense Projection'!K34</f>
        <v>7483662.8908514464</v>
      </c>
      <c r="L6" s="103">
        <f>'Revenue and Expense Projection'!L45+'Revenue and Expense Projection'!L34</f>
        <v>6360414.9957495024</v>
      </c>
      <c r="M6" s="103">
        <f>'Revenue and Expense Projection'!M45+'Revenue and Expense Projection'!M34</f>
        <v>6359958.2056260463</v>
      </c>
      <c r="N6" s="103">
        <f>'Revenue and Expense Projection'!N45+'Revenue and Expense Projection'!N34</f>
        <v>6140148.1841556178</v>
      </c>
      <c r="O6" s="103">
        <f>'Revenue and Expense Projection'!O45+'Revenue and Expense Projection'!O34</f>
        <v>5965522.8205102375</v>
      </c>
      <c r="P6" s="103">
        <f>'Revenue and Expense Projection'!P45+'Revenue and Expense Projection'!P34</f>
        <v>5795509.6837092871</v>
      </c>
      <c r="Q6" s="103">
        <f>'Revenue and Expense Projection'!Q45+'Revenue and Expense Projection'!Q34</f>
        <v>5630692.2206953401</v>
      </c>
    </row>
    <row r="7" spans="1:17" x14ac:dyDescent="0.25">
      <c r="B7" s="270"/>
      <c r="C7" s="270"/>
      <c r="D7" s="270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</row>
    <row r="8" spans="1:17" x14ac:dyDescent="0.25">
      <c r="B8" s="270"/>
      <c r="C8" s="270"/>
      <c r="D8" s="270"/>
    </row>
    <row r="9" spans="1:17" x14ac:dyDescent="0.25">
      <c r="B9" s="275" t="s">
        <v>186</v>
      </c>
      <c r="C9" s="275"/>
      <c r="D9" s="275"/>
      <c r="F9" s="104">
        <f>'Revenue and Expense Projection'!F47</f>
        <v>3738000</v>
      </c>
      <c r="G9" s="104">
        <f>'Revenue and Expense Projection'!G47</f>
        <v>4062000</v>
      </c>
      <c r="H9" s="104">
        <f>'Revenue and Expense Projection'!H47</f>
        <v>4093000</v>
      </c>
      <c r="I9" s="104">
        <f>'Revenue and Expense Projection'!I47</f>
        <v>4006330.0629512286</v>
      </c>
      <c r="J9" s="104">
        <f>'Revenue and Expense Projection'!J47</f>
        <v>4152003.2010097443</v>
      </c>
      <c r="K9" s="104">
        <f>'Revenue and Expense Projection'!K47</f>
        <v>3670700.1262461855</v>
      </c>
      <c r="L9" s="104">
        <f>'Revenue and Expense Projection'!L47</f>
        <v>2951560.0909008896</v>
      </c>
      <c r="M9" s="104">
        <f>'Revenue and Expense Projection'!M47</f>
        <v>2792435.2740461705</v>
      </c>
      <c r="N9" s="104">
        <f>'Revenue and Expense Projection'!N47</f>
        <v>2338143.3749026926</v>
      </c>
      <c r="O9" s="104">
        <f>'Revenue and Expense Projection'!O47</f>
        <v>2338143.3749026926</v>
      </c>
      <c r="P9" s="104">
        <f>'Revenue and Expense Projection'!P47</f>
        <v>2338143.3749026926</v>
      </c>
      <c r="Q9" s="104">
        <f>'Revenue and Expense Projection'!Q47</f>
        <v>2338143.3749026926</v>
      </c>
    </row>
    <row r="10" spans="1:17" x14ac:dyDescent="0.25">
      <c r="B10" s="284" t="s">
        <v>187</v>
      </c>
      <c r="C10" s="284"/>
      <c r="D10" s="284"/>
      <c r="F10" s="104">
        <f>'Revenue and Expense Projection'!F54</f>
        <v>710000</v>
      </c>
      <c r="G10" s="104">
        <f>'Revenue and Expense Projection'!G54</f>
        <v>721000</v>
      </c>
      <c r="H10" s="104">
        <f>'Revenue and Expense Projection'!H54</f>
        <v>845000</v>
      </c>
      <c r="I10" s="104">
        <f>'Revenue and Expense Projection'!I54</f>
        <v>827106.98832000699</v>
      </c>
      <c r="J10" s="104">
        <f>'Revenue and Expense Projection'!J54</f>
        <v>857181.21301080706</v>
      </c>
      <c r="K10" s="104">
        <f>'Revenue and Expense Projection'!K54</f>
        <v>714316.69386292249</v>
      </c>
      <c r="L10" s="104">
        <f>'Revenue and Expense Projection'!L54</f>
        <v>601751.16361198737</v>
      </c>
      <c r="M10" s="104">
        <f>'Revenue and Expense Projection'!M54</f>
        <v>601751.16361198737</v>
      </c>
      <c r="N10" s="104">
        <f>'Revenue and Expense Projection'!N54</f>
        <v>583698.62870362774</v>
      </c>
      <c r="O10" s="104">
        <f>'Revenue and Expense Projection'!O54</f>
        <v>849281.5047637783</v>
      </c>
      <c r="P10" s="104">
        <f>'Revenue and Expense Projection'!P54</f>
        <v>823803.05962086492</v>
      </c>
      <c r="Q10" s="104">
        <f>'Revenue and Expense Projection'!Q54</f>
        <v>799088.96783223888</v>
      </c>
    </row>
    <row r="11" spans="1:17" x14ac:dyDescent="0.25">
      <c r="B11" s="270"/>
      <c r="C11" s="270"/>
      <c r="D11" s="270"/>
    </row>
    <row r="12" spans="1:17" x14ac:dyDescent="0.25">
      <c r="B12" s="285" t="s">
        <v>210</v>
      </c>
      <c r="C12" s="285"/>
      <c r="D12" s="285"/>
      <c r="E12" s="94"/>
      <c r="F12" s="103">
        <f>F6-(F9+F10)</f>
        <v>2232000</v>
      </c>
      <c r="G12" s="103">
        <f t="shared" ref="G12:Q12" si="0">G6-(G9+G10)</f>
        <v>2596000</v>
      </c>
      <c r="H12" s="103">
        <f t="shared" si="0"/>
        <v>2315000</v>
      </c>
      <c r="I12" s="103">
        <f t="shared" si="0"/>
        <v>2630991.0872120112</v>
      </c>
      <c r="J12" s="103">
        <f t="shared" si="0"/>
        <v>3070596.2748110127</v>
      </c>
      <c r="K12" s="103">
        <f t="shared" si="0"/>
        <v>3098646.070742338</v>
      </c>
      <c r="L12" s="103">
        <f t="shared" si="0"/>
        <v>2807103.7412366252</v>
      </c>
      <c r="M12" s="103">
        <f t="shared" si="0"/>
        <v>2965771.7679678882</v>
      </c>
      <c r="N12" s="103">
        <f t="shared" si="0"/>
        <v>3218306.1805492975</v>
      </c>
      <c r="O12" s="103">
        <f t="shared" si="0"/>
        <v>2778097.9408437666</v>
      </c>
      <c r="P12" s="103">
        <f t="shared" si="0"/>
        <v>2633563.2491857298</v>
      </c>
      <c r="Q12" s="103">
        <f t="shared" si="0"/>
        <v>2493459.8779604086</v>
      </c>
    </row>
    <row r="13" spans="1:17" x14ac:dyDescent="0.25">
      <c r="B13" s="270"/>
      <c r="C13" s="270"/>
      <c r="D13" s="270"/>
    </row>
    <row r="14" spans="1:17" x14ac:dyDescent="0.25">
      <c r="B14" s="284" t="s">
        <v>188</v>
      </c>
      <c r="C14" s="284"/>
      <c r="D14" s="284"/>
      <c r="F14" s="128">
        <v>563000</v>
      </c>
      <c r="G14" s="128">
        <v>1127000</v>
      </c>
      <c r="H14" s="128">
        <v>386000</v>
      </c>
      <c r="I14" s="128">
        <f t="shared" ref="I14:Q14" si="1">I12*I15</f>
        <v>578818.03918664251</v>
      </c>
      <c r="J14" s="128">
        <f t="shared" si="1"/>
        <v>675531.18045842275</v>
      </c>
      <c r="K14" s="128">
        <f t="shared" si="1"/>
        <v>681702.13556331431</v>
      </c>
      <c r="L14" s="128">
        <f t="shared" si="1"/>
        <v>617562.82307205757</v>
      </c>
      <c r="M14" s="128">
        <f>M12*M15</f>
        <v>652469.78895293537</v>
      </c>
      <c r="N14" s="128">
        <f t="shared" si="1"/>
        <v>708027.35972084547</v>
      </c>
      <c r="O14" s="128">
        <f t="shared" si="1"/>
        <v>611181.54698562867</v>
      </c>
      <c r="P14" s="128">
        <f t="shared" si="1"/>
        <v>579383.91482086061</v>
      </c>
      <c r="Q14" s="128">
        <f t="shared" si="1"/>
        <v>548561.17315128993</v>
      </c>
    </row>
    <row r="15" spans="1:17" x14ac:dyDescent="0.25">
      <c r="B15" s="273" t="s">
        <v>189</v>
      </c>
      <c r="C15" s="273"/>
      <c r="D15" s="273"/>
      <c r="F15" s="102">
        <f>F14/F12</f>
        <v>0.25224014336917561</v>
      </c>
      <c r="G15" s="102">
        <f>G14/G12</f>
        <v>0.43412942989214176</v>
      </c>
      <c r="H15" s="102">
        <f>H14/H12</f>
        <v>0.16673866090712744</v>
      </c>
      <c r="I15" s="102">
        <v>0.22</v>
      </c>
      <c r="J15" s="102">
        <v>0.22</v>
      </c>
      <c r="K15" s="102">
        <v>0.22</v>
      </c>
      <c r="L15" s="102">
        <v>0.22</v>
      </c>
      <c r="M15" s="102">
        <v>0.22</v>
      </c>
      <c r="N15" s="102">
        <v>0.22</v>
      </c>
      <c r="O15" s="102">
        <v>0.22</v>
      </c>
      <c r="P15" s="102">
        <v>0.22</v>
      </c>
      <c r="Q15" s="102">
        <v>0.22</v>
      </c>
    </row>
    <row r="16" spans="1:17" x14ac:dyDescent="0.25">
      <c r="B16" s="270"/>
      <c r="C16" s="270"/>
      <c r="D16" s="270"/>
    </row>
    <row r="17" spans="2:17" x14ac:dyDescent="0.25">
      <c r="B17" s="272" t="s">
        <v>190</v>
      </c>
      <c r="C17" s="272"/>
      <c r="D17" s="272"/>
      <c r="E17" s="94"/>
      <c r="F17" s="106">
        <f t="shared" ref="F17:Q17" si="2">F12-F14</f>
        <v>1669000</v>
      </c>
      <c r="G17" s="106">
        <f t="shared" si="2"/>
        <v>1469000</v>
      </c>
      <c r="H17" s="106">
        <f t="shared" si="2"/>
        <v>1929000</v>
      </c>
      <c r="I17" s="106">
        <f t="shared" si="2"/>
        <v>2052173.0480253687</v>
      </c>
      <c r="J17" s="106">
        <f t="shared" si="2"/>
        <v>2395065.0943525899</v>
      </c>
      <c r="K17" s="106">
        <f t="shared" si="2"/>
        <v>2416943.9351790235</v>
      </c>
      <c r="L17" s="106">
        <f t="shared" si="2"/>
        <v>2189540.9181645676</v>
      </c>
      <c r="M17" s="106">
        <f>M12-M14</f>
        <v>2313301.9790149527</v>
      </c>
      <c r="N17" s="106">
        <f t="shared" si="2"/>
        <v>2510278.8208284518</v>
      </c>
      <c r="O17" s="106">
        <f t="shared" si="2"/>
        <v>2166916.393858138</v>
      </c>
      <c r="P17" s="106">
        <f t="shared" si="2"/>
        <v>2054179.3343648692</v>
      </c>
      <c r="Q17" s="106">
        <f t="shared" si="2"/>
        <v>1944898.7048091185</v>
      </c>
    </row>
    <row r="18" spans="2:17" x14ac:dyDescent="0.25">
      <c r="B18" s="270"/>
      <c r="C18" s="270"/>
      <c r="D18" s="270"/>
    </row>
    <row r="19" spans="2:17" x14ac:dyDescent="0.25">
      <c r="B19" s="272" t="s">
        <v>198</v>
      </c>
      <c r="C19" s="270"/>
      <c r="D19" s="270"/>
    </row>
    <row r="20" spans="2:17" x14ac:dyDescent="0.25">
      <c r="B20" s="273" t="s">
        <v>191</v>
      </c>
      <c r="C20" s="273"/>
      <c r="D20" s="273"/>
      <c r="F20" s="99">
        <v>1220000</v>
      </c>
      <c r="G20" s="99">
        <v>1261000</v>
      </c>
      <c r="H20" s="99">
        <v>1215000</v>
      </c>
      <c r="I20" s="99">
        <f>(H20+G20+F20)/3</f>
        <v>1232000</v>
      </c>
      <c r="J20" s="99">
        <v>1232000</v>
      </c>
      <c r="K20" s="99">
        <v>1232000</v>
      </c>
      <c r="L20" s="99">
        <v>1232000</v>
      </c>
      <c r="M20" s="99">
        <v>1232000</v>
      </c>
      <c r="N20" s="99">
        <v>1100000</v>
      </c>
      <c r="O20" s="99">
        <v>1100000</v>
      </c>
      <c r="P20" s="99">
        <v>1100000</v>
      </c>
      <c r="Q20" s="99">
        <v>1100000</v>
      </c>
    </row>
    <row r="21" spans="2:17" x14ac:dyDescent="0.25">
      <c r="B21" s="271" t="s">
        <v>192</v>
      </c>
      <c r="C21" s="271"/>
      <c r="D21" s="271"/>
      <c r="F21" s="99">
        <f>BS!D33</f>
        <v>0</v>
      </c>
      <c r="G21" s="99">
        <f>BS!E33</f>
        <v>0</v>
      </c>
      <c r="H21" s="99">
        <f>BS!F33</f>
        <v>0</v>
      </c>
      <c r="I21" s="99"/>
      <c r="J21" s="99"/>
      <c r="K21" s="99"/>
      <c r="L21" s="99"/>
      <c r="M21" s="99"/>
      <c r="N21" s="99"/>
      <c r="O21" s="99"/>
      <c r="P21" s="99"/>
      <c r="Q21" s="99"/>
    </row>
    <row r="22" spans="2:17" x14ac:dyDescent="0.25">
      <c r="B22" s="282" t="s">
        <v>195</v>
      </c>
      <c r="C22" s="282"/>
      <c r="D22" s="282"/>
    </row>
    <row r="23" spans="2:17" x14ac:dyDescent="0.25">
      <c r="B23" s="98"/>
      <c r="C23" s="98"/>
      <c r="D23" s="98"/>
    </row>
    <row r="24" spans="2:17" x14ac:dyDescent="0.25">
      <c r="B24" s="271" t="s">
        <v>193</v>
      </c>
      <c r="C24" s="271"/>
      <c r="D24" s="271"/>
      <c r="F24" s="99">
        <f>(BS!D14-BS!C14)*1000</f>
        <v>46000</v>
      </c>
      <c r="G24" s="99">
        <f>(BS!E14-BS!D14)*1000</f>
        <v>-3000</v>
      </c>
      <c r="H24" s="99">
        <f>(BS!F14-BS!E14)*1000</f>
        <v>130000</v>
      </c>
      <c r="I24" s="99"/>
      <c r="J24" s="99"/>
      <c r="K24" s="99"/>
      <c r="L24" s="99"/>
      <c r="M24" s="99"/>
      <c r="N24" s="99"/>
      <c r="O24" s="99"/>
      <c r="P24" s="99"/>
      <c r="Q24" s="99"/>
    </row>
    <row r="25" spans="2:17" x14ac:dyDescent="0.25">
      <c r="B25" s="271" t="s">
        <v>194</v>
      </c>
      <c r="C25" s="271"/>
      <c r="D25" s="271"/>
      <c r="F25" s="99">
        <f>-(BS!D17-BS!C17)*1000</f>
        <v>-37000</v>
      </c>
      <c r="G25" s="99">
        <f>-(BS!E17-BS!D17)*1000</f>
        <v>25000</v>
      </c>
      <c r="H25" s="99">
        <f>-(BS!F17-BS!E17)*1000</f>
        <v>28000</v>
      </c>
      <c r="I25" s="99"/>
      <c r="J25" s="99"/>
      <c r="K25" s="99"/>
      <c r="L25" s="99"/>
      <c r="M25" s="99"/>
      <c r="N25" s="99"/>
      <c r="O25" s="99"/>
      <c r="P25" s="99"/>
      <c r="Q25" s="99"/>
    </row>
    <row r="26" spans="2:17" x14ac:dyDescent="0.25">
      <c r="B26" s="271" t="s">
        <v>196</v>
      </c>
      <c r="C26" s="271"/>
      <c r="D26" s="271"/>
      <c r="F26" s="99">
        <f>(BS!D64-BS!C64)*1000</f>
        <v>-3793000</v>
      </c>
      <c r="G26" s="99">
        <f>(BS!E64-BS!D64)*1000</f>
        <v>-774000</v>
      </c>
      <c r="H26" s="99">
        <f>(BS!F64-BS!E64)*1000</f>
        <v>-142000</v>
      </c>
      <c r="I26" s="99"/>
      <c r="J26" s="99"/>
      <c r="K26" s="99"/>
      <c r="L26" s="99"/>
      <c r="M26" s="99"/>
      <c r="N26" s="99"/>
      <c r="O26" s="99"/>
      <c r="P26" s="99"/>
      <c r="Q26" s="99"/>
    </row>
    <row r="27" spans="2:17" x14ac:dyDescent="0.25">
      <c r="B27" s="271" t="s">
        <v>197</v>
      </c>
      <c r="C27" s="271"/>
      <c r="D27" s="271"/>
      <c r="F27" s="99">
        <f>(BS!D70-BS!C70)*1000</f>
        <v>146000</v>
      </c>
      <c r="G27" s="99">
        <f>(BS!E70-BS!D70)*1000</f>
        <v>155000</v>
      </c>
      <c r="H27" s="99">
        <f>(BS!F70-BS!E70)*1000</f>
        <v>-253000</v>
      </c>
      <c r="I27" s="99"/>
      <c r="J27" s="99"/>
      <c r="K27" s="99"/>
      <c r="L27" s="99"/>
      <c r="M27" s="99"/>
      <c r="N27" s="99"/>
      <c r="O27" s="99"/>
      <c r="P27" s="99"/>
      <c r="Q27" s="99"/>
    </row>
    <row r="28" spans="2:17" x14ac:dyDescent="0.25">
      <c r="B28" s="271" t="s">
        <v>204</v>
      </c>
      <c r="C28" s="271"/>
      <c r="D28" s="271"/>
      <c r="F28" s="99">
        <f>(BS!D77-BS!C77)*1000</f>
        <v>26000</v>
      </c>
      <c r="G28" s="99">
        <f>(BS!E77-BS!D77)*1000</f>
        <v>5000</v>
      </c>
      <c r="H28" s="99">
        <f>(BS!F77-BS!E77)*1000</f>
        <v>-4000</v>
      </c>
      <c r="I28" s="99"/>
      <c r="J28" s="99"/>
      <c r="K28" s="99"/>
      <c r="L28" s="99"/>
      <c r="M28" s="99"/>
      <c r="N28" s="99"/>
      <c r="O28" s="99"/>
      <c r="P28" s="99"/>
      <c r="Q28" s="99"/>
    </row>
    <row r="29" spans="2:17" x14ac:dyDescent="0.25">
      <c r="B29" s="281" t="s">
        <v>201</v>
      </c>
      <c r="C29" s="281"/>
      <c r="D29" s="281"/>
      <c r="E29" s="95"/>
      <c r="F29" s="100">
        <f>SUM(F24:F28)</f>
        <v>-3612000</v>
      </c>
      <c r="G29" s="100">
        <f>SUM(G24:G28)</f>
        <v>-592000</v>
      </c>
      <c r="H29" s="100">
        <f>SUM(H24:H28)</f>
        <v>-241000</v>
      </c>
      <c r="I29" s="100">
        <f>(H29+G29+F29)/5</f>
        <v>-889000</v>
      </c>
      <c r="J29" s="100">
        <v>-889000</v>
      </c>
      <c r="K29" s="100">
        <v>-889000</v>
      </c>
      <c r="L29" s="100">
        <v>-889000</v>
      </c>
      <c r="M29" s="100">
        <v>-889000</v>
      </c>
      <c r="N29" s="100">
        <v>-889000</v>
      </c>
      <c r="O29" s="100">
        <v>-889000</v>
      </c>
      <c r="P29" s="100">
        <v>-889000</v>
      </c>
      <c r="Q29" s="100">
        <v>-889000</v>
      </c>
    </row>
    <row r="30" spans="2:17" x14ac:dyDescent="0.25">
      <c r="B30" s="271" t="s">
        <v>199</v>
      </c>
      <c r="C30" s="271"/>
      <c r="D30" s="271"/>
    </row>
    <row r="31" spans="2:17" x14ac:dyDescent="0.25">
      <c r="B31" s="271" t="s">
        <v>159</v>
      </c>
      <c r="C31" s="271"/>
      <c r="D31" s="271"/>
    </row>
    <row r="32" spans="2:17" x14ac:dyDescent="0.25">
      <c r="B32" s="272"/>
      <c r="C32" s="272"/>
      <c r="D32" s="272"/>
    </row>
    <row r="33" spans="2:17" x14ac:dyDescent="0.25">
      <c r="B33" s="274" t="s">
        <v>200</v>
      </c>
      <c r="C33" s="275"/>
      <c r="D33" s="275"/>
      <c r="F33" s="104">
        <f>(BS!D41-BS!C41)+(BS!D43-BS!C43)*1000</f>
        <v>1025300</v>
      </c>
      <c r="G33" s="104">
        <f>(BS!E41-BS!D41)+(BS!E43-BS!D43)*1000</f>
        <v>1592444</v>
      </c>
      <c r="H33" s="104">
        <f>(BS!F41-BS!E41)+(BS!F43-BS!E43)*1000</f>
        <v>972892</v>
      </c>
      <c r="I33" s="104">
        <f>(H33+G33+F33)/3</f>
        <v>1196878.6666666667</v>
      </c>
      <c r="J33" s="104">
        <v>1196878.66666667</v>
      </c>
      <c r="K33" s="104">
        <v>1196878.6666666667</v>
      </c>
      <c r="L33" s="104">
        <v>1196878.6666666667</v>
      </c>
      <c r="M33" s="104">
        <v>1196878.6666666667</v>
      </c>
      <c r="N33" s="104">
        <v>1196878.6666666667</v>
      </c>
      <c r="O33" s="104">
        <v>1196878.6666666667</v>
      </c>
      <c r="P33" s="104">
        <v>1196878.6666666667</v>
      </c>
      <c r="Q33" s="104">
        <v>1196878.6666666667</v>
      </c>
    </row>
    <row r="34" spans="2:17" x14ac:dyDescent="0.25">
      <c r="B34" s="279" t="s">
        <v>203</v>
      </c>
      <c r="C34" s="279"/>
      <c r="D34" s="279"/>
    </row>
    <row r="35" spans="2:17" ht="15.75" thickBot="1" x14ac:dyDescent="0.3">
      <c r="B35" s="270"/>
      <c r="C35" s="270"/>
      <c r="D35" s="270"/>
    </row>
    <row r="36" spans="2:17" ht="15.75" thickBot="1" x14ac:dyDescent="0.3">
      <c r="B36" s="276" t="s">
        <v>202</v>
      </c>
      <c r="C36" s="277"/>
      <c r="D36" s="278"/>
      <c r="E36" s="96"/>
      <c r="F36" s="101">
        <f>F17+F20+F21+F29-F33</f>
        <v>-1748300</v>
      </c>
      <c r="G36" s="101">
        <f t="shared" ref="G36:Q36" si="3">G17+G20+G21+G29-G33</f>
        <v>545556</v>
      </c>
      <c r="H36" s="101">
        <f t="shared" si="3"/>
        <v>1930108</v>
      </c>
      <c r="I36" s="101">
        <f t="shared" si="3"/>
        <v>1198294.381358702</v>
      </c>
      <c r="J36" s="101">
        <f t="shared" si="3"/>
        <v>1541186.4276859199</v>
      </c>
      <c r="K36" s="101">
        <f t="shared" si="3"/>
        <v>1563065.2685123568</v>
      </c>
      <c r="L36" s="101">
        <f t="shared" si="3"/>
        <v>1335662.2514979008</v>
      </c>
      <c r="M36" s="101">
        <f t="shared" si="3"/>
        <v>1459423.3123482859</v>
      </c>
      <c r="N36" s="101">
        <f t="shared" si="3"/>
        <v>1524400.154161785</v>
      </c>
      <c r="O36" s="101">
        <f t="shared" si="3"/>
        <v>1181037.7271914713</v>
      </c>
      <c r="P36" s="101">
        <f t="shared" si="3"/>
        <v>1068300.6676982024</v>
      </c>
      <c r="Q36" s="101">
        <f t="shared" si="3"/>
        <v>959020.03814245178</v>
      </c>
    </row>
    <row r="37" spans="2:17" x14ac:dyDescent="0.25">
      <c r="B37" s="270" t="s">
        <v>205</v>
      </c>
      <c r="C37" s="270"/>
      <c r="D37" s="270"/>
    </row>
    <row r="38" spans="2:17" x14ac:dyDescent="0.25">
      <c r="B38" s="270"/>
      <c r="C38" s="270"/>
      <c r="D38" s="270"/>
    </row>
    <row r="39" spans="2:17" x14ac:dyDescent="0.25">
      <c r="B39" s="270" t="s">
        <v>206</v>
      </c>
      <c r="C39" s="270"/>
      <c r="D39" s="270"/>
      <c r="I39" s="92">
        <v>1</v>
      </c>
      <c r="J39" s="93">
        <f>I39+1</f>
        <v>2</v>
      </c>
      <c r="K39" s="93">
        <f t="shared" ref="K39:Q39" si="4">J39+1</f>
        <v>3</v>
      </c>
      <c r="L39" s="93">
        <f t="shared" si="4"/>
        <v>4</v>
      </c>
      <c r="M39" s="93">
        <f t="shared" si="4"/>
        <v>5</v>
      </c>
      <c r="N39" s="93">
        <f t="shared" si="4"/>
        <v>6</v>
      </c>
      <c r="O39" s="93">
        <f t="shared" si="4"/>
        <v>7</v>
      </c>
      <c r="P39" s="93">
        <f t="shared" si="4"/>
        <v>8</v>
      </c>
      <c r="Q39" s="93">
        <f t="shared" si="4"/>
        <v>9</v>
      </c>
    </row>
    <row r="40" spans="2:17" x14ac:dyDescent="0.25">
      <c r="B40" s="270" t="s">
        <v>207</v>
      </c>
      <c r="C40" s="270"/>
      <c r="D40" s="270"/>
      <c r="I40" s="102">
        <f>DCF!$E$8</f>
        <v>5.1799999999999999E-2</v>
      </c>
      <c r="J40" s="102">
        <f>DCF!$E$8</f>
        <v>5.1799999999999999E-2</v>
      </c>
      <c r="K40" s="102">
        <f>DCF!$E$8</f>
        <v>5.1799999999999999E-2</v>
      </c>
      <c r="L40" s="102">
        <f>DCF!$E$8</f>
        <v>5.1799999999999999E-2</v>
      </c>
      <c r="M40" s="102">
        <f>DCF!$E$8</f>
        <v>5.1799999999999999E-2</v>
      </c>
      <c r="N40" s="102">
        <f>DCF!$E$8</f>
        <v>5.1799999999999999E-2</v>
      </c>
      <c r="O40" s="102">
        <f>DCF!$E$8</f>
        <v>5.1799999999999999E-2</v>
      </c>
      <c r="P40" s="102">
        <f>DCF!$E$8</f>
        <v>5.1799999999999999E-2</v>
      </c>
      <c r="Q40" s="102">
        <f>DCF!$E$8</f>
        <v>5.1799999999999999E-2</v>
      </c>
    </row>
    <row r="41" spans="2:17" x14ac:dyDescent="0.25">
      <c r="B41" s="270" t="s">
        <v>208</v>
      </c>
      <c r="C41" s="270"/>
      <c r="D41" s="270"/>
      <c r="I41" s="97">
        <f>1/((1+I40)^I39)</f>
        <v>0.95075109336375729</v>
      </c>
      <c r="J41" s="97">
        <f t="shared" ref="J41:Q41" si="5">1/((1+J40)^J39)</f>
        <v>0.90392764153237992</v>
      </c>
      <c r="K41" s="97">
        <f t="shared" si="5"/>
        <v>0.85941019350863268</v>
      </c>
      <c r="L41" s="97">
        <f t="shared" si="5"/>
        <v>0.81708518112629069</v>
      </c>
      <c r="M41" s="97">
        <f t="shared" si="5"/>
        <v>0.77684462932714449</v>
      </c>
      <c r="N41" s="97">
        <f t="shared" si="5"/>
        <v>0.73858588070654529</v>
      </c>
      <c r="O41" s="97">
        <f t="shared" si="5"/>
        <v>0.70221133362478172</v>
      </c>
      <c r="P41" s="97">
        <f t="shared" si="5"/>
        <v>0.66762819321618327</v>
      </c>
      <c r="Q41" s="97">
        <f t="shared" si="5"/>
        <v>0.63474823466075603</v>
      </c>
    </row>
    <row r="42" spans="2:17" x14ac:dyDescent="0.25">
      <c r="B42" s="270"/>
      <c r="C42" s="270"/>
      <c r="D42" s="270"/>
      <c r="I42" s="97"/>
    </row>
    <row r="43" spans="2:17" x14ac:dyDescent="0.25">
      <c r="B43" s="270" t="s">
        <v>209</v>
      </c>
      <c r="C43" s="270"/>
      <c r="D43" s="270"/>
      <c r="I43" s="105">
        <f>+I36*I41</f>
        <v>1139279.6932484331</v>
      </c>
      <c r="J43" s="105">
        <f t="shared" ref="J43:Q43" si="6">+J36*J41</f>
        <v>1393121.0127398474</v>
      </c>
      <c r="K43" s="105">
        <f t="shared" si="6"/>
        <v>1343314.2248788273</v>
      </c>
      <c r="L43" s="105">
        <f t="shared" si="6"/>
        <v>1091349.8326887116</v>
      </c>
      <c r="M43" s="105">
        <f t="shared" si="6"/>
        <v>1133745.1621125976</v>
      </c>
      <c r="N43" s="105">
        <f t="shared" si="6"/>
        <v>1125900.4304107754</v>
      </c>
      <c r="O43" s="105">
        <f t="shared" si="6"/>
        <v>829338.07747230411</v>
      </c>
      <c r="P43" s="105">
        <f t="shared" si="6"/>
        <v>713227.64458699303</v>
      </c>
      <c r="Q43" s="105">
        <f t="shared" si="6"/>
        <v>608736.27621521219</v>
      </c>
    </row>
    <row r="44" spans="2:17" x14ac:dyDescent="0.25">
      <c r="B44" s="270"/>
      <c r="C44" s="270"/>
      <c r="D44" s="270"/>
    </row>
    <row r="45" spans="2:17" x14ac:dyDescent="0.25">
      <c r="B45" s="270" t="s">
        <v>210</v>
      </c>
      <c r="C45" s="270"/>
      <c r="D45" s="270"/>
      <c r="F45" s="105">
        <f>F12</f>
        <v>2232000</v>
      </c>
      <c r="G45" s="105">
        <f t="shared" ref="G45:Q45" si="7">G12</f>
        <v>2596000</v>
      </c>
      <c r="H45" s="105">
        <f>H12</f>
        <v>2315000</v>
      </c>
      <c r="I45" s="105">
        <f t="shared" si="7"/>
        <v>2630991.0872120112</v>
      </c>
      <c r="J45" s="105">
        <f t="shared" si="7"/>
        <v>3070596.2748110127</v>
      </c>
      <c r="K45" s="105">
        <f t="shared" si="7"/>
        <v>3098646.070742338</v>
      </c>
      <c r="L45" s="105">
        <f t="shared" si="7"/>
        <v>2807103.7412366252</v>
      </c>
      <c r="M45" s="105">
        <f t="shared" si="7"/>
        <v>2965771.7679678882</v>
      </c>
      <c r="N45" s="105">
        <f t="shared" si="7"/>
        <v>3218306.1805492975</v>
      </c>
      <c r="O45" s="105">
        <f t="shared" si="7"/>
        <v>2778097.9408437666</v>
      </c>
      <c r="P45" s="105">
        <f t="shared" si="7"/>
        <v>2633563.2491857298</v>
      </c>
      <c r="Q45" s="105">
        <f t="shared" si="7"/>
        <v>2493459.8779604086</v>
      </c>
    </row>
    <row r="46" spans="2:17" x14ac:dyDescent="0.25">
      <c r="B46" s="270" t="s">
        <v>211</v>
      </c>
      <c r="C46" s="270"/>
      <c r="D46" s="270"/>
      <c r="F46" s="102"/>
      <c r="G46" s="102">
        <f>G45/F45-1</f>
        <v>0.16308243727598559</v>
      </c>
      <c r="H46" s="102">
        <f>H45/G45-1</f>
        <v>-0.10824345146379044</v>
      </c>
      <c r="I46" s="102">
        <f t="shared" ref="I46:Q46" si="8">I45/H45-1</f>
        <v>0.13649722989719715</v>
      </c>
      <c r="J46" s="102">
        <f t="shared" si="8"/>
        <v>0.16708729639401354</v>
      </c>
      <c r="K46" s="102">
        <f t="shared" si="8"/>
        <v>9.134967094640789E-3</v>
      </c>
      <c r="L46" s="102">
        <f t="shared" si="8"/>
        <v>-9.4087005372597621E-2</v>
      </c>
      <c r="M46" s="102">
        <f t="shared" si="8"/>
        <v>5.6523748802160156E-2</v>
      </c>
      <c r="N46" s="102">
        <f t="shared" si="8"/>
        <v>8.5149644793619084E-2</v>
      </c>
      <c r="O46" s="102">
        <f t="shared" si="8"/>
        <v>-0.13678258531337018</v>
      </c>
      <c r="P46" s="102">
        <f t="shared" si="8"/>
        <v>-5.2026492490807819E-2</v>
      </c>
      <c r="Q46" s="102">
        <f t="shared" si="8"/>
        <v>-5.3199167048157969E-2</v>
      </c>
    </row>
    <row r="47" spans="2:17" x14ac:dyDescent="0.25">
      <c r="B47" s="270"/>
      <c r="C47" s="270"/>
      <c r="D47" s="270"/>
    </row>
    <row r="48" spans="2:17" x14ac:dyDescent="0.25">
      <c r="B48" s="270"/>
      <c r="C48" s="270"/>
      <c r="D48" s="270"/>
    </row>
    <row r="49" spans="2:4" x14ac:dyDescent="0.25">
      <c r="B49" s="270"/>
      <c r="C49" s="270"/>
      <c r="D49" s="270"/>
    </row>
    <row r="50" spans="2:4" x14ac:dyDescent="0.25">
      <c r="B50" s="270"/>
      <c r="C50" s="270"/>
      <c r="D50" s="270"/>
    </row>
    <row r="51" spans="2:4" x14ac:dyDescent="0.25">
      <c r="B51" s="270"/>
      <c r="C51" s="270"/>
      <c r="D51" s="270"/>
    </row>
    <row r="52" spans="2:4" x14ac:dyDescent="0.25">
      <c r="B52" s="270"/>
      <c r="C52" s="270"/>
      <c r="D52" s="270"/>
    </row>
    <row r="53" spans="2:4" x14ac:dyDescent="0.25">
      <c r="B53" s="270"/>
      <c r="C53" s="270"/>
      <c r="D53" s="270"/>
    </row>
    <row r="54" spans="2:4" x14ac:dyDescent="0.25">
      <c r="B54" s="270"/>
      <c r="C54" s="270"/>
      <c r="D54" s="270"/>
    </row>
    <row r="55" spans="2:4" x14ac:dyDescent="0.25">
      <c r="B55" s="270"/>
      <c r="C55" s="270"/>
      <c r="D55" s="270"/>
    </row>
    <row r="56" spans="2:4" x14ac:dyDescent="0.25">
      <c r="B56" s="270"/>
      <c r="C56" s="270"/>
      <c r="D56" s="270"/>
    </row>
    <row r="57" spans="2:4" x14ac:dyDescent="0.25">
      <c r="B57" s="270"/>
      <c r="C57" s="270"/>
      <c r="D57" s="270"/>
    </row>
    <row r="58" spans="2:4" x14ac:dyDescent="0.25">
      <c r="B58" s="270"/>
      <c r="C58" s="270"/>
      <c r="D58" s="270"/>
    </row>
    <row r="59" spans="2:4" x14ac:dyDescent="0.25">
      <c r="B59" s="270"/>
      <c r="C59" s="270"/>
      <c r="D59" s="270"/>
    </row>
    <row r="60" spans="2:4" x14ac:dyDescent="0.25">
      <c r="B60" s="270"/>
      <c r="C60" s="270"/>
      <c r="D60" s="270"/>
    </row>
    <row r="61" spans="2:4" x14ac:dyDescent="0.25">
      <c r="B61" s="270"/>
      <c r="C61" s="270"/>
      <c r="D61" s="270"/>
    </row>
  </sheetData>
  <mergeCells count="71">
    <mergeCell ref="B14:D14"/>
    <mergeCell ref="B15:D15"/>
    <mergeCell ref="B16:D16"/>
    <mergeCell ref="B17:D17"/>
    <mergeCell ref="B8:D8"/>
    <mergeCell ref="B9:D9"/>
    <mergeCell ref="B10:D10"/>
    <mergeCell ref="B11:D11"/>
    <mergeCell ref="B12:D12"/>
    <mergeCell ref="B18:D18"/>
    <mergeCell ref="A1:D1"/>
    <mergeCell ref="F3:F4"/>
    <mergeCell ref="B40:D40"/>
    <mergeCell ref="B41:D41"/>
    <mergeCell ref="B28:D28"/>
    <mergeCell ref="B29:D29"/>
    <mergeCell ref="B30:D30"/>
    <mergeCell ref="B22:D22"/>
    <mergeCell ref="B19:D19"/>
    <mergeCell ref="B13:D13"/>
    <mergeCell ref="B3:D3"/>
    <mergeCell ref="B4:D4"/>
    <mergeCell ref="B5:D5"/>
    <mergeCell ref="B6:D6"/>
    <mergeCell ref="B7:D7"/>
    <mergeCell ref="B42:D42"/>
    <mergeCell ref="B33:D33"/>
    <mergeCell ref="B35:D35"/>
    <mergeCell ref="B36:D36"/>
    <mergeCell ref="B37:D37"/>
    <mergeCell ref="B38:D38"/>
    <mergeCell ref="B39:D39"/>
    <mergeCell ref="B34:D34"/>
    <mergeCell ref="L3:L4"/>
    <mergeCell ref="B46:D46"/>
    <mergeCell ref="B47:D47"/>
    <mergeCell ref="B48:D48"/>
    <mergeCell ref="B49:D49"/>
    <mergeCell ref="B43:D43"/>
    <mergeCell ref="B44:D44"/>
    <mergeCell ref="B45:D45"/>
    <mergeCell ref="B31:D31"/>
    <mergeCell ref="B32:D32"/>
    <mergeCell ref="B20:D20"/>
    <mergeCell ref="B21:D21"/>
    <mergeCell ref="B24:D24"/>
    <mergeCell ref="B25:D25"/>
    <mergeCell ref="B26:D26"/>
    <mergeCell ref="B27:D27"/>
    <mergeCell ref="G3:G4"/>
    <mergeCell ref="H3:H4"/>
    <mergeCell ref="I3:I4"/>
    <mergeCell ref="J3:J4"/>
    <mergeCell ref="K3:K4"/>
    <mergeCell ref="M3:M4"/>
    <mergeCell ref="N3:N4"/>
    <mergeCell ref="O3:O4"/>
    <mergeCell ref="P3:P4"/>
    <mergeCell ref="Q3:Q4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2521E-B98D-4ED3-AD35-33CDEF1DEF6F}">
  <dimension ref="A1:F169"/>
  <sheetViews>
    <sheetView topLeftCell="A59" workbookViewId="0">
      <selection activeCell="D17" sqref="D17"/>
    </sheetView>
  </sheetViews>
  <sheetFormatPr defaultRowHeight="15" x14ac:dyDescent="0.25"/>
  <cols>
    <col min="1" max="1" width="74.5703125" bestFit="1" customWidth="1"/>
    <col min="2" max="6" width="10.140625" bestFit="1" customWidth="1"/>
  </cols>
  <sheetData>
    <row r="1" spans="1:6" ht="20.25" x14ac:dyDescent="0.25">
      <c r="A1" s="129" t="s">
        <v>214</v>
      </c>
      <c r="B1" s="129"/>
      <c r="C1" s="129"/>
      <c r="D1" s="129"/>
      <c r="E1" s="129"/>
      <c r="F1" s="129"/>
    </row>
    <row r="2" spans="1:6" x14ac:dyDescent="0.25">
      <c r="A2" s="130"/>
      <c r="B2" s="130"/>
      <c r="C2" s="130"/>
      <c r="D2" s="130"/>
      <c r="E2" s="130"/>
      <c r="F2" s="130"/>
    </row>
    <row r="3" spans="1:6" x14ac:dyDescent="0.25">
      <c r="A3" s="131" t="s">
        <v>215</v>
      </c>
      <c r="B3" s="132" t="s">
        <v>216</v>
      </c>
      <c r="C3" s="132" t="s">
        <v>217</v>
      </c>
      <c r="D3" s="132" t="s">
        <v>218</v>
      </c>
      <c r="E3" s="132" t="s">
        <v>219</v>
      </c>
      <c r="F3" s="132" t="s">
        <v>220</v>
      </c>
    </row>
    <row r="4" spans="1:6" x14ac:dyDescent="0.25">
      <c r="A4" s="133" t="s">
        <v>221</v>
      </c>
      <c r="B4" s="134" t="s">
        <v>222</v>
      </c>
      <c r="C4" s="134" t="s">
        <v>223</v>
      </c>
      <c r="D4" s="134" t="s">
        <v>224</v>
      </c>
      <c r="E4" s="134" t="s">
        <v>225</v>
      </c>
      <c r="F4" s="134" t="s">
        <v>226</v>
      </c>
    </row>
    <row r="5" spans="1:6" x14ac:dyDescent="0.25">
      <c r="A5" s="135" t="s">
        <v>227</v>
      </c>
      <c r="B5" s="136"/>
      <c r="C5" s="136"/>
      <c r="D5" s="136"/>
      <c r="E5" s="136"/>
      <c r="F5" s="136"/>
    </row>
    <row r="6" spans="1:6" x14ac:dyDescent="0.25">
      <c r="A6" s="137" t="s">
        <v>228</v>
      </c>
      <c r="B6" s="138">
        <v>2476</v>
      </c>
      <c r="C6" s="138">
        <v>2382</v>
      </c>
      <c r="D6" s="138">
        <v>2812</v>
      </c>
      <c r="E6" s="138">
        <v>3321</v>
      </c>
      <c r="F6" s="138">
        <v>3445</v>
      </c>
    </row>
    <row r="7" spans="1:6" x14ac:dyDescent="0.25">
      <c r="A7" s="139" t="s">
        <v>229</v>
      </c>
      <c r="B7" s="140">
        <v>51.622780159216198</v>
      </c>
      <c r="C7" s="140">
        <v>-3.7964458804523402</v>
      </c>
      <c r="D7" s="140">
        <v>18.0520570948783</v>
      </c>
      <c r="E7" s="140">
        <v>18.100995732574699</v>
      </c>
      <c r="F7" s="140">
        <v>3.7338151159289401</v>
      </c>
    </row>
    <row r="8" spans="1:6" x14ac:dyDescent="0.25">
      <c r="A8" s="137" t="s">
        <v>230</v>
      </c>
      <c r="B8" s="138">
        <v>2403</v>
      </c>
      <c r="C8" s="138">
        <v>2363</v>
      </c>
      <c r="D8" s="138">
        <v>2756</v>
      </c>
      <c r="E8" s="138">
        <v>3259</v>
      </c>
      <c r="F8" s="138">
        <v>3397</v>
      </c>
    </row>
    <row r="9" spans="1:6" x14ac:dyDescent="0.25">
      <c r="A9" s="139" t="s">
        <v>229</v>
      </c>
      <c r="B9" s="140">
        <v>54.533762057877802</v>
      </c>
      <c r="C9" s="140">
        <v>-1.66458593424886</v>
      </c>
      <c r="D9" s="140">
        <v>16.6314007617435</v>
      </c>
      <c r="E9" s="140">
        <v>18.251088534107399</v>
      </c>
      <c r="F9" s="140">
        <v>4.2344277385701101</v>
      </c>
    </row>
    <row r="10" spans="1:6" x14ac:dyDescent="0.25">
      <c r="A10" s="137" t="s">
        <v>231</v>
      </c>
      <c r="B10" s="138">
        <v>73</v>
      </c>
      <c r="C10" s="138">
        <v>19</v>
      </c>
      <c r="D10" s="138">
        <v>56</v>
      </c>
      <c r="E10" s="138">
        <v>62</v>
      </c>
      <c r="F10" s="138">
        <v>48</v>
      </c>
    </row>
    <row r="11" spans="1:6" x14ac:dyDescent="0.25">
      <c r="A11" s="139" t="s">
        <v>229</v>
      </c>
      <c r="B11" s="140">
        <v>-6.4102564102564097</v>
      </c>
      <c r="C11" s="140">
        <v>-73.972602739726</v>
      </c>
      <c r="D11" s="140">
        <v>194.73684210526301</v>
      </c>
      <c r="E11" s="140">
        <v>10.714285714285699</v>
      </c>
      <c r="F11" s="140">
        <v>-22.580645161290299</v>
      </c>
    </row>
    <row r="12" spans="1:6" x14ac:dyDescent="0.25">
      <c r="A12" s="137" t="s">
        <v>232</v>
      </c>
      <c r="B12" s="138">
        <v>186</v>
      </c>
      <c r="C12" s="138">
        <v>81</v>
      </c>
      <c r="D12" s="138">
        <v>127</v>
      </c>
      <c r="E12" s="138">
        <v>124</v>
      </c>
      <c r="F12" s="138">
        <v>254</v>
      </c>
    </row>
    <row r="13" spans="1:6" x14ac:dyDescent="0.25">
      <c r="A13" s="139" t="s">
        <v>229</v>
      </c>
      <c r="B13" s="140">
        <v>-61.410788381742698</v>
      </c>
      <c r="C13" s="140">
        <v>-56.451612903225801</v>
      </c>
      <c r="D13" s="140">
        <v>56.790123456790099</v>
      </c>
      <c r="E13" s="140">
        <v>-2.36220472440945</v>
      </c>
      <c r="F13" s="140">
        <v>104.838709677419</v>
      </c>
    </row>
    <row r="14" spans="1:6" x14ac:dyDescent="0.25">
      <c r="A14" s="137" t="s">
        <v>233</v>
      </c>
      <c r="B14" s="138">
        <v>186</v>
      </c>
      <c r="C14" s="138">
        <v>81</v>
      </c>
      <c r="D14" s="138">
        <v>127</v>
      </c>
      <c r="E14" s="138">
        <v>124</v>
      </c>
      <c r="F14" s="138">
        <v>254</v>
      </c>
    </row>
    <row r="15" spans="1:6" x14ac:dyDescent="0.25">
      <c r="A15" s="139" t="s">
        <v>229</v>
      </c>
      <c r="B15" s="140">
        <v>-61.410788381742698</v>
      </c>
      <c r="C15" s="140">
        <v>-56.451612903225801</v>
      </c>
      <c r="D15" s="140">
        <v>56.790123456790099</v>
      </c>
      <c r="E15" s="140">
        <v>-2.36220472440945</v>
      </c>
      <c r="F15" s="140">
        <v>104.838709677419</v>
      </c>
    </row>
    <row r="16" spans="1:6" x14ac:dyDescent="0.25">
      <c r="A16" s="137" t="s">
        <v>234</v>
      </c>
      <c r="B16" s="138">
        <v>0</v>
      </c>
      <c r="C16" s="138">
        <v>0</v>
      </c>
      <c r="D16" s="138">
        <v>0</v>
      </c>
      <c r="E16" s="138">
        <v>0</v>
      </c>
      <c r="F16" s="138">
        <v>0</v>
      </c>
    </row>
    <row r="17" spans="1:6" x14ac:dyDescent="0.25">
      <c r="A17" s="137" t="s">
        <v>235</v>
      </c>
      <c r="B17" s="138">
        <v>1366</v>
      </c>
      <c r="C17" s="138">
        <v>1343</v>
      </c>
      <c r="D17" s="138">
        <v>1380</v>
      </c>
      <c r="E17" s="138">
        <v>1355</v>
      </c>
      <c r="F17" s="138">
        <v>1327</v>
      </c>
    </row>
    <row r="18" spans="1:6" x14ac:dyDescent="0.25">
      <c r="A18" s="139" t="s">
        <v>229</v>
      </c>
      <c r="B18" s="140">
        <v>-10.249671484888299</v>
      </c>
      <c r="C18" s="140">
        <v>-1.68374816983895</v>
      </c>
      <c r="D18" s="140">
        <v>2.7550260610573298</v>
      </c>
      <c r="E18" s="140">
        <v>-1.8115942028985501</v>
      </c>
      <c r="F18" s="140">
        <v>-2.0664206642066398</v>
      </c>
    </row>
    <row r="19" spans="1:6" x14ac:dyDescent="0.25">
      <c r="A19" s="137" t="s">
        <v>236</v>
      </c>
      <c r="B19" s="138">
        <v>555</v>
      </c>
      <c r="C19" s="138">
        <v>504</v>
      </c>
      <c r="D19" s="138">
        <v>460</v>
      </c>
      <c r="E19" s="138">
        <v>413</v>
      </c>
      <c r="F19" s="138">
        <v>456</v>
      </c>
    </row>
    <row r="20" spans="1:6" x14ac:dyDescent="0.25">
      <c r="A20" s="139" t="s">
        <v>229</v>
      </c>
      <c r="B20" s="140">
        <v>-19.331395348837201</v>
      </c>
      <c r="C20" s="140">
        <v>-9.1891891891891895</v>
      </c>
      <c r="D20" s="140">
        <v>-8.7301587301587293</v>
      </c>
      <c r="E20" s="140">
        <v>-10.2173913043478</v>
      </c>
      <c r="F20" s="140">
        <v>10.4116222760291</v>
      </c>
    </row>
    <row r="21" spans="1:6" x14ac:dyDescent="0.25">
      <c r="A21" s="137" t="s">
        <v>237</v>
      </c>
      <c r="B21" s="138">
        <v>348</v>
      </c>
      <c r="C21" s="138">
        <v>457</v>
      </c>
      <c r="D21" s="138">
        <v>500</v>
      </c>
      <c r="E21" s="138">
        <v>477</v>
      </c>
      <c r="F21" s="138">
        <v>406</v>
      </c>
    </row>
    <row r="22" spans="1:6" x14ac:dyDescent="0.25">
      <c r="A22" s="139" t="s">
        <v>229</v>
      </c>
      <c r="B22" s="140">
        <v>8.0745341614906803</v>
      </c>
      <c r="C22" s="140">
        <v>31.321839080459799</v>
      </c>
      <c r="D22" s="140">
        <v>9.4091903719912509</v>
      </c>
      <c r="E22" s="140">
        <v>-4.5999999999999996</v>
      </c>
      <c r="F22" s="140">
        <v>-14.8846960167715</v>
      </c>
    </row>
    <row r="23" spans="1:6" x14ac:dyDescent="0.25">
      <c r="A23" s="137" t="s">
        <v>238</v>
      </c>
      <c r="B23" s="138">
        <v>12</v>
      </c>
      <c r="C23" s="138">
        <v>10</v>
      </c>
      <c r="D23" s="138">
        <v>29</v>
      </c>
      <c r="E23" s="138">
        <v>49</v>
      </c>
      <c r="F23" s="138">
        <v>26</v>
      </c>
    </row>
    <row r="24" spans="1:6" x14ac:dyDescent="0.25">
      <c r="A24" s="139" t="s">
        <v>229</v>
      </c>
      <c r="B24" s="140">
        <v>-53.846153846153797</v>
      </c>
      <c r="C24" s="140">
        <v>-16.6666666666667</v>
      </c>
      <c r="D24" s="140">
        <v>190</v>
      </c>
      <c r="E24" s="140">
        <v>68.965517241379303</v>
      </c>
      <c r="F24" s="140">
        <v>-46.938775510204103</v>
      </c>
    </row>
    <row r="25" spans="1:6" x14ac:dyDescent="0.25">
      <c r="A25" s="137" t="s">
        <v>239</v>
      </c>
      <c r="B25" s="138">
        <v>451</v>
      </c>
      <c r="C25" s="138">
        <v>372</v>
      </c>
      <c r="D25" s="138">
        <v>391</v>
      </c>
      <c r="E25" s="138">
        <v>416</v>
      </c>
      <c r="F25" s="138">
        <v>439</v>
      </c>
    </row>
    <row r="26" spans="1:6" x14ac:dyDescent="0.25">
      <c r="A26" s="139" t="s">
        <v>229</v>
      </c>
      <c r="B26" s="140">
        <v>-7.2016460905349797</v>
      </c>
      <c r="C26" s="140">
        <v>-17.516629711751701</v>
      </c>
      <c r="D26" s="140">
        <v>5.10752688172043</v>
      </c>
      <c r="E26" s="140">
        <v>6.3938618925831197</v>
      </c>
      <c r="F26" s="140">
        <v>5.5288461538461497</v>
      </c>
    </row>
    <row r="27" spans="1:6" x14ac:dyDescent="0.25">
      <c r="A27" s="137" t="s">
        <v>240</v>
      </c>
      <c r="B27" s="138">
        <v>1411</v>
      </c>
      <c r="C27" s="138">
        <v>1177</v>
      </c>
      <c r="D27" s="138">
        <v>358</v>
      </c>
      <c r="E27" s="138">
        <v>266</v>
      </c>
      <c r="F27" s="138">
        <v>251</v>
      </c>
    </row>
    <row r="28" spans="1:6" x14ac:dyDescent="0.25">
      <c r="A28" s="139" t="s">
        <v>229</v>
      </c>
      <c r="B28" s="140">
        <v>12.6996805111821</v>
      </c>
      <c r="C28" s="140">
        <v>-16.583982990786701</v>
      </c>
      <c r="D28" s="140">
        <v>-69.583687340696699</v>
      </c>
      <c r="E28" s="140">
        <v>-25.698324022346402</v>
      </c>
      <c r="F28" s="140">
        <v>-5.6390977443608996</v>
      </c>
    </row>
    <row r="29" spans="1:6" x14ac:dyDescent="0.25">
      <c r="A29" s="137" t="s">
        <v>241</v>
      </c>
      <c r="B29" s="138">
        <v>147</v>
      </c>
      <c r="C29" s="138" t="s">
        <v>242</v>
      </c>
      <c r="D29" s="138" t="s">
        <v>242</v>
      </c>
      <c r="E29" s="138" t="s">
        <v>242</v>
      </c>
      <c r="F29" s="138" t="s">
        <v>242</v>
      </c>
    </row>
    <row r="30" spans="1:6" x14ac:dyDescent="0.25">
      <c r="A30" s="137" t="s">
        <v>243</v>
      </c>
      <c r="B30" s="138">
        <v>1</v>
      </c>
      <c r="C30" s="138">
        <v>0</v>
      </c>
      <c r="D30" s="138">
        <v>4</v>
      </c>
      <c r="E30" s="138">
        <v>6</v>
      </c>
      <c r="F30" s="138">
        <v>0</v>
      </c>
    </row>
    <row r="31" spans="1:6" x14ac:dyDescent="0.25">
      <c r="A31" s="139" t="s">
        <v>229</v>
      </c>
      <c r="B31" s="140">
        <v>-75</v>
      </c>
      <c r="C31" s="140" t="s">
        <v>242</v>
      </c>
      <c r="D31" s="140" t="s">
        <v>242</v>
      </c>
      <c r="E31" s="140">
        <v>50</v>
      </c>
      <c r="F31" s="140" t="s">
        <v>242</v>
      </c>
    </row>
    <row r="32" spans="1:6" x14ac:dyDescent="0.25">
      <c r="A32" s="137" t="s">
        <v>244</v>
      </c>
      <c r="B32" s="138" t="s">
        <v>242</v>
      </c>
      <c r="C32" s="138">
        <v>960</v>
      </c>
      <c r="D32" s="138">
        <v>0</v>
      </c>
      <c r="E32" s="138" t="s">
        <v>242</v>
      </c>
      <c r="F32" s="138" t="s">
        <v>242</v>
      </c>
    </row>
    <row r="33" spans="1:6" x14ac:dyDescent="0.25">
      <c r="A33" s="137" t="s">
        <v>245</v>
      </c>
      <c r="B33" s="138">
        <v>240</v>
      </c>
      <c r="C33" s="138">
        <v>0</v>
      </c>
      <c r="D33" s="138">
        <v>0</v>
      </c>
      <c r="E33" s="138">
        <v>0</v>
      </c>
      <c r="F33" s="138">
        <v>0</v>
      </c>
    </row>
    <row r="34" spans="1:6" x14ac:dyDescent="0.25">
      <c r="A34" s="139" t="s">
        <v>229</v>
      </c>
      <c r="B34" s="140">
        <v>-2.4390243902439002</v>
      </c>
      <c r="C34" s="140" t="s">
        <v>242</v>
      </c>
      <c r="D34" s="140" t="s">
        <v>242</v>
      </c>
      <c r="E34" s="140" t="s">
        <v>242</v>
      </c>
      <c r="F34" s="140" t="s">
        <v>242</v>
      </c>
    </row>
    <row r="35" spans="1:6" x14ac:dyDescent="0.25">
      <c r="A35" s="137" t="s">
        <v>246</v>
      </c>
      <c r="B35" s="138">
        <v>1023</v>
      </c>
      <c r="C35" s="138">
        <v>217</v>
      </c>
      <c r="D35" s="138">
        <v>354</v>
      </c>
      <c r="E35" s="138">
        <v>260</v>
      </c>
      <c r="F35" s="138">
        <v>251</v>
      </c>
    </row>
    <row r="36" spans="1:6" x14ac:dyDescent="0.25">
      <c r="A36" s="139" t="s">
        <v>229</v>
      </c>
      <c r="B36" s="140">
        <v>2.0958083832335301</v>
      </c>
      <c r="C36" s="140">
        <v>-78.787878787878796</v>
      </c>
      <c r="D36" s="140">
        <v>63.133640552995402</v>
      </c>
      <c r="E36" s="140">
        <v>-26.553672316384201</v>
      </c>
      <c r="F36" s="140">
        <v>-3.4615384615384599</v>
      </c>
    </row>
    <row r="37" spans="1:6" x14ac:dyDescent="0.25">
      <c r="A37" s="135" t="s">
        <v>247</v>
      </c>
      <c r="B37" s="141">
        <v>5439</v>
      </c>
      <c r="C37" s="141">
        <v>4983</v>
      </c>
      <c r="D37" s="141">
        <v>4677</v>
      </c>
      <c r="E37" s="141">
        <v>5066</v>
      </c>
      <c r="F37" s="141">
        <v>5277</v>
      </c>
    </row>
    <row r="38" spans="1:6" x14ac:dyDescent="0.25">
      <c r="A38" s="139" t="s">
        <v>229</v>
      </c>
      <c r="B38" s="140">
        <v>11.2497443239926</v>
      </c>
      <c r="C38" s="140">
        <v>-8.3838940981798107</v>
      </c>
      <c r="D38" s="140">
        <v>-6.1408789885611101</v>
      </c>
      <c r="E38" s="140">
        <v>8.3172974128715005</v>
      </c>
      <c r="F38" s="140">
        <v>4.1650217133833403</v>
      </c>
    </row>
    <row r="39" spans="1:6" x14ac:dyDescent="0.25">
      <c r="A39" s="137" t="s">
        <v>248</v>
      </c>
      <c r="B39" s="138">
        <v>13650</v>
      </c>
      <c r="C39" s="138">
        <v>13210</v>
      </c>
      <c r="D39" s="138">
        <v>12485</v>
      </c>
      <c r="E39" s="138">
        <v>12338</v>
      </c>
      <c r="F39" s="138">
        <v>12258</v>
      </c>
    </row>
    <row r="40" spans="1:6" x14ac:dyDescent="0.25">
      <c r="A40" s="139" t="s">
        <v>229</v>
      </c>
      <c r="B40" s="140">
        <v>-4.3916789241437302</v>
      </c>
      <c r="C40" s="140">
        <v>-3.22344322344322</v>
      </c>
      <c r="D40" s="140">
        <v>-5.4882664647993904</v>
      </c>
      <c r="E40" s="140">
        <v>-1.17741289547457</v>
      </c>
      <c r="F40" s="140">
        <v>-0.64840330685686498</v>
      </c>
    </row>
    <row r="41" spans="1:6" x14ac:dyDescent="0.25">
      <c r="A41" s="137" t="s">
        <v>249</v>
      </c>
      <c r="B41" s="138">
        <v>26185</v>
      </c>
      <c r="C41" s="138">
        <v>24733</v>
      </c>
      <c r="D41" s="138">
        <v>25033</v>
      </c>
      <c r="E41" s="138">
        <v>26477</v>
      </c>
      <c r="F41" s="138">
        <v>27369</v>
      </c>
    </row>
    <row r="42" spans="1:6" x14ac:dyDescent="0.25">
      <c r="A42" s="139" t="s">
        <v>229</v>
      </c>
      <c r="B42" s="140">
        <v>-1.94720089870811</v>
      </c>
      <c r="C42" s="140">
        <v>-5.5451594424288704</v>
      </c>
      <c r="D42" s="140">
        <v>1.2129543524845401</v>
      </c>
      <c r="E42" s="140">
        <v>5.7683857308353002</v>
      </c>
      <c r="F42" s="140">
        <v>3.36896174037844</v>
      </c>
    </row>
    <row r="43" spans="1:6" x14ac:dyDescent="0.25">
      <c r="A43" s="137" t="s">
        <v>250</v>
      </c>
      <c r="B43" s="138">
        <v>12535</v>
      </c>
      <c r="C43" s="138">
        <v>11523</v>
      </c>
      <c r="D43" s="138">
        <v>12548</v>
      </c>
      <c r="E43" s="138">
        <v>14139</v>
      </c>
      <c r="F43" s="138">
        <v>15111</v>
      </c>
    </row>
    <row r="44" spans="1:6" x14ac:dyDescent="0.25">
      <c r="A44" s="139" t="s">
        <v>229</v>
      </c>
      <c r="B44" s="140">
        <v>0.86095912455745105</v>
      </c>
      <c r="C44" s="140">
        <v>-8.0733944954128507</v>
      </c>
      <c r="D44" s="140">
        <v>8.8952529723162392</v>
      </c>
      <c r="E44" s="140">
        <v>12.6793114440548</v>
      </c>
      <c r="F44" s="140">
        <v>6.8746021642266104</v>
      </c>
    </row>
    <row r="45" spans="1:6" x14ac:dyDescent="0.25">
      <c r="A45" s="137" t="s">
        <v>251</v>
      </c>
      <c r="B45" s="138">
        <v>334</v>
      </c>
      <c r="C45" s="138">
        <v>402</v>
      </c>
      <c r="D45" s="138">
        <v>227</v>
      </c>
      <c r="E45" s="138">
        <v>280</v>
      </c>
      <c r="F45" s="138">
        <v>271</v>
      </c>
    </row>
    <row r="46" spans="1:6" x14ac:dyDescent="0.25">
      <c r="A46" s="139" t="s">
        <v>229</v>
      </c>
      <c r="B46" s="140">
        <v>-23.917995444191298</v>
      </c>
      <c r="C46" s="140">
        <v>20.359281437125698</v>
      </c>
      <c r="D46" s="140">
        <v>-43.532338308457703</v>
      </c>
      <c r="E46" s="140">
        <v>23.348017621145399</v>
      </c>
      <c r="F46" s="140">
        <v>-3.21428571428571</v>
      </c>
    </row>
    <row r="47" spans="1:6" x14ac:dyDescent="0.25">
      <c r="A47" s="137" t="s">
        <v>252</v>
      </c>
      <c r="B47" s="138">
        <v>334</v>
      </c>
      <c r="C47" s="138">
        <v>402</v>
      </c>
      <c r="D47" s="138">
        <v>227</v>
      </c>
      <c r="E47" s="138">
        <v>280</v>
      </c>
      <c r="F47" s="138">
        <v>271</v>
      </c>
    </row>
    <row r="48" spans="1:6" x14ac:dyDescent="0.25">
      <c r="A48" s="139" t="s">
        <v>229</v>
      </c>
      <c r="B48" s="140">
        <v>-23.917995444191298</v>
      </c>
      <c r="C48" s="140">
        <v>20.359281437125698</v>
      </c>
      <c r="D48" s="140">
        <v>-43.532338308457703</v>
      </c>
      <c r="E48" s="140">
        <v>23.348017621145399</v>
      </c>
      <c r="F48" s="140">
        <v>-3.21428571428571</v>
      </c>
    </row>
    <row r="49" spans="1:6" x14ac:dyDescent="0.25">
      <c r="A49" s="137" t="s">
        <v>253</v>
      </c>
      <c r="B49" s="138">
        <v>5493</v>
      </c>
      <c r="C49" s="138">
        <v>6535</v>
      </c>
      <c r="D49" s="138">
        <v>3642</v>
      </c>
      <c r="E49" s="138">
        <v>2962</v>
      </c>
      <c r="F49" s="138">
        <v>2909</v>
      </c>
    </row>
    <row r="50" spans="1:6" x14ac:dyDescent="0.25">
      <c r="A50" s="139" t="s">
        <v>229</v>
      </c>
      <c r="B50" s="140">
        <v>9.8160735705717705</v>
      </c>
      <c r="C50" s="140">
        <v>18.969597669761502</v>
      </c>
      <c r="D50" s="140">
        <v>-44.2693190512624</v>
      </c>
      <c r="E50" s="140">
        <v>-18.671059857221302</v>
      </c>
      <c r="F50" s="140">
        <v>-1.7893315327481401</v>
      </c>
    </row>
    <row r="51" spans="1:6" x14ac:dyDescent="0.25">
      <c r="A51" s="137" t="s">
        <v>254</v>
      </c>
      <c r="B51" s="138">
        <v>214</v>
      </c>
      <c r="C51" s="138">
        <v>0</v>
      </c>
      <c r="D51" s="138">
        <v>0</v>
      </c>
      <c r="E51" s="138">
        <v>0</v>
      </c>
      <c r="F51" s="138">
        <v>0</v>
      </c>
    </row>
    <row r="52" spans="1:6" x14ac:dyDescent="0.25">
      <c r="A52" s="139" t="s">
        <v>229</v>
      </c>
      <c r="B52" s="140">
        <v>-6.9565217391304301</v>
      </c>
      <c r="C52" s="140" t="s">
        <v>242</v>
      </c>
      <c r="D52" s="140" t="s">
        <v>242</v>
      </c>
      <c r="E52" s="140" t="s">
        <v>242</v>
      </c>
      <c r="F52" s="140" t="s">
        <v>242</v>
      </c>
    </row>
    <row r="53" spans="1:6" x14ac:dyDescent="0.25">
      <c r="A53" s="139" t="s">
        <v>255</v>
      </c>
      <c r="B53" s="140">
        <v>105</v>
      </c>
      <c r="C53" s="140">
        <v>0</v>
      </c>
      <c r="D53" s="140">
        <v>0</v>
      </c>
      <c r="E53" s="140">
        <v>0</v>
      </c>
      <c r="F53" s="140">
        <v>0</v>
      </c>
    </row>
    <row r="54" spans="1:6" x14ac:dyDescent="0.25">
      <c r="A54" s="139" t="s">
        <v>229</v>
      </c>
      <c r="B54" s="140">
        <v>-20.454545454545499</v>
      </c>
      <c r="C54" s="140" t="s">
        <v>242</v>
      </c>
      <c r="D54" s="140" t="s">
        <v>242</v>
      </c>
      <c r="E54" s="140" t="s">
        <v>242</v>
      </c>
      <c r="F54" s="140" t="s">
        <v>242</v>
      </c>
    </row>
    <row r="55" spans="1:6" x14ac:dyDescent="0.25">
      <c r="A55" s="139" t="s">
        <v>256</v>
      </c>
      <c r="B55" s="140">
        <v>109</v>
      </c>
      <c r="C55" s="140">
        <v>0</v>
      </c>
      <c r="D55" s="140">
        <v>0</v>
      </c>
      <c r="E55" s="140">
        <v>0</v>
      </c>
      <c r="F55" s="140">
        <v>0</v>
      </c>
    </row>
    <row r="56" spans="1:6" x14ac:dyDescent="0.25">
      <c r="A56" s="139" t="s">
        <v>229</v>
      </c>
      <c r="B56" s="140">
        <v>11.2244897959184</v>
      </c>
      <c r="C56" s="140" t="s">
        <v>242</v>
      </c>
      <c r="D56" s="140" t="s">
        <v>242</v>
      </c>
      <c r="E56" s="140" t="s">
        <v>242</v>
      </c>
      <c r="F56" s="140" t="s">
        <v>242</v>
      </c>
    </row>
    <row r="57" spans="1:6" x14ac:dyDescent="0.25">
      <c r="A57" s="137" t="s">
        <v>257</v>
      </c>
      <c r="B57" s="138">
        <v>125</v>
      </c>
      <c r="C57" s="138" t="s">
        <v>242</v>
      </c>
      <c r="D57" s="138" t="s">
        <v>242</v>
      </c>
      <c r="E57" s="138" t="s">
        <v>242</v>
      </c>
      <c r="F57" s="138" t="s">
        <v>242</v>
      </c>
    </row>
    <row r="58" spans="1:6" x14ac:dyDescent="0.25">
      <c r="A58" s="137" t="s">
        <v>245</v>
      </c>
      <c r="B58" s="138">
        <v>1790</v>
      </c>
      <c r="C58" s="138">
        <v>1712</v>
      </c>
      <c r="D58" s="138">
        <v>1331</v>
      </c>
      <c r="E58" s="138">
        <v>549</v>
      </c>
      <c r="F58" s="138">
        <v>401</v>
      </c>
    </row>
    <row r="59" spans="1:6" x14ac:dyDescent="0.25">
      <c r="A59" s="139" t="s">
        <v>229</v>
      </c>
      <c r="B59" s="140">
        <v>21.1096075778079</v>
      </c>
      <c r="C59" s="140">
        <v>-4.3575418994413404</v>
      </c>
      <c r="D59" s="140">
        <v>-22.254672897196301</v>
      </c>
      <c r="E59" s="140">
        <v>-58.752817430503399</v>
      </c>
      <c r="F59" s="140">
        <v>-26.958105646630202</v>
      </c>
    </row>
    <row r="60" spans="1:6" x14ac:dyDescent="0.25">
      <c r="A60" s="137" t="s">
        <v>243</v>
      </c>
      <c r="B60" s="138">
        <v>0</v>
      </c>
      <c r="C60" s="138">
        <v>0</v>
      </c>
      <c r="D60" s="138">
        <v>0</v>
      </c>
      <c r="E60" s="138">
        <v>0</v>
      </c>
      <c r="F60" s="138">
        <v>0</v>
      </c>
    </row>
    <row r="61" spans="1:6" x14ac:dyDescent="0.25">
      <c r="A61" s="139" t="s">
        <v>229</v>
      </c>
      <c r="B61" s="140" t="s">
        <v>242</v>
      </c>
      <c r="C61" s="140" t="s">
        <v>242</v>
      </c>
      <c r="D61" s="140" t="s">
        <v>242</v>
      </c>
      <c r="E61" s="140" t="s">
        <v>242</v>
      </c>
      <c r="F61" s="140" t="s">
        <v>242</v>
      </c>
    </row>
    <row r="62" spans="1:6" x14ac:dyDescent="0.25">
      <c r="A62" s="137" t="s">
        <v>258</v>
      </c>
      <c r="B62" s="138">
        <v>3364</v>
      </c>
      <c r="C62" s="138">
        <v>4823</v>
      </c>
      <c r="D62" s="138">
        <v>2311</v>
      </c>
      <c r="E62" s="138">
        <v>2413</v>
      </c>
      <c r="F62" s="138">
        <v>2508</v>
      </c>
    </row>
    <row r="63" spans="1:6" x14ac:dyDescent="0.25">
      <c r="A63" s="139" t="s">
        <v>229</v>
      </c>
      <c r="B63" s="140">
        <v>2.1560886729426101</v>
      </c>
      <c r="C63" s="140">
        <v>43.370986920332903</v>
      </c>
      <c r="D63" s="140">
        <v>-52.083765291312503</v>
      </c>
      <c r="E63" s="140">
        <v>4.4136737343141501</v>
      </c>
      <c r="F63" s="140">
        <v>3.9370078740157499</v>
      </c>
    </row>
    <row r="64" spans="1:6" x14ac:dyDescent="0.25">
      <c r="A64" s="135" t="s">
        <v>259</v>
      </c>
      <c r="B64" s="141">
        <v>19477</v>
      </c>
      <c r="C64" s="141">
        <v>20147</v>
      </c>
      <c r="D64" s="141">
        <v>16354</v>
      </c>
      <c r="E64" s="141">
        <v>15580</v>
      </c>
      <c r="F64" s="141">
        <v>15438</v>
      </c>
    </row>
    <row r="65" spans="1:6" x14ac:dyDescent="0.25">
      <c r="A65" s="139" t="s">
        <v>229</v>
      </c>
      <c r="B65" s="140">
        <v>-1.22223349224059</v>
      </c>
      <c r="C65" s="140">
        <v>3.43995481850388</v>
      </c>
      <c r="D65" s="140">
        <v>-18.8266243113119</v>
      </c>
      <c r="E65" s="140">
        <v>-4.7327870857282601</v>
      </c>
      <c r="F65" s="140">
        <v>-0.911424903722721</v>
      </c>
    </row>
    <row r="66" spans="1:6" x14ac:dyDescent="0.25">
      <c r="A66" s="135" t="s">
        <v>227</v>
      </c>
      <c r="B66" s="141">
        <v>24916</v>
      </c>
      <c r="C66" s="141">
        <v>25130</v>
      </c>
      <c r="D66" s="141">
        <v>21031</v>
      </c>
      <c r="E66" s="141">
        <v>20646</v>
      </c>
      <c r="F66" s="141">
        <v>20715</v>
      </c>
    </row>
    <row r="67" spans="1:6" x14ac:dyDescent="0.25">
      <c r="A67" s="139" t="s">
        <v>229</v>
      </c>
      <c r="B67" s="140">
        <v>1.2557402365180601</v>
      </c>
      <c r="C67" s="140">
        <v>0.85888585647776505</v>
      </c>
      <c r="D67" s="140">
        <v>-16.311181854357301</v>
      </c>
      <c r="E67" s="140">
        <v>-1.8306309733250901</v>
      </c>
      <c r="F67" s="140">
        <v>0.33420517291485002</v>
      </c>
    </row>
    <row r="68" spans="1:6" x14ac:dyDescent="0.25">
      <c r="A68" s="135"/>
      <c r="B68" s="136"/>
      <c r="C68" s="136"/>
      <c r="D68" s="136"/>
      <c r="E68" s="136"/>
      <c r="F68" s="136"/>
    </row>
    <row r="69" spans="1:6" x14ac:dyDescent="0.25">
      <c r="A69" s="135" t="s">
        <v>260</v>
      </c>
      <c r="B69" s="136"/>
      <c r="C69" s="136"/>
      <c r="D69" s="136"/>
      <c r="E69" s="136"/>
      <c r="F69" s="136"/>
    </row>
    <row r="70" spans="1:6" x14ac:dyDescent="0.25">
      <c r="A70" s="137" t="s">
        <v>261</v>
      </c>
      <c r="B70" s="138">
        <v>787</v>
      </c>
      <c r="C70" s="138">
        <v>631</v>
      </c>
      <c r="D70" s="138">
        <v>777</v>
      </c>
      <c r="E70" s="138">
        <v>932</v>
      </c>
      <c r="F70" s="138">
        <v>679</v>
      </c>
    </row>
    <row r="71" spans="1:6" x14ac:dyDescent="0.25">
      <c r="A71" s="139" t="s">
        <v>229</v>
      </c>
      <c r="B71" s="140">
        <v>-5.4086538461538503</v>
      </c>
      <c r="C71" s="140">
        <v>-19.8221092757306</v>
      </c>
      <c r="D71" s="140">
        <v>23.1378763866878</v>
      </c>
      <c r="E71" s="140">
        <v>19.948519948519898</v>
      </c>
      <c r="F71" s="140">
        <v>-27.1459227467811</v>
      </c>
    </row>
    <row r="72" spans="1:6" x14ac:dyDescent="0.25">
      <c r="A72" s="137" t="s">
        <v>262</v>
      </c>
      <c r="B72" s="138">
        <v>406</v>
      </c>
      <c r="C72" s="138">
        <v>315</v>
      </c>
      <c r="D72" s="138">
        <v>320</v>
      </c>
      <c r="E72" s="138">
        <v>375</v>
      </c>
      <c r="F72" s="138">
        <v>303</v>
      </c>
    </row>
    <row r="73" spans="1:6" x14ac:dyDescent="0.25">
      <c r="A73" s="139" t="s">
        <v>229</v>
      </c>
      <c r="B73" s="140">
        <v>-15.0627615062762</v>
      </c>
      <c r="C73" s="140">
        <v>-22.413793103448299</v>
      </c>
      <c r="D73" s="140">
        <v>1.5873015873015901</v>
      </c>
      <c r="E73" s="140">
        <v>17.1875</v>
      </c>
      <c r="F73" s="140">
        <v>-19.2</v>
      </c>
    </row>
    <row r="74" spans="1:6" x14ac:dyDescent="0.25">
      <c r="A74" s="137" t="s">
        <v>263</v>
      </c>
      <c r="B74" s="138">
        <v>74</v>
      </c>
      <c r="C74" s="138">
        <v>38</v>
      </c>
      <c r="D74" s="138">
        <v>153</v>
      </c>
      <c r="E74" s="138">
        <v>248</v>
      </c>
      <c r="F74" s="138">
        <v>71</v>
      </c>
    </row>
    <row r="75" spans="1:6" x14ac:dyDescent="0.25">
      <c r="A75" s="139" t="s">
        <v>229</v>
      </c>
      <c r="B75" s="140">
        <v>469.230769230769</v>
      </c>
      <c r="C75" s="140">
        <v>-48.648648648648702</v>
      </c>
      <c r="D75" s="140">
        <v>302.63157894736798</v>
      </c>
      <c r="E75" s="140">
        <v>62.091503267973899</v>
      </c>
      <c r="F75" s="140">
        <v>-71.370967741935502</v>
      </c>
    </row>
    <row r="76" spans="1:6" x14ac:dyDescent="0.25">
      <c r="A76" s="137" t="s">
        <v>264</v>
      </c>
      <c r="B76" s="138">
        <v>0</v>
      </c>
      <c r="C76" s="138">
        <v>0</v>
      </c>
      <c r="D76" s="138">
        <v>0</v>
      </c>
      <c r="E76" s="138" t="s">
        <v>242</v>
      </c>
      <c r="F76" s="138" t="s">
        <v>242</v>
      </c>
    </row>
    <row r="77" spans="1:6" x14ac:dyDescent="0.25">
      <c r="A77" s="137" t="s">
        <v>265</v>
      </c>
      <c r="B77" s="138">
        <v>307</v>
      </c>
      <c r="C77" s="138">
        <v>278</v>
      </c>
      <c r="D77" s="138">
        <v>304</v>
      </c>
      <c r="E77" s="138">
        <v>309</v>
      </c>
      <c r="F77" s="138">
        <v>305</v>
      </c>
    </row>
    <row r="78" spans="1:6" x14ac:dyDescent="0.25">
      <c r="A78" s="139" t="s">
        <v>229</v>
      </c>
      <c r="B78" s="140">
        <v>-9.9706744868035209</v>
      </c>
      <c r="C78" s="140">
        <v>-9.4462540716612402</v>
      </c>
      <c r="D78" s="140">
        <v>9.3525179856115095</v>
      </c>
      <c r="E78" s="140">
        <v>1.6447368421052599</v>
      </c>
      <c r="F78" s="140">
        <v>-1.2944983818770199</v>
      </c>
    </row>
    <row r="79" spans="1:6" x14ac:dyDescent="0.25">
      <c r="A79" s="137" t="s">
        <v>266</v>
      </c>
      <c r="B79" s="138">
        <v>166</v>
      </c>
      <c r="C79" s="138">
        <v>9</v>
      </c>
      <c r="D79" s="138">
        <v>566</v>
      </c>
      <c r="E79" s="138">
        <v>4</v>
      </c>
      <c r="F79" s="138">
        <v>626</v>
      </c>
    </row>
    <row r="80" spans="1:6" x14ac:dyDescent="0.25">
      <c r="A80" s="139" t="s">
        <v>229</v>
      </c>
      <c r="B80" s="140">
        <v>-72.100840336134496</v>
      </c>
      <c r="C80" s="140">
        <v>-94.578313253011999</v>
      </c>
      <c r="D80" s="140">
        <v>6188.8888888888896</v>
      </c>
      <c r="E80" s="140">
        <v>-99.293286219081295</v>
      </c>
      <c r="F80" s="140">
        <v>15550</v>
      </c>
    </row>
    <row r="81" spans="1:6" x14ac:dyDescent="0.25">
      <c r="A81" s="137" t="s">
        <v>267</v>
      </c>
      <c r="B81" s="138">
        <v>0</v>
      </c>
      <c r="C81" s="138">
        <v>0</v>
      </c>
      <c r="D81" s="138">
        <v>0</v>
      </c>
      <c r="E81" s="138">
        <v>0</v>
      </c>
      <c r="F81" s="138">
        <v>0</v>
      </c>
    </row>
    <row r="82" spans="1:6" x14ac:dyDescent="0.25">
      <c r="A82" s="137" t="s">
        <v>268</v>
      </c>
      <c r="B82" s="138">
        <v>1</v>
      </c>
      <c r="C82" s="138">
        <v>6</v>
      </c>
      <c r="D82" s="138">
        <v>6</v>
      </c>
      <c r="E82" s="138">
        <v>4</v>
      </c>
      <c r="F82" s="138">
        <v>27</v>
      </c>
    </row>
    <row r="83" spans="1:6" x14ac:dyDescent="0.25">
      <c r="A83" s="139" t="s">
        <v>229</v>
      </c>
      <c r="B83" s="140" t="s">
        <v>242</v>
      </c>
      <c r="C83" s="140">
        <v>500</v>
      </c>
      <c r="D83" s="140">
        <v>0</v>
      </c>
      <c r="E83" s="140">
        <v>-33.3333333333333</v>
      </c>
      <c r="F83" s="140">
        <v>575</v>
      </c>
    </row>
    <row r="84" spans="1:6" x14ac:dyDescent="0.25">
      <c r="A84" s="137" t="s">
        <v>269</v>
      </c>
      <c r="B84" s="138">
        <v>165</v>
      </c>
      <c r="C84" s="138">
        <v>3</v>
      </c>
      <c r="D84" s="138">
        <v>560</v>
      </c>
      <c r="E84" s="138">
        <v>0</v>
      </c>
      <c r="F84" s="138">
        <v>599</v>
      </c>
    </row>
    <row r="85" spans="1:6" x14ac:dyDescent="0.25">
      <c r="A85" s="139" t="s">
        <v>229</v>
      </c>
      <c r="B85" s="140">
        <v>-72.268907563025195</v>
      </c>
      <c r="C85" s="140">
        <v>-98.181818181818201</v>
      </c>
      <c r="D85" s="140">
        <v>18566.666666666701</v>
      </c>
      <c r="E85" s="140" t="s">
        <v>242</v>
      </c>
      <c r="F85" s="140" t="s">
        <v>242</v>
      </c>
    </row>
    <row r="86" spans="1:6" x14ac:dyDescent="0.25">
      <c r="A86" s="137" t="s">
        <v>270</v>
      </c>
      <c r="B86" s="138">
        <v>1245</v>
      </c>
      <c r="C86" s="138">
        <v>776</v>
      </c>
      <c r="D86" s="138">
        <v>407</v>
      </c>
      <c r="E86" s="138">
        <v>462</v>
      </c>
      <c r="F86" s="138">
        <v>482</v>
      </c>
    </row>
    <row r="87" spans="1:6" x14ac:dyDescent="0.25">
      <c r="A87" s="139" t="s">
        <v>229</v>
      </c>
      <c r="B87" s="140">
        <v>-5.1789794364051804</v>
      </c>
      <c r="C87" s="140">
        <v>-37.670682730923701</v>
      </c>
      <c r="D87" s="140">
        <v>-47.551546391752602</v>
      </c>
      <c r="E87" s="140">
        <v>13.5135135135135</v>
      </c>
      <c r="F87" s="140">
        <v>4.3290043290043299</v>
      </c>
    </row>
    <row r="88" spans="1:6" x14ac:dyDescent="0.25">
      <c r="A88" s="137" t="s">
        <v>271</v>
      </c>
      <c r="B88" s="138">
        <v>0</v>
      </c>
      <c r="C88" s="138">
        <v>0</v>
      </c>
      <c r="D88" s="138">
        <v>0</v>
      </c>
      <c r="E88" s="138">
        <v>0</v>
      </c>
      <c r="F88" s="138">
        <v>0</v>
      </c>
    </row>
    <row r="89" spans="1:6" x14ac:dyDescent="0.25">
      <c r="A89" s="137" t="s">
        <v>272</v>
      </c>
      <c r="B89" s="138">
        <v>72</v>
      </c>
      <c r="C89" s="138">
        <v>63</v>
      </c>
      <c r="D89" s="138">
        <v>27</v>
      </c>
      <c r="E89" s="138">
        <v>0</v>
      </c>
      <c r="F89" s="138">
        <v>2</v>
      </c>
    </row>
    <row r="90" spans="1:6" x14ac:dyDescent="0.25">
      <c r="A90" s="139" t="s">
        <v>229</v>
      </c>
      <c r="B90" s="140">
        <v>100</v>
      </c>
      <c r="C90" s="140">
        <v>-12.5</v>
      </c>
      <c r="D90" s="140">
        <v>-57.142857142857103</v>
      </c>
      <c r="E90" s="140" t="s">
        <v>242</v>
      </c>
      <c r="F90" s="140" t="s">
        <v>242</v>
      </c>
    </row>
    <row r="91" spans="1:6" x14ac:dyDescent="0.25">
      <c r="A91" s="137" t="s">
        <v>273</v>
      </c>
      <c r="B91" s="138">
        <v>132</v>
      </c>
      <c r="C91" s="138">
        <v>0</v>
      </c>
      <c r="D91" s="138">
        <v>0</v>
      </c>
      <c r="E91" s="138">
        <v>0</v>
      </c>
      <c r="F91" s="138" t="s">
        <v>242</v>
      </c>
    </row>
    <row r="92" spans="1:6" x14ac:dyDescent="0.25">
      <c r="A92" s="139" t="s">
        <v>229</v>
      </c>
      <c r="B92" s="140">
        <v>78.3783783783784</v>
      </c>
      <c r="C92" s="140" t="s">
        <v>242</v>
      </c>
      <c r="D92" s="140" t="s">
        <v>242</v>
      </c>
      <c r="E92" s="140" t="s">
        <v>242</v>
      </c>
      <c r="F92" s="140" t="s">
        <v>242</v>
      </c>
    </row>
    <row r="93" spans="1:6" x14ac:dyDescent="0.25">
      <c r="A93" s="137" t="s">
        <v>274</v>
      </c>
      <c r="B93" s="138">
        <v>1041</v>
      </c>
      <c r="C93" s="138">
        <v>713</v>
      </c>
      <c r="D93" s="138">
        <v>380</v>
      </c>
      <c r="E93" s="138">
        <v>462</v>
      </c>
      <c r="F93" s="138">
        <v>480</v>
      </c>
    </row>
    <row r="94" spans="1:6" x14ac:dyDescent="0.25">
      <c r="A94" s="139" t="s">
        <v>229</v>
      </c>
      <c r="B94" s="140">
        <v>-13.466334164588501</v>
      </c>
      <c r="C94" s="140">
        <v>-31.508165225744499</v>
      </c>
      <c r="D94" s="140">
        <v>-46.704067321178101</v>
      </c>
      <c r="E94" s="140">
        <v>21.578947368421101</v>
      </c>
      <c r="F94" s="140">
        <v>3.8961038961039001</v>
      </c>
    </row>
    <row r="95" spans="1:6" x14ac:dyDescent="0.25">
      <c r="A95" s="135" t="s">
        <v>275</v>
      </c>
      <c r="B95" s="141">
        <v>2198</v>
      </c>
      <c r="C95" s="141">
        <v>1416</v>
      </c>
      <c r="D95" s="141">
        <v>1750</v>
      </c>
      <c r="E95" s="141">
        <v>1398</v>
      </c>
      <c r="F95" s="141">
        <v>1787</v>
      </c>
    </row>
    <row r="96" spans="1:6" x14ac:dyDescent="0.25">
      <c r="A96" s="139" t="s">
        <v>229</v>
      </c>
      <c r="B96" s="140">
        <v>-19.781021897810199</v>
      </c>
      <c r="C96" s="140">
        <v>-35.577797998180202</v>
      </c>
      <c r="D96" s="140">
        <v>23.587570621468899</v>
      </c>
      <c r="E96" s="140">
        <v>-20.1142857142857</v>
      </c>
      <c r="F96" s="140">
        <v>27.825464949928499</v>
      </c>
    </row>
    <row r="97" spans="1:6" x14ac:dyDescent="0.25">
      <c r="A97" s="137" t="s">
        <v>276</v>
      </c>
      <c r="B97" s="138">
        <v>6480</v>
      </c>
      <c r="C97" s="138">
        <v>5854</v>
      </c>
      <c r="D97" s="138">
        <v>4049</v>
      </c>
      <c r="E97" s="138">
        <v>4040</v>
      </c>
      <c r="F97" s="138">
        <v>3418</v>
      </c>
    </row>
    <row r="98" spans="1:6" x14ac:dyDescent="0.25">
      <c r="A98" s="139" t="s">
        <v>229</v>
      </c>
      <c r="B98" s="140">
        <v>5.4515866558177404</v>
      </c>
      <c r="C98" s="140">
        <v>-9.6604938271604901</v>
      </c>
      <c r="D98" s="140">
        <v>-30.833618038947701</v>
      </c>
      <c r="E98" s="140">
        <v>-0.222277105458138</v>
      </c>
      <c r="F98" s="140">
        <v>-15.3960396039604</v>
      </c>
    </row>
    <row r="99" spans="1:6" x14ac:dyDescent="0.25">
      <c r="A99" s="137" t="s">
        <v>277</v>
      </c>
      <c r="B99" s="138">
        <v>6472</v>
      </c>
      <c r="C99" s="138">
        <v>5837</v>
      </c>
      <c r="D99" s="138">
        <v>4039</v>
      </c>
      <c r="E99" s="138">
        <v>4033</v>
      </c>
      <c r="F99" s="138">
        <v>3180</v>
      </c>
    </row>
    <row r="100" spans="1:6" x14ac:dyDescent="0.25">
      <c r="A100" s="139" t="s">
        <v>229</v>
      </c>
      <c r="B100" s="140">
        <v>5.3213995117982096</v>
      </c>
      <c r="C100" s="140">
        <v>-9.8114956736711996</v>
      </c>
      <c r="D100" s="140">
        <v>-30.803494946033901</v>
      </c>
      <c r="E100" s="140">
        <v>-0.148551621688537</v>
      </c>
      <c r="F100" s="140">
        <v>-21.1505083064716</v>
      </c>
    </row>
    <row r="101" spans="1:6" x14ac:dyDescent="0.25">
      <c r="A101" s="137" t="s">
        <v>278</v>
      </c>
      <c r="B101" s="138">
        <v>8</v>
      </c>
      <c r="C101" s="138">
        <v>17</v>
      </c>
      <c r="D101" s="138">
        <v>10</v>
      </c>
      <c r="E101" s="138">
        <v>7</v>
      </c>
      <c r="F101" s="138">
        <v>238</v>
      </c>
    </row>
    <row r="102" spans="1:6" x14ac:dyDescent="0.25">
      <c r="A102" s="139" t="s">
        <v>229</v>
      </c>
      <c r="B102" s="140" t="s">
        <v>242</v>
      </c>
      <c r="C102" s="140">
        <v>112.5</v>
      </c>
      <c r="D102" s="140">
        <v>-41.176470588235297</v>
      </c>
      <c r="E102" s="140">
        <v>-30</v>
      </c>
      <c r="F102" s="140">
        <v>3300</v>
      </c>
    </row>
    <row r="103" spans="1:6" x14ac:dyDescent="0.25">
      <c r="A103" s="137" t="s">
        <v>279</v>
      </c>
      <c r="B103" s="138">
        <v>3149</v>
      </c>
      <c r="C103" s="138">
        <v>3568</v>
      </c>
      <c r="D103" s="138">
        <v>3358</v>
      </c>
      <c r="E103" s="138">
        <v>3689</v>
      </c>
      <c r="F103" s="138">
        <v>3998</v>
      </c>
    </row>
    <row r="104" spans="1:6" x14ac:dyDescent="0.25">
      <c r="A104" s="139" t="s">
        <v>229</v>
      </c>
      <c r="B104" s="140">
        <v>11.944543192321399</v>
      </c>
      <c r="C104" s="140">
        <v>13.3058113686885</v>
      </c>
      <c r="D104" s="140">
        <v>-5.88565022421525</v>
      </c>
      <c r="E104" s="140">
        <v>9.8570577724836195</v>
      </c>
      <c r="F104" s="140">
        <v>8.3762537272973692</v>
      </c>
    </row>
    <row r="105" spans="1:6" x14ac:dyDescent="0.25">
      <c r="A105" s="137" t="s">
        <v>280</v>
      </c>
      <c r="B105" s="138">
        <v>1606</v>
      </c>
      <c r="C105" s="138">
        <v>1555</v>
      </c>
      <c r="D105" s="138">
        <v>2029</v>
      </c>
      <c r="E105" s="138">
        <v>2345</v>
      </c>
      <c r="F105" s="138">
        <v>2481</v>
      </c>
    </row>
    <row r="106" spans="1:6" x14ac:dyDescent="0.25">
      <c r="A106" s="139" t="s">
        <v>229</v>
      </c>
      <c r="B106" s="140" t="s">
        <v>242</v>
      </c>
      <c r="C106" s="140">
        <v>-3.17559153175592</v>
      </c>
      <c r="D106" s="140">
        <v>30.482315112540199</v>
      </c>
      <c r="E106" s="140">
        <v>15.574174470182401</v>
      </c>
      <c r="F106" s="140">
        <v>5.7995735607675902</v>
      </c>
    </row>
    <row r="107" spans="1:6" x14ac:dyDescent="0.25">
      <c r="A107" s="137" t="s">
        <v>281</v>
      </c>
      <c r="B107" s="138">
        <v>492</v>
      </c>
      <c r="C107" s="138">
        <v>409</v>
      </c>
      <c r="D107" s="138">
        <v>411</v>
      </c>
      <c r="E107" s="138">
        <v>386</v>
      </c>
      <c r="F107" s="138">
        <v>401</v>
      </c>
    </row>
    <row r="108" spans="1:6" x14ac:dyDescent="0.25">
      <c r="A108" s="139" t="s">
        <v>229</v>
      </c>
      <c r="B108" s="140">
        <v>52.321981424148603</v>
      </c>
      <c r="C108" s="140">
        <v>-16.869918699187</v>
      </c>
      <c r="D108" s="140">
        <v>0.48899755501222503</v>
      </c>
      <c r="E108" s="140">
        <v>-6.0827250608272498</v>
      </c>
      <c r="F108" s="140">
        <v>3.8860103626943001</v>
      </c>
    </row>
    <row r="109" spans="1:6" x14ac:dyDescent="0.25">
      <c r="A109" s="137" t="s">
        <v>271</v>
      </c>
      <c r="B109" s="138">
        <v>0</v>
      </c>
      <c r="C109" s="138">
        <v>0</v>
      </c>
      <c r="D109" s="138">
        <v>0</v>
      </c>
      <c r="E109" s="138">
        <v>0</v>
      </c>
      <c r="F109" s="138">
        <v>0</v>
      </c>
    </row>
    <row r="110" spans="1:6" x14ac:dyDescent="0.25">
      <c r="A110" s="137" t="s">
        <v>273</v>
      </c>
      <c r="B110" s="138">
        <v>656</v>
      </c>
      <c r="C110" s="138">
        <v>538</v>
      </c>
      <c r="D110" s="138">
        <v>592</v>
      </c>
      <c r="E110" s="138">
        <v>595</v>
      </c>
      <c r="F110" s="138">
        <v>612</v>
      </c>
    </row>
    <row r="111" spans="1:6" x14ac:dyDescent="0.25">
      <c r="A111" s="139" t="s">
        <v>229</v>
      </c>
      <c r="B111" s="140">
        <v>3.30708661417323</v>
      </c>
      <c r="C111" s="140">
        <v>-17.987804878048799</v>
      </c>
      <c r="D111" s="140">
        <v>10.037174721189601</v>
      </c>
      <c r="E111" s="140">
        <v>0.50675675675675702</v>
      </c>
      <c r="F111" s="140">
        <v>2.8571428571428599</v>
      </c>
    </row>
    <row r="112" spans="1:6" x14ac:dyDescent="0.25">
      <c r="A112" s="137" t="s">
        <v>272</v>
      </c>
      <c r="B112" s="138">
        <v>53</v>
      </c>
      <c r="C112" s="138">
        <v>29</v>
      </c>
      <c r="D112" s="138">
        <v>1</v>
      </c>
      <c r="E112" s="138">
        <v>0</v>
      </c>
      <c r="F112" s="138">
        <v>0</v>
      </c>
    </row>
    <row r="113" spans="1:6" x14ac:dyDescent="0.25">
      <c r="A113" s="139" t="s">
        <v>229</v>
      </c>
      <c r="B113" s="140">
        <v>-11.6666666666667</v>
      </c>
      <c r="C113" s="140">
        <v>-45.283018867924497</v>
      </c>
      <c r="D113" s="140">
        <v>-96.551724137931004</v>
      </c>
      <c r="E113" s="140" t="s">
        <v>242</v>
      </c>
      <c r="F113" s="140" t="s">
        <v>242</v>
      </c>
    </row>
    <row r="114" spans="1:6" x14ac:dyDescent="0.25">
      <c r="A114" s="137" t="s">
        <v>282</v>
      </c>
      <c r="B114" s="138">
        <v>342</v>
      </c>
      <c r="C114" s="138">
        <v>1037</v>
      </c>
      <c r="D114" s="138">
        <v>325</v>
      </c>
      <c r="E114" s="138">
        <v>363</v>
      </c>
      <c r="F114" s="138">
        <v>504</v>
      </c>
    </row>
    <row r="115" spans="1:6" x14ac:dyDescent="0.25">
      <c r="A115" s="139" t="s">
        <v>229</v>
      </c>
      <c r="B115" s="140">
        <v>-80.947075208913603</v>
      </c>
      <c r="C115" s="140">
        <v>203.216374269006</v>
      </c>
      <c r="D115" s="140">
        <v>-68.659594985535193</v>
      </c>
      <c r="E115" s="140">
        <v>11.692307692307701</v>
      </c>
      <c r="F115" s="140">
        <v>38.842975206611598</v>
      </c>
    </row>
    <row r="116" spans="1:6" x14ac:dyDescent="0.25">
      <c r="A116" s="135" t="s">
        <v>283</v>
      </c>
      <c r="B116" s="141">
        <v>9629</v>
      </c>
      <c r="C116" s="141">
        <v>9422</v>
      </c>
      <c r="D116" s="141">
        <v>7407</v>
      </c>
      <c r="E116" s="141">
        <v>7729</v>
      </c>
      <c r="F116" s="141">
        <v>7416</v>
      </c>
    </row>
    <row r="117" spans="1:6" x14ac:dyDescent="0.25">
      <c r="A117" s="139" t="s">
        <v>229</v>
      </c>
      <c r="B117" s="140">
        <v>7.4905112748381297</v>
      </c>
      <c r="C117" s="140">
        <v>-2.14975594558106</v>
      </c>
      <c r="D117" s="140">
        <v>-21.386117597113099</v>
      </c>
      <c r="E117" s="140">
        <v>4.3472390981503999</v>
      </c>
      <c r="F117" s="140">
        <v>-4.0496830120325997</v>
      </c>
    </row>
    <row r="118" spans="1:6" x14ac:dyDescent="0.25">
      <c r="A118" s="135" t="s">
        <v>284</v>
      </c>
      <c r="B118" s="141">
        <v>11827</v>
      </c>
      <c r="C118" s="141">
        <v>10838</v>
      </c>
      <c r="D118" s="141">
        <v>9157</v>
      </c>
      <c r="E118" s="141">
        <v>9127</v>
      </c>
      <c r="F118" s="141">
        <v>9203</v>
      </c>
    </row>
    <row r="119" spans="1:6" x14ac:dyDescent="0.25">
      <c r="A119" s="139" t="s">
        <v>229</v>
      </c>
      <c r="B119" s="140">
        <v>1.1027526072833</v>
      </c>
      <c r="C119" s="140">
        <v>-8.3622220343282301</v>
      </c>
      <c r="D119" s="140">
        <v>-15.510241742018801</v>
      </c>
      <c r="E119" s="140">
        <v>-0.32761821557278598</v>
      </c>
      <c r="F119" s="140">
        <v>0.83269420401007999</v>
      </c>
    </row>
    <row r="120" spans="1:6" x14ac:dyDescent="0.25">
      <c r="A120" s="137" t="s">
        <v>285</v>
      </c>
      <c r="B120" s="138">
        <v>0</v>
      </c>
      <c r="C120" s="138">
        <v>0</v>
      </c>
      <c r="D120" s="138">
        <v>0</v>
      </c>
      <c r="E120" s="138">
        <v>0</v>
      </c>
      <c r="F120" s="138">
        <v>0</v>
      </c>
    </row>
    <row r="121" spans="1:6" x14ac:dyDescent="0.25">
      <c r="A121" s="137" t="s">
        <v>286</v>
      </c>
      <c r="B121" s="138">
        <v>9510</v>
      </c>
      <c r="C121" s="138">
        <v>10274</v>
      </c>
      <c r="D121" s="138">
        <v>10339</v>
      </c>
      <c r="E121" s="138">
        <v>10447</v>
      </c>
      <c r="F121" s="138">
        <v>10473</v>
      </c>
    </row>
    <row r="122" spans="1:6" x14ac:dyDescent="0.25">
      <c r="A122" s="139" t="s">
        <v>229</v>
      </c>
      <c r="B122" s="140">
        <v>1.96204567385011</v>
      </c>
      <c r="C122" s="140">
        <v>8.0336487907465806</v>
      </c>
      <c r="D122" s="140">
        <v>0.63266497956005496</v>
      </c>
      <c r="E122" s="140">
        <v>1.04458845149434</v>
      </c>
      <c r="F122" s="140">
        <v>0.24887527519862199</v>
      </c>
    </row>
    <row r="123" spans="1:6" x14ac:dyDescent="0.25">
      <c r="A123" s="137" t="s">
        <v>287</v>
      </c>
      <c r="B123" s="138">
        <v>798</v>
      </c>
      <c r="C123" s="138">
        <v>847</v>
      </c>
      <c r="D123" s="138">
        <v>849</v>
      </c>
      <c r="E123" s="138">
        <v>855</v>
      </c>
      <c r="F123" s="138">
        <v>855</v>
      </c>
    </row>
    <row r="124" spans="1:6" x14ac:dyDescent="0.25">
      <c r="A124" s="139" t="s">
        <v>229</v>
      </c>
      <c r="B124" s="140">
        <v>1.14068441064639</v>
      </c>
      <c r="C124" s="140">
        <v>6.1403508771929802</v>
      </c>
      <c r="D124" s="140">
        <v>0.23612750885478201</v>
      </c>
      <c r="E124" s="140">
        <v>0.70671378091872805</v>
      </c>
      <c r="F124" s="140">
        <v>0</v>
      </c>
    </row>
    <row r="125" spans="1:6" x14ac:dyDescent="0.25">
      <c r="A125" s="137" t="s">
        <v>288</v>
      </c>
      <c r="B125" s="138">
        <v>8712</v>
      </c>
      <c r="C125" s="138">
        <v>9427</v>
      </c>
      <c r="D125" s="138">
        <v>9490</v>
      </c>
      <c r="E125" s="138">
        <v>9592</v>
      </c>
      <c r="F125" s="138">
        <v>9618</v>
      </c>
    </row>
    <row r="126" spans="1:6" x14ac:dyDescent="0.25">
      <c r="A126" s="139" t="s">
        <v>229</v>
      </c>
      <c r="B126" s="140">
        <v>2.0379479971890402</v>
      </c>
      <c r="C126" s="140">
        <v>8.2070707070707094</v>
      </c>
      <c r="D126" s="140">
        <v>0.668293200381882</v>
      </c>
      <c r="E126" s="140">
        <v>1.0748155953635401</v>
      </c>
      <c r="F126" s="140">
        <v>0.27105921601334398</v>
      </c>
    </row>
    <row r="127" spans="1:6" x14ac:dyDescent="0.25">
      <c r="A127" s="137" t="s">
        <v>289</v>
      </c>
      <c r="B127" s="138" t="s">
        <v>242</v>
      </c>
      <c r="C127" s="138" t="s">
        <v>242</v>
      </c>
      <c r="D127" s="138" t="s">
        <v>242</v>
      </c>
      <c r="E127" s="138">
        <v>30</v>
      </c>
      <c r="F127" s="138">
        <v>70</v>
      </c>
    </row>
    <row r="128" spans="1:6" x14ac:dyDescent="0.25">
      <c r="A128" s="139" t="s">
        <v>229</v>
      </c>
      <c r="B128" s="140" t="s">
        <v>242</v>
      </c>
      <c r="C128" s="140" t="s">
        <v>242</v>
      </c>
      <c r="D128" s="140" t="s">
        <v>242</v>
      </c>
      <c r="E128" s="140" t="s">
        <v>242</v>
      </c>
      <c r="F128" s="140">
        <v>133.333333333333</v>
      </c>
    </row>
    <row r="129" spans="1:6" x14ac:dyDescent="0.25">
      <c r="A129" s="137" t="s">
        <v>290</v>
      </c>
      <c r="B129" s="138">
        <v>1242</v>
      </c>
      <c r="C129" s="138">
        <v>1410</v>
      </c>
      <c r="D129" s="138">
        <v>716</v>
      </c>
      <c r="E129" s="138">
        <v>410</v>
      </c>
      <c r="F129" s="138">
        <v>383</v>
      </c>
    </row>
    <row r="130" spans="1:6" x14ac:dyDescent="0.25">
      <c r="A130" s="139" t="s">
        <v>229</v>
      </c>
      <c r="B130" s="140">
        <v>46.462264150943398</v>
      </c>
      <c r="C130" s="140">
        <v>13.5265700483092</v>
      </c>
      <c r="D130" s="140">
        <v>-49.219858156028401</v>
      </c>
      <c r="E130" s="140">
        <v>-42.7374301675978</v>
      </c>
      <c r="F130" s="140">
        <v>-6.5853658536585398</v>
      </c>
    </row>
    <row r="131" spans="1:6" x14ac:dyDescent="0.25">
      <c r="A131" s="137" t="s">
        <v>291</v>
      </c>
      <c r="B131" s="142">
        <v>-478</v>
      </c>
      <c r="C131" s="142">
        <v>-334</v>
      </c>
      <c r="D131" s="142">
        <v>-334</v>
      </c>
      <c r="E131" s="142">
        <v>-292</v>
      </c>
      <c r="F131" s="142">
        <v>-284</v>
      </c>
    </row>
    <row r="132" spans="1:6" x14ac:dyDescent="0.25">
      <c r="A132" s="139" t="s">
        <v>229</v>
      </c>
      <c r="B132" s="140">
        <v>-162.637362637363</v>
      </c>
      <c r="C132" s="140">
        <v>30.1255230125523</v>
      </c>
      <c r="D132" s="140">
        <v>0</v>
      </c>
      <c r="E132" s="140">
        <v>12.5748502994012</v>
      </c>
      <c r="F132" s="140">
        <v>2.7397260273972601</v>
      </c>
    </row>
    <row r="133" spans="1:6" x14ac:dyDescent="0.25">
      <c r="A133" s="135" t="s">
        <v>292</v>
      </c>
      <c r="B133" s="141">
        <v>10274</v>
      </c>
      <c r="C133" s="141">
        <v>11350</v>
      </c>
      <c r="D133" s="141">
        <v>10721</v>
      </c>
      <c r="E133" s="141">
        <v>10535</v>
      </c>
      <c r="F133" s="141">
        <v>10502</v>
      </c>
    </row>
    <row r="134" spans="1:6" x14ac:dyDescent="0.25">
      <c r="A134" s="139" t="s">
        <v>229</v>
      </c>
      <c r="B134" s="140">
        <v>2.8119683778645101</v>
      </c>
      <c r="C134" s="140">
        <v>10.4730387385634</v>
      </c>
      <c r="D134" s="140">
        <v>-5.5418502202643198</v>
      </c>
      <c r="E134" s="140">
        <v>-1.7349127879862001</v>
      </c>
      <c r="F134" s="140">
        <v>-0.31324157570004701</v>
      </c>
    </row>
    <row r="135" spans="1:6" x14ac:dyDescent="0.25">
      <c r="A135" s="137" t="s">
        <v>293</v>
      </c>
      <c r="B135" s="138">
        <v>2815</v>
      </c>
      <c r="C135" s="138">
        <v>2942</v>
      </c>
      <c r="D135" s="138">
        <v>1153</v>
      </c>
      <c r="E135" s="138">
        <v>984</v>
      </c>
      <c r="F135" s="138">
        <v>1010</v>
      </c>
    </row>
    <row r="136" spans="1:6" x14ac:dyDescent="0.25">
      <c r="A136" s="139" t="s">
        <v>229</v>
      </c>
      <c r="B136" s="140">
        <v>-3.4636488340192</v>
      </c>
      <c r="C136" s="140">
        <v>4.5115452930728202</v>
      </c>
      <c r="D136" s="140">
        <v>-60.808973487423501</v>
      </c>
      <c r="E136" s="140">
        <v>-14.6574154379879</v>
      </c>
      <c r="F136" s="140">
        <v>2.6422764227642301</v>
      </c>
    </row>
    <row r="137" spans="1:6" x14ac:dyDescent="0.25">
      <c r="A137" s="135" t="s">
        <v>294</v>
      </c>
      <c r="B137" s="141">
        <v>13089</v>
      </c>
      <c r="C137" s="141">
        <v>14292</v>
      </c>
      <c r="D137" s="141">
        <v>11874</v>
      </c>
      <c r="E137" s="141">
        <v>11519</v>
      </c>
      <c r="F137" s="141">
        <v>11512</v>
      </c>
    </row>
    <row r="138" spans="1:6" x14ac:dyDescent="0.25">
      <c r="A138" s="139" t="s">
        <v>229</v>
      </c>
      <c r="B138" s="140">
        <v>1.3943760167325101</v>
      </c>
      <c r="C138" s="140">
        <v>9.1909236763694704</v>
      </c>
      <c r="D138" s="140">
        <v>-16.9185558354324</v>
      </c>
      <c r="E138" s="140">
        <v>-2.9897254505642601</v>
      </c>
      <c r="F138" s="140">
        <v>-6.0769163989929702E-2</v>
      </c>
    </row>
    <row r="139" spans="1:6" x14ac:dyDescent="0.25">
      <c r="A139" s="135" t="s">
        <v>295</v>
      </c>
      <c r="B139" s="141">
        <v>24916</v>
      </c>
      <c r="C139" s="141">
        <v>25130</v>
      </c>
      <c r="D139" s="141">
        <v>21031</v>
      </c>
      <c r="E139" s="141">
        <v>20646</v>
      </c>
      <c r="F139" s="141">
        <v>20715</v>
      </c>
    </row>
    <row r="140" spans="1:6" x14ac:dyDescent="0.25">
      <c r="A140" s="139" t="s">
        <v>229</v>
      </c>
      <c r="B140" s="140">
        <v>1.2557402365180601</v>
      </c>
      <c r="C140" s="140">
        <v>0.85888585647776505</v>
      </c>
      <c r="D140" s="140">
        <v>-16.311181854357301</v>
      </c>
      <c r="E140" s="140">
        <v>-1.8306309733250901</v>
      </c>
      <c r="F140" s="140">
        <v>0.33420517291485002</v>
      </c>
    </row>
    <row r="141" spans="1:6" x14ac:dyDescent="0.25">
      <c r="A141" s="135"/>
      <c r="B141" s="136"/>
      <c r="C141" s="136"/>
      <c r="D141" s="136"/>
      <c r="E141" s="136"/>
      <c r="F141" s="136"/>
    </row>
    <row r="142" spans="1:6" x14ac:dyDescent="0.25">
      <c r="A142" s="135" t="s">
        <v>296</v>
      </c>
      <c r="B142" s="136"/>
      <c r="C142" s="136"/>
      <c r="D142" s="136"/>
      <c r="E142" s="136"/>
      <c r="F142" s="136"/>
    </row>
    <row r="143" spans="1:6" x14ac:dyDescent="0.25">
      <c r="A143" s="137" t="s">
        <v>297</v>
      </c>
      <c r="B143" s="143" t="s">
        <v>298</v>
      </c>
      <c r="C143" s="143" t="s">
        <v>298</v>
      </c>
      <c r="D143" s="143" t="s">
        <v>298</v>
      </c>
      <c r="E143" s="143" t="s">
        <v>298</v>
      </c>
      <c r="F143" s="143" t="s">
        <v>298</v>
      </c>
    </row>
    <row r="144" spans="1:6" x14ac:dyDescent="0.25">
      <c r="A144" s="137" t="s">
        <v>299</v>
      </c>
      <c r="B144" s="138">
        <v>498.67</v>
      </c>
      <c r="C144" s="138">
        <v>529.65</v>
      </c>
      <c r="D144" s="138">
        <v>530.46500000000003</v>
      </c>
      <c r="E144" s="138">
        <v>532</v>
      </c>
      <c r="F144" s="138">
        <v>531</v>
      </c>
    </row>
    <row r="145" spans="1:6" x14ac:dyDescent="0.25">
      <c r="A145" s="139" t="s">
        <v>229</v>
      </c>
      <c r="B145" s="140">
        <v>-1.6042416148258701E-3</v>
      </c>
      <c r="C145" s="140">
        <v>6.2125253173441299</v>
      </c>
      <c r="D145" s="140">
        <v>0.153875200604183</v>
      </c>
      <c r="E145" s="140">
        <v>0.28936876136973599</v>
      </c>
      <c r="F145" s="140">
        <v>-0.18796992481203001</v>
      </c>
    </row>
    <row r="146" spans="1:6" x14ac:dyDescent="0.25">
      <c r="A146" s="137" t="s">
        <v>300</v>
      </c>
      <c r="B146" s="138">
        <v>0.33</v>
      </c>
      <c r="C146" s="138">
        <v>0.35</v>
      </c>
      <c r="D146" s="138">
        <v>0.53500000000000003</v>
      </c>
      <c r="E146" s="138">
        <v>1</v>
      </c>
      <c r="F146" s="138">
        <v>2</v>
      </c>
    </row>
    <row r="147" spans="1:6" x14ac:dyDescent="0.25">
      <c r="A147" s="139" t="s">
        <v>229</v>
      </c>
      <c r="B147" s="140">
        <v>2.4844720496894399</v>
      </c>
      <c r="C147" s="140">
        <v>6.0606060606060499</v>
      </c>
      <c r="D147" s="140">
        <v>52.857142857142897</v>
      </c>
      <c r="E147" s="140">
        <v>86.9158878504673</v>
      </c>
      <c r="F147" s="140">
        <v>100</v>
      </c>
    </row>
    <row r="148" spans="1:6" x14ac:dyDescent="0.25">
      <c r="A148" s="137" t="s">
        <v>301</v>
      </c>
      <c r="B148" s="138">
        <v>492</v>
      </c>
      <c r="C148" s="138">
        <v>409</v>
      </c>
      <c r="D148" s="138">
        <v>411</v>
      </c>
      <c r="E148" s="138">
        <v>386</v>
      </c>
      <c r="F148" s="138">
        <v>401</v>
      </c>
    </row>
    <row r="149" spans="1:6" x14ac:dyDescent="0.25">
      <c r="A149" s="139" t="s">
        <v>229</v>
      </c>
      <c r="B149" s="140">
        <v>52.321981424148603</v>
      </c>
      <c r="C149" s="140">
        <v>-16.869918699187</v>
      </c>
      <c r="D149" s="140">
        <v>0.48899755501222503</v>
      </c>
      <c r="E149" s="140">
        <v>-6.0827250608272498</v>
      </c>
      <c r="F149" s="140">
        <v>3.8860103626943001</v>
      </c>
    </row>
    <row r="150" spans="1:6" x14ac:dyDescent="0.25">
      <c r="A150" s="137" t="s">
        <v>302</v>
      </c>
      <c r="B150" s="138">
        <v>48</v>
      </c>
      <c r="C150" s="138">
        <v>45</v>
      </c>
      <c r="D150" s="138">
        <v>39</v>
      </c>
      <c r="E150" s="138">
        <v>26</v>
      </c>
      <c r="F150" s="138">
        <v>110</v>
      </c>
    </row>
    <row r="151" spans="1:6" x14ac:dyDescent="0.25">
      <c r="A151" s="139" t="s">
        <v>229</v>
      </c>
      <c r="B151" s="140">
        <v>-21.311475409836099</v>
      </c>
      <c r="C151" s="140">
        <v>-6.25</v>
      </c>
      <c r="D151" s="140">
        <v>-13.3333333333333</v>
      </c>
      <c r="E151" s="140">
        <v>-33.3333333333333</v>
      </c>
      <c r="F151" s="140">
        <v>323.07692307692298</v>
      </c>
    </row>
    <row r="152" spans="1:6" x14ac:dyDescent="0.25">
      <c r="A152" s="137" t="s">
        <v>303</v>
      </c>
      <c r="B152" s="138">
        <v>9</v>
      </c>
      <c r="C152" s="138">
        <v>23</v>
      </c>
      <c r="D152" s="138">
        <v>16</v>
      </c>
      <c r="E152" s="138">
        <v>11</v>
      </c>
      <c r="F152" s="138">
        <v>265</v>
      </c>
    </row>
    <row r="153" spans="1:6" x14ac:dyDescent="0.25">
      <c r="A153" s="139" t="s">
        <v>229</v>
      </c>
      <c r="B153" s="140">
        <v>-10</v>
      </c>
      <c r="C153" s="140">
        <v>155.555555555556</v>
      </c>
      <c r="D153" s="140">
        <v>-30.434782608695699</v>
      </c>
      <c r="E153" s="140">
        <v>-31.25</v>
      </c>
      <c r="F153" s="140">
        <v>2309.0909090909099</v>
      </c>
    </row>
    <row r="154" spans="1:6" x14ac:dyDescent="0.25">
      <c r="A154" s="137" t="s">
        <v>304</v>
      </c>
      <c r="B154" s="138">
        <v>0</v>
      </c>
      <c r="C154" s="138">
        <v>0</v>
      </c>
      <c r="D154" s="138">
        <v>0</v>
      </c>
      <c r="E154" s="138">
        <v>0</v>
      </c>
      <c r="F154" s="138" t="s">
        <v>242</v>
      </c>
    </row>
    <row r="155" spans="1:6" x14ac:dyDescent="0.25">
      <c r="A155" s="137" t="s">
        <v>305</v>
      </c>
      <c r="B155" s="138">
        <v>2.5871</v>
      </c>
      <c r="C155" s="138">
        <v>2.0697000000000001</v>
      </c>
      <c r="D155" s="138">
        <v>1.3551</v>
      </c>
      <c r="E155" s="138">
        <v>1.1089</v>
      </c>
      <c r="F155" s="138">
        <v>0.80030000000000001</v>
      </c>
    </row>
    <row r="156" spans="1:6" x14ac:dyDescent="0.25">
      <c r="A156" s="139" t="s">
        <v>229</v>
      </c>
      <c r="B156" s="140">
        <v>-18.843715796939701</v>
      </c>
      <c r="C156" s="140">
        <v>-19.997448851403298</v>
      </c>
      <c r="D156" s="140">
        <v>-34.528743473761203</v>
      </c>
      <c r="E156" s="140">
        <v>-18.1668441478799</v>
      </c>
      <c r="F156" s="140">
        <v>-27.8327422064588</v>
      </c>
    </row>
    <row r="157" spans="1:6" x14ac:dyDescent="0.25">
      <c r="A157" s="137" t="s">
        <v>306</v>
      </c>
      <c r="B157" s="138">
        <v>4170</v>
      </c>
      <c r="C157" s="138">
        <v>3481</v>
      </c>
      <c r="D157" s="138">
        <v>1803</v>
      </c>
      <c r="E157" s="138">
        <v>723</v>
      </c>
      <c r="F157" s="138">
        <v>599</v>
      </c>
    </row>
    <row r="158" spans="1:6" x14ac:dyDescent="0.25">
      <c r="A158" s="139" t="s">
        <v>229</v>
      </c>
      <c r="B158" s="140">
        <v>-18.347366359898199</v>
      </c>
      <c r="C158" s="140">
        <v>-16.522781774580299</v>
      </c>
      <c r="D158" s="140">
        <v>-48.204538925596097</v>
      </c>
      <c r="E158" s="140">
        <v>-59.900166389351099</v>
      </c>
      <c r="F158" s="140">
        <v>-17.150760719225399</v>
      </c>
    </row>
    <row r="159" spans="1:6" x14ac:dyDescent="0.25">
      <c r="A159" s="137" t="s">
        <v>307</v>
      </c>
      <c r="B159" s="142">
        <v>31.858799999999999</v>
      </c>
      <c r="C159" s="142">
        <v>24.356300000000001</v>
      </c>
      <c r="D159" s="142">
        <v>15.1844</v>
      </c>
      <c r="E159" s="142">
        <v>6.2766000000000002</v>
      </c>
      <c r="F159" s="142">
        <v>5.2032999999999996</v>
      </c>
    </row>
    <row r="160" spans="1:6" x14ac:dyDescent="0.25">
      <c r="A160" s="139" t="s">
        <v>229</v>
      </c>
      <c r="B160" s="140">
        <v>-19.470252755036402</v>
      </c>
      <c r="C160" s="140">
        <v>-23.549308004664201</v>
      </c>
      <c r="D160" s="140">
        <v>-37.657002096748499</v>
      </c>
      <c r="E160" s="140">
        <v>-58.664341654550597</v>
      </c>
      <c r="F160" s="140">
        <v>-17.100392299190599</v>
      </c>
    </row>
    <row r="161" spans="1:6" x14ac:dyDescent="0.25">
      <c r="A161" s="137" t="s">
        <v>308</v>
      </c>
      <c r="B161" s="142">
        <v>40.7254</v>
      </c>
      <c r="C161" s="142">
        <v>45.165100000000002</v>
      </c>
      <c r="D161" s="142">
        <v>50.9771</v>
      </c>
      <c r="E161" s="142">
        <v>51.026800000000001</v>
      </c>
      <c r="F161" s="142">
        <v>50.697600000000001</v>
      </c>
    </row>
    <row r="162" spans="1:6" x14ac:dyDescent="0.25">
      <c r="A162" s="139" t="s">
        <v>229</v>
      </c>
      <c r="B162" s="140">
        <v>1.68639003095303</v>
      </c>
      <c r="C162" s="140">
        <v>10.9015230698389</v>
      </c>
      <c r="D162" s="140">
        <v>12.868304783992601</v>
      </c>
      <c r="E162" s="140">
        <v>9.7502548642952297E-2</v>
      </c>
      <c r="F162" s="140">
        <v>-0.64528990070774295</v>
      </c>
    </row>
    <row r="163" spans="1:6" x14ac:dyDescent="0.25">
      <c r="A163" s="137" t="s">
        <v>309</v>
      </c>
      <c r="B163" s="142">
        <v>2.4744999999999999</v>
      </c>
      <c r="C163" s="142">
        <v>3.5190999999999999</v>
      </c>
      <c r="D163" s="142">
        <v>2.6726000000000001</v>
      </c>
      <c r="E163" s="142">
        <v>3.6236999999999999</v>
      </c>
      <c r="F163" s="142">
        <v>2.9529999999999998</v>
      </c>
    </row>
    <row r="164" spans="1:6" x14ac:dyDescent="0.25">
      <c r="A164" s="139" t="s">
        <v>229</v>
      </c>
      <c r="B164" s="140">
        <v>38.682524924242301</v>
      </c>
      <c r="C164" s="140">
        <v>42.212031252904602</v>
      </c>
      <c r="D164" s="140">
        <v>-24.0545792238172</v>
      </c>
      <c r="E164" s="140">
        <v>35.5903360471995</v>
      </c>
      <c r="F164" s="140">
        <v>-18.5099515749991</v>
      </c>
    </row>
    <row r="165" spans="1:6" x14ac:dyDescent="0.25">
      <c r="A165" s="137" t="s">
        <v>310</v>
      </c>
      <c r="B165" s="142">
        <v>109.4937</v>
      </c>
      <c r="C165" s="142">
        <v>109.17010000000001</v>
      </c>
      <c r="D165" s="142">
        <v>107.27119999999999</v>
      </c>
      <c r="E165" s="142">
        <v>97.668800000000005</v>
      </c>
      <c r="F165" s="142">
        <v>98.658000000000001</v>
      </c>
    </row>
    <row r="166" spans="1:6" x14ac:dyDescent="0.25">
      <c r="A166" s="139" t="s">
        <v>229</v>
      </c>
      <c r="B166" s="140">
        <v>13.495967980718801</v>
      </c>
      <c r="C166" s="140">
        <v>-0.29551388678449803</v>
      </c>
      <c r="D166" s="140">
        <v>-1.73935535701301</v>
      </c>
      <c r="E166" s="140">
        <v>-8.9515489449199492</v>
      </c>
      <c r="F166" s="140">
        <v>1.0128044258797999</v>
      </c>
    </row>
    <row r="167" spans="1:6" x14ac:dyDescent="0.25">
      <c r="A167" s="137" t="s">
        <v>311</v>
      </c>
      <c r="B167" s="138">
        <v>1293</v>
      </c>
      <c r="C167" s="138">
        <v>1578</v>
      </c>
      <c r="D167" s="138">
        <v>1044</v>
      </c>
      <c r="E167" s="138">
        <v>783</v>
      </c>
      <c r="F167" s="138">
        <v>850</v>
      </c>
    </row>
    <row r="168" spans="1:6" x14ac:dyDescent="0.25">
      <c r="A168" s="139" t="s">
        <v>229</v>
      </c>
      <c r="B168" s="140" t="s">
        <v>242</v>
      </c>
      <c r="C168" s="140">
        <v>22.041763341067298</v>
      </c>
      <c r="D168" s="140">
        <v>-33.840304182509499</v>
      </c>
      <c r="E168" s="140">
        <v>-25</v>
      </c>
      <c r="F168" s="140">
        <v>8.5568326947637292</v>
      </c>
    </row>
    <row r="169" spans="1:6" x14ac:dyDescent="0.25">
      <c r="A169" s="137" t="s">
        <v>312</v>
      </c>
      <c r="B169" s="142">
        <v>13700</v>
      </c>
      <c r="C169" s="142">
        <v>15600</v>
      </c>
      <c r="D169" s="142">
        <v>12400</v>
      </c>
      <c r="E169" s="142">
        <v>12547</v>
      </c>
      <c r="F169" s="142">
        <v>12400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M52"/>
  <sheetViews>
    <sheetView topLeftCell="A37" workbookViewId="0">
      <selection activeCell="L7" sqref="L7"/>
    </sheetView>
  </sheetViews>
  <sheetFormatPr defaultRowHeight="15" x14ac:dyDescent="0.25"/>
  <cols>
    <col min="1" max="1" width="38.85546875" bestFit="1" customWidth="1"/>
    <col min="2" max="2" width="1.85546875" bestFit="1" customWidth="1"/>
    <col min="3" max="3" width="9.85546875" style="15" bestFit="1" customWidth="1"/>
    <col min="4" max="4" width="11.42578125" bestFit="1" customWidth="1"/>
    <col min="5" max="5" width="8.28515625" bestFit="1" customWidth="1"/>
    <col min="6" max="6" width="10.42578125" bestFit="1" customWidth="1"/>
    <col min="7" max="7" width="11.42578125" bestFit="1" customWidth="1"/>
    <col min="8" max="8" width="8.28515625" bestFit="1" customWidth="1"/>
    <col min="9" max="9" width="10.42578125" bestFit="1" customWidth="1"/>
    <col min="10" max="10" width="11.42578125" bestFit="1" customWidth="1"/>
    <col min="11" max="11" width="8.28515625" bestFit="1" customWidth="1"/>
    <col min="12" max="12" width="10.42578125" bestFit="1" customWidth="1"/>
    <col min="13" max="13" width="12.5703125" bestFit="1" customWidth="1"/>
  </cols>
  <sheetData>
    <row r="1" spans="1:13" x14ac:dyDescent="0.25">
      <c r="A1" s="286"/>
      <c r="B1" s="286"/>
    </row>
    <row r="2" spans="1:13" x14ac:dyDescent="0.25">
      <c r="A2" s="286" t="s">
        <v>23</v>
      </c>
      <c r="B2" s="286"/>
    </row>
    <row r="3" spans="1:13" x14ac:dyDescent="0.25">
      <c r="A3" s="286"/>
      <c r="B3" s="286"/>
      <c r="D3" s="288" t="s">
        <v>24</v>
      </c>
      <c r="E3" s="288"/>
      <c r="F3" s="288"/>
      <c r="G3" s="288" t="s">
        <v>25</v>
      </c>
      <c r="H3" s="288"/>
      <c r="I3" s="288"/>
      <c r="J3" s="288" t="s">
        <v>26</v>
      </c>
      <c r="K3" s="288"/>
      <c r="L3" s="288"/>
      <c r="M3" s="288"/>
    </row>
    <row r="4" spans="1:13" x14ac:dyDescent="0.25">
      <c r="A4" s="286"/>
      <c r="B4" s="286"/>
      <c r="C4" s="15" t="s">
        <v>27</v>
      </c>
      <c r="D4" t="s">
        <v>77</v>
      </c>
      <c r="E4" t="s">
        <v>28</v>
      </c>
      <c r="F4" t="s">
        <v>78</v>
      </c>
      <c r="G4" t="s">
        <v>79</v>
      </c>
      <c r="H4" t="s">
        <v>28</v>
      </c>
      <c r="I4" t="s">
        <v>78</v>
      </c>
      <c r="J4" t="s">
        <v>77</v>
      </c>
      <c r="K4" t="s">
        <v>28</v>
      </c>
      <c r="L4" t="s">
        <v>78</v>
      </c>
      <c r="M4" t="s">
        <v>29</v>
      </c>
    </row>
    <row r="5" spans="1:13" x14ac:dyDescent="0.25">
      <c r="A5" s="286" t="s">
        <v>30</v>
      </c>
      <c r="B5" s="286"/>
      <c r="C5" s="15" t="s">
        <v>31</v>
      </c>
      <c r="D5" t="s">
        <v>80</v>
      </c>
      <c r="E5" t="s">
        <v>32</v>
      </c>
      <c r="F5" t="s">
        <v>80</v>
      </c>
      <c r="G5" t="s">
        <v>80</v>
      </c>
      <c r="H5" t="s">
        <v>32</v>
      </c>
      <c r="I5" t="s">
        <v>80</v>
      </c>
      <c r="J5" t="s">
        <v>80</v>
      </c>
      <c r="K5" t="s">
        <v>32</v>
      </c>
      <c r="L5" t="s">
        <v>80</v>
      </c>
      <c r="M5" t="s">
        <v>81</v>
      </c>
    </row>
    <row r="6" spans="1:13" x14ac:dyDescent="0.25">
      <c r="A6" s="287" t="s">
        <v>33</v>
      </c>
      <c r="B6" s="287"/>
    </row>
    <row r="7" spans="1:13" x14ac:dyDescent="0.25">
      <c r="A7" s="286" t="s">
        <v>34</v>
      </c>
      <c r="B7" s="286"/>
      <c r="C7" s="16">
        <v>1</v>
      </c>
      <c r="D7" s="13">
        <v>1700</v>
      </c>
      <c r="E7">
        <v>8.7999999999999995E-2</v>
      </c>
      <c r="F7">
        <v>140</v>
      </c>
      <c r="G7" s="13">
        <v>118200</v>
      </c>
      <c r="H7">
        <v>4.7E-2</v>
      </c>
      <c r="I7" s="13">
        <v>5550</v>
      </c>
      <c r="J7" s="13">
        <v>119900</v>
      </c>
      <c r="K7">
        <v>4.8000000000000001E-2</v>
      </c>
      <c r="L7" s="13">
        <v>5690</v>
      </c>
      <c r="M7" s="12">
        <v>0.73</v>
      </c>
    </row>
    <row r="8" spans="1:13" x14ac:dyDescent="0.25">
      <c r="A8" s="286" t="s">
        <v>35</v>
      </c>
      <c r="B8" s="286"/>
      <c r="C8" s="16">
        <v>1</v>
      </c>
      <c r="D8" t="s">
        <v>36</v>
      </c>
      <c r="F8" t="s">
        <v>36</v>
      </c>
      <c r="G8" s="13">
        <v>73500</v>
      </c>
      <c r="H8">
        <v>8.9999999999999993E-3</v>
      </c>
      <c r="I8">
        <v>650</v>
      </c>
      <c r="J8" s="13">
        <v>73500</v>
      </c>
      <c r="K8">
        <v>8.9999999999999993E-3</v>
      </c>
      <c r="L8">
        <v>650</v>
      </c>
      <c r="M8" s="12">
        <v>0.51</v>
      </c>
    </row>
    <row r="9" spans="1:13" x14ac:dyDescent="0.25">
      <c r="A9" s="286" t="s">
        <v>37</v>
      </c>
      <c r="B9" s="286"/>
      <c r="C9" s="16">
        <v>1</v>
      </c>
      <c r="D9" s="13">
        <v>18700</v>
      </c>
      <c r="E9">
        <v>6.7000000000000004E-2</v>
      </c>
      <c r="F9" s="13">
        <v>1250</v>
      </c>
      <c r="G9" t="s">
        <v>36</v>
      </c>
      <c r="I9" t="s">
        <v>36</v>
      </c>
      <c r="J9" s="13">
        <v>18700</v>
      </c>
      <c r="K9">
        <v>6.7000000000000004E-2</v>
      </c>
      <c r="L9" s="13">
        <v>1250</v>
      </c>
      <c r="M9" s="12">
        <v>0.84</v>
      </c>
    </row>
    <row r="10" spans="1:13" x14ac:dyDescent="0.25">
      <c r="A10" s="286" t="s">
        <v>38</v>
      </c>
      <c r="B10" s="286"/>
      <c r="C10" s="16">
        <v>1</v>
      </c>
      <c r="D10" s="13">
        <v>8400</v>
      </c>
      <c r="E10">
        <v>0.30499999999999999</v>
      </c>
      <c r="F10" s="13">
        <v>2580</v>
      </c>
      <c r="G10" s="13">
        <v>7900</v>
      </c>
      <c r="H10">
        <v>0.29299999999999998</v>
      </c>
      <c r="I10" s="13">
        <v>2290</v>
      </c>
      <c r="J10" s="13">
        <v>16300</v>
      </c>
      <c r="K10">
        <v>0.3</v>
      </c>
      <c r="L10" s="13">
        <v>4870</v>
      </c>
      <c r="M10" s="12">
        <v>0.83</v>
      </c>
    </row>
    <row r="11" spans="1:13" x14ac:dyDescent="0.25">
      <c r="A11" s="286" t="s">
        <v>39</v>
      </c>
      <c r="B11" s="286"/>
      <c r="D11" s="13">
        <v>28800</v>
      </c>
      <c r="E11">
        <v>0.13800000000000001</v>
      </c>
      <c r="F11" s="13">
        <v>3970</v>
      </c>
      <c r="G11" s="13">
        <v>199600</v>
      </c>
      <c r="H11">
        <v>4.2999999999999997E-2</v>
      </c>
      <c r="I11" s="13">
        <v>8490</v>
      </c>
      <c r="J11" s="13">
        <v>228400</v>
      </c>
      <c r="K11">
        <v>5.5E-2</v>
      </c>
      <c r="L11" s="13">
        <v>12460</v>
      </c>
      <c r="M11" s="12">
        <v>0.77</v>
      </c>
    </row>
    <row r="12" spans="1:13" x14ac:dyDescent="0.25">
      <c r="A12" s="286" t="s">
        <v>40</v>
      </c>
      <c r="B12" s="286"/>
      <c r="C12" s="16">
        <v>1</v>
      </c>
      <c r="D12" s="13">
        <v>13200</v>
      </c>
      <c r="E12">
        <v>2.1999999999999999E-2</v>
      </c>
      <c r="F12">
        <v>290</v>
      </c>
      <c r="G12" s="13">
        <v>133200</v>
      </c>
      <c r="H12">
        <v>1.9E-2</v>
      </c>
      <c r="I12" s="13">
        <v>2530</v>
      </c>
      <c r="J12" s="13">
        <v>146400</v>
      </c>
      <c r="K12">
        <v>1.9E-2</v>
      </c>
      <c r="L12" s="13">
        <v>2820</v>
      </c>
      <c r="M12" s="12">
        <v>0.7</v>
      </c>
    </row>
    <row r="13" spans="1:13" x14ac:dyDescent="0.25">
      <c r="A13" s="286" t="s">
        <v>41</v>
      </c>
      <c r="B13" s="286"/>
      <c r="C13" s="16">
        <v>1</v>
      </c>
      <c r="D13" s="13">
        <v>3900</v>
      </c>
      <c r="E13">
        <v>8.0000000000000002E-3</v>
      </c>
      <c r="F13">
        <v>30</v>
      </c>
      <c r="G13" t="s">
        <v>36</v>
      </c>
      <c r="I13" t="s">
        <v>36</v>
      </c>
      <c r="J13" s="13">
        <v>3900</v>
      </c>
      <c r="K13">
        <v>8.0000000000000002E-3</v>
      </c>
      <c r="L13">
        <v>30</v>
      </c>
      <c r="M13" s="12">
        <v>0.32</v>
      </c>
    </row>
    <row r="14" spans="1:13" x14ac:dyDescent="0.25">
      <c r="A14" s="286" t="s">
        <v>42</v>
      </c>
      <c r="B14" s="286"/>
      <c r="D14" s="13">
        <v>17100</v>
      </c>
      <c r="E14">
        <v>1.9E-2</v>
      </c>
      <c r="F14">
        <v>320</v>
      </c>
      <c r="G14" s="13">
        <v>133200</v>
      </c>
      <c r="H14">
        <v>1.9E-2</v>
      </c>
      <c r="I14" s="13">
        <v>2530</v>
      </c>
      <c r="J14" s="13">
        <v>150300</v>
      </c>
      <c r="K14">
        <v>1.9E-2</v>
      </c>
      <c r="L14" s="13">
        <v>2850</v>
      </c>
      <c r="M14" s="12">
        <v>0.7</v>
      </c>
    </row>
    <row r="15" spans="1:13" x14ac:dyDescent="0.25">
      <c r="A15" s="286" t="s">
        <v>43</v>
      </c>
      <c r="B15" s="286"/>
      <c r="C15" s="16">
        <v>0.25</v>
      </c>
      <c r="D15" s="13">
        <v>3300</v>
      </c>
      <c r="E15">
        <v>0.39700000000000002</v>
      </c>
      <c r="F15" s="13">
        <v>1310</v>
      </c>
      <c r="G15" s="13">
        <v>2700</v>
      </c>
      <c r="H15">
        <v>0.35499999999999998</v>
      </c>
      <c r="I15">
        <v>960</v>
      </c>
      <c r="J15" s="13">
        <v>6000</v>
      </c>
      <c r="K15">
        <v>0.378</v>
      </c>
      <c r="L15" s="13">
        <v>2270</v>
      </c>
      <c r="M15" s="12">
        <v>0.92</v>
      </c>
    </row>
    <row r="16" spans="1:13" x14ac:dyDescent="0.25">
      <c r="A16" s="286" t="s">
        <v>44</v>
      </c>
      <c r="B16" s="286"/>
      <c r="C16" s="16">
        <v>1</v>
      </c>
      <c r="D16" s="13">
        <v>1400</v>
      </c>
      <c r="E16">
        <v>8.5999999999999993E-2</v>
      </c>
      <c r="F16">
        <v>110</v>
      </c>
      <c r="G16" s="13">
        <v>26000</v>
      </c>
      <c r="H16">
        <v>4.7E-2</v>
      </c>
      <c r="I16" s="13">
        <v>1220</v>
      </c>
      <c r="J16" s="13">
        <v>27400</v>
      </c>
      <c r="K16">
        <v>4.9000000000000002E-2</v>
      </c>
      <c r="L16" s="13">
        <v>1330</v>
      </c>
      <c r="M16" s="12">
        <v>0.77</v>
      </c>
    </row>
    <row r="17" spans="1:13" x14ac:dyDescent="0.25">
      <c r="A17" s="286" t="s">
        <v>45</v>
      </c>
      <c r="B17" s="286"/>
      <c r="C17" s="16">
        <v>1</v>
      </c>
      <c r="D17" t="s">
        <v>36</v>
      </c>
      <c r="F17" t="s">
        <v>36</v>
      </c>
      <c r="G17" s="13">
        <v>31300</v>
      </c>
      <c r="H17">
        <v>6.0999999999999999E-2</v>
      </c>
      <c r="I17" s="13">
        <v>1910</v>
      </c>
      <c r="J17" s="13">
        <v>31300</v>
      </c>
      <c r="K17">
        <v>6.0999999999999999E-2</v>
      </c>
      <c r="L17" s="13">
        <v>1910</v>
      </c>
      <c r="M17" s="12">
        <v>0.71</v>
      </c>
    </row>
    <row r="18" spans="1:13" x14ac:dyDescent="0.25">
      <c r="A18" s="286" t="s">
        <v>46</v>
      </c>
      <c r="B18" s="286"/>
      <c r="D18" s="13">
        <v>4700</v>
      </c>
      <c r="E18">
        <v>0.30199999999999999</v>
      </c>
      <c r="F18" s="13">
        <v>1420</v>
      </c>
      <c r="G18" s="13">
        <v>60000</v>
      </c>
      <c r="H18">
        <v>6.8000000000000005E-2</v>
      </c>
      <c r="I18" s="13">
        <v>4090</v>
      </c>
      <c r="J18" s="13">
        <v>64700</v>
      </c>
      <c r="K18">
        <v>8.5000000000000006E-2</v>
      </c>
      <c r="L18" s="13">
        <v>5510</v>
      </c>
      <c r="M18" s="12">
        <v>0.81</v>
      </c>
    </row>
    <row r="19" spans="1:13" x14ac:dyDescent="0.25">
      <c r="A19" s="286" t="s">
        <v>47</v>
      </c>
      <c r="B19" s="286"/>
      <c r="C19" s="16">
        <v>1</v>
      </c>
      <c r="D19">
        <v>700</v>
      </c>
      <c r="E19">
        <v>6.4000000000000001E-2</v>
      </c>
      <c r="F19">
        <v>50</v>
      </c>
      <c r="G19" s="13">
        <v>23900</v>
      </c>
      <c r="H19">
        <v>3.7999999999999999E-2</v>
      </c>
      <c r="I19">
        <v>920</v>
      </c>
      <c r="J19" s="13">
        <v>24600</v>
      </c>
      <c r="K19">
        <v>3.9E-2</v>
      </c>
      <c r="L19">
        <v>970</v>
      </c>
      <c r="M19" s="12">
        <v>0.76</v>
      </c>
    </row>
    <row r="20" spans="1:13" x14ac:dyDescent="0.25">
      <c r="A20" s="286" t="s">
        <v>48</v>
      </c>
      <c r="B20" s="286"/>
      <c r="C20" s="16">
        <v>1</v>
      </c>
      <c r="D20" s="13">
        <v>123000</v>
      </c>
      <c r="E20">
        <v>1.6E-2</v>
      </c>
      <c r="F20" s="13">
        <v>1940</v>
      </c>
      <c r="G20" s="13">
        <v>30900</v>
      </c>
      <c r="H20">
        <v>1.2999999999999999E-2</v>
      </c>
      <c r="I20">
        <v>400</v>
      </c>
      <c r="J20" s="13">
        <v>153900</v>
      </c>
      <c r="K20">
        <v>1.4999999999999999E-2</v>
      </c>
      <c r="L20" s="13">
        <v>2340</v>
      </c>
      <c r="M20" s="12">
        <v>0.59</v>
      </c>
    </row>
    <row r="21" spans="1:13" x14ac:dyDescent="0.25">
      <c r="A21" s="286" t="s">
        <v>49</v>
      </c>
      <c r="B21" s="286"/>
      <c r="C21" s="16">
        <v>1</v>
      </c>
      <c r="D21" t="s">
        <v>36</v>
      </c>
      <c r="F21" t="s">
        <v>36</v>
      </c>
      <c r="G21" s="13">
        <v>41900</v>
      </c>
      <c r="H21">
        <v>2.5000000000000001E-2</v>
      </c>
      <c r="I21" s="13">
        <v>1050</v>
      </c>
      <c r="J21" s="13">
        <v>41900</v>
      </c>
      <c r="K21">
        <v>2.5000000000000001E-2</v>
      </c>
      <c r="L21" s="13">
        <v>1050</v>
      </c>
      <c r="M21" s="12">
        <v>0.56999999999999995</v>
      </c>
    </row>
    <row r="22" spans="1:13" x14ac:dyDescent="0.25">
      <c r="A22" s="286" t="s">
        <v>50</v>
      </c>
      <c r="B22" s="286"/>
      <c r="C22" s="16">
        <v>1</v>
      </c>
      <c r="D22">
        <v>900</v>
      </c>
      <c r="E22">
        <v>7.0000000000000007E-2</v>
      </c>
      <c r="F22">
        <v>60</v>
      </c>
      <c r="G22" t="s">
        <v>36</v>
      </c>
      <c r="I22" t="s">
        <v>36</v>
      </c>
      <c r="J22">
        <v>900</v>
      </c>
      <c r="K22">
        <v>7.0000000000000007E-2</v>
      </c>
      <c r="L22">
        <v>60</v>
      </c>
      <c r="M22" s="12">
        <v>0.82</v>
      </c>
    </row>
    <row r="23" spans="1:13" x14ac:dyDescent="0.25">
      <c r="A23" s="286" t="s">
        <v>51</v>
      </c>
      <c r="B23" s="286"/>
      <c r="D23" s="13">
        <v>123900</v>
      </c>
      <c r="E23">
        <v>1.6E-2</v>
      </c>
      <c r="F23" s="13">
        <v>2000</v>
      </c>
      <c r="G23" s="13">
        <v>72800</v>
      </c>
      <c r="H23">
        <v>0.02</v>
      </c>
      <c r="I23" s="13">
        <v>1450</v>
      </c>
      <c r="J23" s="13">
        <v>196700</v>
      </c>
      <c r="K23">
        <v>1.7999999999999999E-2</v>
      </c>
      <c r="L23" s="13">
        <v>3450</v>
      </c>
      <c r="M23" s="12">
        <v>0.59</v>
      </c>
    </row>
    <row r="24" spans="1:13" x14ac:dyDescent="0.25">
      <c r="A24" s="287"/>
      <c r="B24" s="287"/>
      <c r="C24" s="18"/>
      <c r="D24" s="19">
        <v>175200</v>
      </c>
      <c r="E24" s="20">
        <v>4.3999999999999997E-2</v>
      </c>
      <c r="F24" s="19">
        <v>7760</v>
      </c>
      <c r="G24" s="19">
        <v>489500</v>
      </c>
      <c r="H24" s="20">
        <v>3.5999999999999997E-2</v>
      </c>
      <c r="I24" s="19">
        <v>17480</v>
      </c>
      <c r="J24" s="19">
        <v>664700</v>
      </c>
      <c r="K24" s="20">
        <v>3.7999999999999999E-2</v>
      </c>
      <c r="L24" s="19">
        <v>25240</v>
      </c>
      <c r="M24" s="21">
        <v>0.78</v>
      </c>
    </row>
    <row r="25" spans="1:13" x14ac:dyDescent="0.25">
      <c r="A25" s="287" t="s">
        <v>52</v>
      </c>
      <c r="B25" s="287"/>
    </row>
    <row r="26" spans="1:13" x14ac:dyDescent="0.25">
      <c r="A26" s="286" t="s">
        <v>53</v>
      </c>
      <c r="B26" s="286"/>
      <c r="C26" s="17">
        <v>0.51349999999999996</v>
      </c>
      <c r="D26" s="13">
        <v>7500</v>
      </c>
      <c r="E26">
        <v>0.02</v>
      </c>
      <c r="F26">
        <v>150</v>
      </c>
      <c r="G26" s="13">
        <v>111500</v>
      </c>
      <c r="H26">
        <v>1.9E-2</v>
      </c>
      <c r="I26" s="13">
        <v>2060</v>
      </c>
      <c r="J26" s="13">
        <v>119000</v>
      </c>
      <c r="K26">
        <v>1.9E-2</v>
      </c>
      <c r="L26" s="13">
        <v>2210</v>
      </c>
      <c r="M26" s="12">
        <v>0.64</v>
      </c>
    </row>
    <row r="27" spans="1:13" x14ac:dyDescent="0.25">
      <c r="A27" s="286" t="s">
        <v>54</v>
      </c>
      <c r="B27" s="286"/>
      <c r="C27" s="17">
        <v>0.51349999999999996</v>
      </c>
      <c r="D27" s="13">
        <v>7200</v>
      </c>
      <c r="E27">
        <v>2.1999999999999999E-2</v>
      </c>
      <c r="F27">
        <v>160</v>
      </c>
      <c r="G27" t="s">
        <v>36</v>
      </c>
      <c r="I27" t="s">
        <v>36</v>
      </c>
      <c r="J27" s="13">
        <v>7200</v>
      </c>
      <c r="K27">
        <v>2.1999999999999999E-2</v>
      </c>
      <c r="L27">
        <v>160</v>
      </c>
      <c r="M27" s="12">
        <v>0.7</v>
      </c>
    </row>
    <row r="28" spans="1:13" x14ac:dyDescent="0.25">
      <c r="A28" s="286" t="s">
        <v>55</v>
      </c>
      <c r="B28" s="286"/>
      <c r="C28" s="17">
        <v>0.51349999999999996</v>
      </c>
      <c r="D28" s="13">
        <v>2300</v>
      </c>
      <c r="E28">
        <v>3.5000000000000003E-2</v>
      </c>
      <c r="F28">
        <v>80</v>
      </c>
      <c r="G28" s="13">
        <v>1600</v>
      </c>
      <c r="H28">
        <v>5.6000000000000001E-2</v>
      </c>
      <c r="I28">
        <v>90</v>
      </c>
      <c r="J28" s="13">
        <v>3900</v>
      </c>
      <c r="K28">
        <v>4.3999999999999997E-2</v>
      </c>
      <c r="L28">
        <v>170</v>
      </c>
      <c r="M28" s="12">
        <v>0.8</v>
      </c>
    </row>
    <row r="29" spans="1:13" x14ac:dyDescent="0.25">
      <c r="A29" s="286" t="s">
        <v>56</v>
      </c>
      <c r="B29" s="286"/>
      <c r="C29" s="17">
        <v>0.51349999999999996</v>
      </c>
      <c r="D29" t="s">
        <v>36</v>
      </c>
      <c r="F29" t="s">
        <v>36</v>
      </c>
      <c r="G29" s="13">
        <v>6200</v>
      </c>
      <c r="H29">
        <v>0.20399999999999999</v>
      </c>
      <c r="I29" s="13">
        <v>1270</v>
      </c>
      <c r="J29" s="13">
        <v>6200</v>
      </c>
      <c r="K29">
        <v>0.20399999999999999</v>
      </c>
      <c r="L29" s="13">
        <v>1270</v>
      </c>
      <c r="M29" s="12">
        <v>0.97</v>
      </c>
    </row>
    <row r="30" spans="1:13" x14ac:dyDescent="0.25">
      <c r="A30" s="286" t="s">
        <v>57</v>
      </c>
      <c r="B30" s="286"/>
      <c r="D30" s="13">
        <v>17000</v>
      </c>
      <c r="E30">
        <v>2.3E-2</v>
      </c>
      <c r="F30">
        <v>390</v>
      </c>
      <c r="G30" s="13">
        <v>119300</v>
      </c>
      <c r="H30">
        <v>2.9000000000000001E-2</v>
      </c>
      <c r="I30" s="13">
        <v>3420</v>
      </c>
      <c r="J30" s="13">
        <v>136300</v>
      </c>
      <c r="K30">
        <v>2.8000000000000001E-2</v>
      </c>
      <c r="L30" s="13">
        <v>3810</v>
      </c>
      <c r="M30" s="12">
        <v>0.76</v>
      </c>
    </row>
    <row r="31" spans="1:13" x14ac:dyDescent="0.25">
      <c r="A31" s="286" t="s">
        <v>58</v>
      </c>
      <c r="B31" s="286"/>
      <c r="C31" s="16">
        <v>0.75</v>
      </c>
      <c r="D31" s="13">
        <v>39200</v>
      </c>
      <c r="E31">
        <v>4.3999999999999997E-2</v>
      </c>
      <c r="F31" s="13">
        <v>1720</v>
      </c>
      <c r="G31" s="13">
        <v>63400</v>
      </c>
      <c r="H31">
        <v>3.2000000000000001E-2</v>
      </c>
      <c r="I31" s="13">
        <v>2010</v>
      </c>
      <c r="J31" s="13">
        <v>102600</v>
      </c>
      <c r="K31">
        <v>3.5999999999999997E-2</v>
      </c>
      <c r="L31" s="13">
        <v>3730</v>
      </c>
      <c r="M31" s="12">
        <v>0.93</v>
      </c>
    </row>
    <row r="32" spans="1:13" x14ac:dyDescent="0.25">
      <c r="A32" s="287"/>
      <c r="B32" s="287"/>
      <c r="C32" s="18"/>
      <c r="D32" s="19">
        <v>56200</v>
      </c>
      <c r="E32" s="20">
        <v>3.7999999999999999E-2</v>
      </c>
      <c r="F32" s="19">
        <v>2110</v>
      </c>
      <c r="G32" s="19">
        <v>182700</v>
      </c>
      <c r="H32" s="20">
        <v>0.03</v>
      </c>
      <c r="I32" s="19">
        <v>5430</v>
      </c>
      <c r="J32" s="19">
        <v>238900</v>
      </c>
      <c r="K32" s="20">
        <v>3.2000000000000001E-2</v>
      </c>
      <c r="L32" s="19">
        <v>7540</v>
      </c>
      <c r="M32" s="21">
        <v>0.82</v>
      </c>
    </row>
    <row r="33" spans="1:13" x14ac:dyDescent="0.25">
      <c r="A33" s="287" t="s">
        <v>59</v>
      </c>
      <c r="B33" s="287"/>
    </row>
    <row r="34" spans="1:13" x14ac:dyDescent="0.25">
      <c r="A34" s="286" t="s">
        <v>60</v>
      </c>
      <c r="B34" s="286"/>
      <c r="C34" s="16">
        <v>1</v>
      </c>
      <c r="D34" s="13">
        <v>264900</v>
      </c>
      <c r="E34">
        <v>2.1000000000000001E-2</v>
      </c>
      <c r="F34" s="13">
        <v>5520</v>
      </c>
      <c r="G34" s="13">
        <v>265000</v>
      </c>
      <c r="H34">
        <v>2.1000000000000001E-2</v>
      </c>
      <c r="I34" s="13">
        <v>5470</v>
      </c>
      <c r="J34" s="13">
        <v>529900</v>
      </c>
      <c r="K34">
        <v>2.1000000000000001E-2</v>
      </c>
      <c r="L34" s="13">
        <v>10990</v>
      </c>
      <c r="M34" s="12">
        <v>0.83</v>
      </c>
    </row>
    <row r="35" spans="1:13" x14ac:dyDescent="0.25">
      <c r="A35" s="286" t="s">
        <v>61</v>
      </c>
      <c r="B35" s="286"/>
      <c r="C35" s="16">
        <v>1</v>
      </c>
      <c r="D35" s="13">
        <v>7600</v>
      </c>
      <c r="E35">
        <v>0.02</v>
      </c>
      <c r="F35">
        <v>150</v>
      </c>
      <c r="G35" s="13">
        <v>94800</v>
      </c>
      <c r="H35">
        <v>1.2999999999999999E-2</v>
      </c>
      <c r="I35" s="13">
        <v>1210</v>
      </c>
      <c r="J35" s="13">
        <v>102400</v>
      </c>
      <c r="K35">
        <v>1.2999999999999999E-2</v>
      </c>
      <c r="L35" s="13">
        <v>1360</v>
      </c>
      <c r="M35" s="12">
        <v>0.77</v>
      </c>
    </row>
    <row r="36" spans="1:13" x14ac:dyDescent="0.25">
      <c r="A36" s="286" t="s">
        <v>62</v>
      </c>
      <c r="B36" s="286"/>
      <c r="D36" s="13">
        <v>272500</v>
      </c>
      <c r="E36">
        <v>2.1000000000000001E-2</v>
      </c>
      <c r="F36" s="13">
        <v>5670</v>
      </c>
      <c r="G36" s="13">
        <v>359800</v>
      </c>
      <c r="H36">
        <v>1.9E-2</v>
      </c>
      <c r="I36" s="13">
        <v>6680</v>
      </c>
      <c r="J36" s="13">
        <v>632300</v>
      </c>
      <c r="K36">
        <v>0.02</v>
      </c>
      <c r="L36" s="13">
        <v>12350</v>
      </c>
      <c r="M36" s="12">
        <v>0.83</v>
      </c>
    </row>
    <row r="37" spans="1:13" x14ac:dyDescent="0.25">
      <c r="A37" s="286" t="s">
        <v>63</v>
      </c>
      <c r="B37" s="286"/>
      <c r="C37" s="16">
        <v>1</v>
      </c>
      <c r="D37" s="13">
        <v>11200</v>
      </c>
      <c r="E37">
        <v>0.159</v>
      </c>
      <c r="F37" s="13">
        <v>1780</v>
      </c>
      <c r="G37" s="13">
        <v>18000</v>
      </c>
      <c r="H37">
        <v>0.16200000000000001</v>
      </c>
      <c r="I37" s="13">
        <v>2910</v>
      </c>
      <c r="J37" s="13">
        <v>29200</v>
      </c>
      <c r="K37">
        <v>0.161</v>
      </c>
      <c r="L37" s="13">
        <v>4690</v>
      </c>
      <c r="M37" s="12">
        <v>0.97</v>
      </c>
    </row>
    <row r="38" spans="1:13" x14ac:dyDescent="0.25">
      <c r="A38" s="286" t="s">
        <v>64</v>
      </c>
      <c r="B38" s="286"/>
      <c r="C38" s="16">
        <v>0.5</v>
      </c>
      <c r="D38" s="13">
        <v>4600</v>
      </c>
      <c r="E38">
        <v>5.8999999999999997E-2</v>
      </c>
      <c r="F38">
        <v>270</v>
      </c>
      <c r="G38" s="13">
        <v>27500</v>
      </c>
      <c r="H38">
        <v>6.3E-2</v>
      </c>
      <c r="I38" s="13">
        <v>1720</v>
      </c>
      <c r="J38" s="13">
        <v>32100</v>
      </c>
      <c r="K38">
        <v>6.2E-2</v>
      </c>
      <c r="L38" s="13">
        <v>1990</v>
      </c>
      <c r="M38" s="12">
        <v>0.83</v>
      </c>
    </row>
    <row r="39" spans="1:13" x14ac:dyDescent="0.25">
      <c r="A39" s="286" t="s">
        <v>65</v>
      </c>
      <c r="B39" s="286"/>
      <c r="C39" s="16">
        <v>0.5</v>
      </c>
      <c r="D39" s="13">
        <v>18400</v>
      </c>
      <c r="E39">
        <v>0.03</v>
      </c>
      <c r="F39">
        <v>560</v>
      </c>
      <c r="G39" s="13">
        <v>55800</v>
      </c>
      <c r="H39">
        <v>0.02</v>
      </c>
      <c r="I39" s="13">
        <v>1100</v>
      </c>
      <c r="J39" s="13">
        <v>74200</v>
      </c>
      <c r="K39">
        <v>2.1999999999999999E-2</v>
      </c>
      <c r="L39" s="13">
        <v>1660</v>
      </c>
      <c r="M39" s="12">
        <v>0.74</v>
      </c>
    </row>
    <row r="40" spans="1:13" x14ac:dyDescent="0.25">
      <c r="A40" s="286" t="s">
        <v>66</v>
      </c>
      <c r="B40" s="286"/>
      <c r="D40" s="13">
        <v>23000</v>
      </c>
      <c r="E40">
        <v>3.5999999999999997E-2</v>
      </c>
      <c r="F40">
        <v>830</v>
      </c>
      <c r="G40" s="13">
        <v>83300</v>
      </c>
      <c r="H40">
        <v>3.4000000000000002E-2</v>
      </c>
      <c r="I40" s="13">
        <v>2820</v>
      </c>
      <c r="J40" s="13">
        <v>106300</v>
      </c>
      <c r="K40">
        <v>3.4000000000000002E-2</v>
      </c>
      <c r="L40" s="13">
        <v>3650</v>
      </c>
      <c r="M40" s="12">
        <v>0.79</v>
      </c>
    </row>
    <row r="41" spans="1:13" x14ac:dyDescent="0.25">
      <c r="A41" s="287"/>
      <c r="B41" s="287"/>
      <c r="C41" s="18"/>
      <c r="D41" s="19">
        <v>306700</v>
      </c>
      <c r="E41" s="20">
        <v>2.7E-2</v>
      </c>
      <c r="F41" s="19">
        <v>8280</v>
      </c>
      <c r="G41" s="19">
        <v>461100</v>
      </c>
      <c r="H41" s="20">
        <v>2.7E-2</v>
      </c>
      <c r="I41" s="19">
        <v>12410</v>
      </c>
      <c r="J41" s="19">
        <v>767800</v>
      </c>
      <c r="K41" s="20">
        <v>2.7E-2</v>
      </c>
      <c r="L41" s="19">
        <v>20690</v>
      </c>
      <c r="M41" s="21">
        <v>0.84</v>
      </c>
    </row>
    <row r="42" spans="1:13" x14ac:dyDescent="0.25">
      <c r="A42" s="287" t="s">
        <v>67</v>
      </c>
      <c r="B42" s="287"/>
    </row>
    <row r="43" spans="1:13" x14ac:dyDescent="0.25">
      <c r="A43" s="286" t="s">
        <v>68</v>
      </c>
      <c r="B43" s="286"/>
      <c r="C43" s="16">
        <v>1</v>
      </c>
      <c r="D43" s="13">
        <v>17600</v>
      </c>
      <c r="E43">
        <v>7.0000000000000007E-2</v>
      </c>
      <c r="F43" s="13">
        <v>1230</v>
      </c>
      <c r="G43" s="13">
        <v>53600</v>
      </c>
      <c r="H43">
        <v>5.3999999999999999E-2</v>
      </c>
      <c r="I43" s="13">
        <v>2870</v>
      </c>
      <c r="J43" s="13">
        <v>71200</v>
      </c>
      <c r="K43">
        <v>5.8000000000000003E-2</v>
      </c>
      <c r="L43" s="13">
        <v>4100</v>
      </c>
      <c r="M43" s="12">
        <v>0.91</v>
      </c>
    </row>
    <row r="44" spans="1:13" x14ac:dyDescent="0.25">
      <c r="A44" s="286" t="s">
        <v>69</v>
      </c>
      <c r="B44" s="286"/>
      <c r="C44" s="16">
        <v>1</v>
      </c>
      <c r="D44" t="s">
        <v>36</v>
      </c>
      <c r="F44" t="s">
        <v>36</v>
      </c>
      <c r="G44" s="13">
        <v>8300</v>
      </c>
      <c r="H44">
        <v>0.13800000000000001</v>
      </c>
      <c r="I44" s="13">
        <v>1150</v>
      </c>
      <c r="J44" s="13">
        <v>8300</v>
      </c>
      <c r="K44">
        <v>0.13800000000000001</v>
      </c>
      <c r="L44" s="13">
        <v>1150</v>
      </c>
      <c r="M44" s="12">
        <v>0.94</v>
      </c>
    </row>
    <row r="45" spans="1:13" x14ac:dyDescent="0.25">
      <c r="A45" s="286" t="s">
        <v>70</v>
      </c>
      <c r="B45" s="286"/>
      <c r="C45" s="16">
        <v>1</v>
      </c>
      <c r="D45" s="13">
        <v>41700</v>
      </c>
      <c r="E45">
        <v>2.7E-2</v>
      </c>
      <c r="F45" s="13">
        <v>1130</v>
      </c>
      <c r="G45" t="s">
        <v>36</v>
      </c>
      <c r="I45" t="s">
        <v>36</v>
      </c>
      <c r="J45" s="13">
        <v>41700</v>
      </c>
      <c r="K45">
        <v>2.7E-2</v>
      </c>
      <c r="L45" s="13">
        <v>1130</v>
      </c>
      <c r="M45" s="12">
        <v>0.87</v>
      </c>
    </row>
    <row r="46" spans="1:13" x14ac:dyDescent="0.25">
      <c r="A46" s="286" t="s">
        <v>71</v>
      </c>
      <c r="B46" s="286"/>
      <c r="D46" s="13">
        <v>59300</v>
      </c>
      <c r="E46">
        <v>0.04</v>
      </c>
      <c r="F46" s="13">
        <v>2360</v>
      </c>
      <c r="G46" s="13">
        <v>61900</v>
      </c>
      <c r="H46">
        <v>6.5000000000000002E-2</v>
      </c>
      <c r="I46" s="13">
        <v>4020</v>
      </c>
      <c r="J46" s="13">
        <v>121200</v>
      </c>
      <c r="K46">
        <v>5.2999999999999999E-2</v>
      </c>
      <c r="L46" s="13">
        <v>6380</v>
      </c>
      <c r="M46" s="12">
        <v>0.91</v>
      </c>
    </row>
    <row r="47" spans="1:13" x14ac:dyDescent="0.25">
      <c r="A47" s="286" t="s">
        <v>72</v>
      </c>
      <c r="B47" s="286"/>
      <c r="C47" s="16">
        <v>1</v>
      </c>
      <c r="D47" t="s">
        <v>36</v>
      </c>
      <c r="F47" t="s">
        <v>36</v>
      </c>
      <c r="G47" s="13">
        <v>48000</v>
      </c>
      <c r="H47">
        <v>7.0000000000000007E-2</v>
      </c>
      <c r="I47" s="13">
        <v>3350</v>
      </c>
      <c r="J47" s="13">
        <v>48000</v>
      </c>
      <c r="K47">
        <v>7.0000000000000007E-2</v>
      </c>
      <c r="L47" s="13">
        <v>3350</v>
      </c>
      <c r="M47" s="12">
        <v>0.91</v>
      </c>
    </row>
    <row r="48" spans="1:13" x14ac:dyDescent="0.25">
      <c r="A48" s="286" t="s">
        <v>73</v>
      </c>
      <c r="B48" s="286"/>
      <c r="C48" s="16">
        <v>1</v>
      </c>
      <c r="D48" s="13">
        <v>9100</v>
      </c>
      <c r="E48">
        <v>4.9000000000000002E-2</v>
      </c>
      <c r="F48">
        <v>450</v>
      </c>
      <c r="G48" s="13">
        <v>28600</v>
      </c>
      <c r="H48">
        <v>4.9000000000000002E-2</v>
      </c>
      <c r="I48" s="13">
        <v>1410</v>
      </c>
      <c r="J48" s="13">
        <v>37700</v>
      </c>
      <c r="K48">
        <v>4.9000000000000002E-2</v>
      </c>
      <c r="L48" s="13">
        <v>1860</v>
      </c>
      <c r="M48" s="12">
        <v>0.9</v>
      </c>
    </row>
    <row r="49" spans="1:13" x14ac:dyDescent="0.25">
      <c r="A49" s="286" t="s">
        <v>74</v>
      </c>
      <c r="B49" s="286"/>
      <c r="C49" s="16">
        <v>1</v>
      </c>
      <c r="D49" s="13">
        <v>14300</v>
      </c>
      <c r="E49">
        <v>2.5999999999999999E-2</v>
      </c>
      <c r="F49">
        <v>380</v>
      </c>
      <c r="G49" t="s">
        <v>36</v>
      </c>
      <c r="I49" t="s">
        <v>36</v>
      </c>
      <c r="J49" s="13">
        <v>14300</v>
      </c>
      <c r="K49">
        <v>2.5999999999999999E-2</v>
      </c>
      <c r="L49">
        <v>380</v>
      </c>
      <c r="M49" s="12">
        <v>0.89</v>
      </c>
    </row>
    <row r="50" spans="1:13" x14ac:dyDescent="0.25">
      <c r="A50" s="286" t="s">
        <v>75</v>
      </c>
      <c r="B50" s="286"/>
      <c r="D50" s="13">
        <v>23400</v>
      </c>
      <c r="E50">
        <v>3.5000000000000003E-2</v>
      </c>
      <c r="F50">
        <v>830</v>
      </c>
      <c r="G50" s="13">
        <v>28600</v>
      </c>
      <c r="H50">
        <v>4.9000000000000002E-2</v>
      </c>
      <c r="I50" s="13">
        <v>1410</v>
      </c>
      <c r="J50" s="13">
        <v>52000</v>
      </c>
      <c r="K50">
        <v>4.2999999999999997E-2</v>
      </c>
      <c r="L50" s="13">
        <v>2240</v>
      </c>
      <c r="M50" s="12">
        <v>0.89</v>
      </c>
    </row>
    <row r="51" spans="1:13" x14ac:dyDescent="0.25">
      <c r="A51" s="287"/>
      <c r="B51" s="287"/>
      <c r="C51" s="18"/>
      <c r="D51" s="19">
        <v>82700</v>
      </c>
      <c r="E51" s="20">
        <v>3.7999999999999999E-2</v>
      </c>
      <c r="F51" s="19">
        <v>3190</v>
      </c>
      <c r="G51" s="19">
        <v>138500</v>
      </c>
      <c r="H51" s="20">
        <v>6.3E-2</v>
      </c>
      <c r="I51" s="19">
        <v>8780</v>
      </c>
      <c r="J51" s="19">
        <v>221200</v>
      </c>
      <c r="K51" s="20">
        <v>5.3999999999999999E-2</v>
      </c>
      <c r="L51" s="19">
        <v>11970</v>
      </c>
      <c r="M51" s="21">
        <v>0.91</v>
      </c>
    </row>
    <row r="52" spans="1:13" x14ac:dyDescent="0.25">
      <c r="A52" s="287" t="s">
        <v>76</v>
      </c>
      <c r="B52" s="287"/>
      <c r="C52" s="18"/>
      <c r="D52" s="19">
        <v>620800</v>
      </c>
      <c r="E52" s="20">
        <v>3.4000000000000002E-2</v>
      </c>
      <c r="F52" s="19">
        <v>21340</v>
      </c>
      <c r="G52" s="19">
        <v>1271800</v>
      </c>
      <c r="H52" s="20">
        <v>3.5000000000000003E-2</v>
      </c>
      <c r="I52" s="19">
        <v>44100</v>
      </c>
      <c r="J52" s="19">
        <v>1892600</v>
      </c>
      <c r="K52" s="20">
        <v>3.5000000000000003E-2</v>
      </c>
      <c r="L52" s="19">
        <v>65440</v>
      </c>
      <c r="M52" s="21">
        <v>0.83</v>
      </c>
    </row>
  </sheetData>
  <mergeCells count="55">
    <mergeCell ref="A52:B52"/>
    <mergeCell ref="D3:F3"/>
    <mergeCell ref="G3:I3"/>
    <mergeCell ref="J3:M3"/>
    <mergeCell ref="A46:B46"/>
    <mergeCell ref="A47:B47"/>
    <mergeCell ref="A48:B48"/>
    <mergeCell ref="A49:B49"/>
    <mergeCell ref="A50:B50"/>
    <mergeCell ref="A51:B51"/>
    <mergeCell ref="A40:B40"/>
    <mergeCell ref="A41:B41"/>
    <mergeCell ref="A42:B42"/>
    <mergeCell ref="A43:B43"/>
    <mergeCell ref="A44:B44"/>
    <mergeCell ref="A45:B45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1:B1"/>
    <mergeCell ref="A2:B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M51"/>
  <sheetViews>
    <sheetView topLeftCell="A19" workbookViewId="0">
      <selection activeCell="A51" sqref="A51:XFD51"/>
    </sheetView>
  </sheetViews>
  <sheetFormatPr defaultRowHeight="15" x14ac:dyDescent="0.25"/>
  <cols>
    <col min="1" max="1" width="36.7109375" bestFit="1" customWidth="1"/>
    <col min="3" max="3" width="9.85546875" bestFit="1" customWidth="1"/>
    <col min="4" max="4" width="8.5703125" bestFit="1" customWidth="1"/>
    <col min="5" max="5" width="8.28515625" bestFit="1" customWidth="1"/>
    <col min="6" max="6" width="7.5703125" bestFit="1" customWidth="1"/>
    <col min="8" max="8" width="8.28515625" bestFit="1" customWidth="1"/>
    <col min="9" max="9" width="7.5703125" bestFit="1" customWidth="1"/>
    <col min="11" max="11" width="8.28515625" bestFit="1" customWidth="1"/>
    <col min="12" max="12" width="7.5703125" bestFit="1" customWidth="1"/>
    <col min="13" max="13" width="12.5703125" bestFit="1" customWidth="1"/>
  </cols>
  <sheetData>
    <row r="1" spans="1:13" x14ac:dyDescent="0.25">
      <c r="A1" s="286"/>
      <c r="B1" s="286"/>
    </row>
    <row r="2" spans="1:13" x14ac:dyDescent="0.25">
      <c r="A2" s="286" t="s">
        <v>82</v>
      </c>
      <c r="B2" s="286"/>
    </row>
    <row r="3" spans="1:13" x14ac:dyDescent="0.25">
      <c r="A3" s="286"/>
      <c r="B3" s="286"/>
      <c r="D3" s="288" t="s">
        <v>24</v>
      </c>
      <c r="E3" s="288"/>
      <c r="F3" s="288"/>
      <c r="G3" s="288" t="s">
        <v>25</v>
      </c>
      <c r="H3" s="288"/>
      <c r="I3" s="288"/>
      <c r="J3" s="288" t="s">
        <v>26</v>
      </c>
      <c r="K3" s="288"/>
      <c r="L3" s="288"/>
    </row>
    <row r="4" spans="1:13" x14ac:dyDescent="0.25">
      <c r="A4" s="286"/>
      <c r="B4" s="286"/>
      <c r="C4" t="s">
        <v>27</v>
      </c>
      <c r="D4" t="s">
        <v>79</v>
      </c>
      <c r="E4" t="s">
        <v>28</v>
      </c>
      <c r="F4" t="s">
        <v>100</v>
      </c>
      <c r="G4" t="s">
        <v>79</v>
      </c>
      <c r="H4" t="s">
        <v>28</v>
      </c>
      <c r="I4" t="s">
        <v>100</v>
      </c>
      <c r="J4" t="s">
        <v>79</v>
      </c>
      <c r="K4" t="s">
        <v>28</v>
      </c>
      <c r="L4" t="s">
        <v>100</v>
      </c>
      <c r="M4" t="s">
        <v>29</v>
      </c>
    </row>
    <row r="5" spans="1:13" x14ac:dyDescent="0.25">
      <c r="A5" s="286" t="s">
        <v>30</v>
      </c>
      <c r="B5" s="286"/>
      <c r="C5" t="s">
        <v>31</v>
      </c>
      <c r="D5" t="s">
        <v>80</v>
      </c>
      <c r="E5" t="s">
        <v>32</v>
      </c>
      <c r="F5" t="s">
        <v>80</v>
      </c>
      <c r="G5" t="s">
        <v>80</v>
      </c>
      <c r="H5" t="s">
        <v>32</v>
      </c>
      <c r="I5" t="s">
        <v>80</v>
      </c>
      <c r="J5" t="s">
        <v>80</v>
      </c>
      <c r="K5" t="s">
        <v>32</v>
      </c>
      <c r="L5" t="s">
        <v>80</v>
      </c>
      <c r="M5" t="s">
        <v>81</v>
      </c>
    </row>
    <row r="6" spans="1:13" x14ac:dyDescent="0.25">
      <c r="A6" s="287" t="s">
        <v>33</v>
      </c>
      <c r="B6" s="287"/>
    </row>
    <row r="7" spans="1:13" x14ac:dyDescent="0.25">
      <c r="A7" s="286" t="s">
        <v>83</v>
      </c>
      <c r="B7" s="286"/>
      <c r="C7" s="12">
        <v>1</v>
      </c>
      <c r="D7" s="13">
        <v>2900</v>
      </c>
      <c r="E7">
        <v>0.107</v>
      </c>
      <c r="F7">
        <v>310</v>
      </c>
      <c r="G7" s="13">
        <v>187700</v>
      </c>
      <c r="H7">
        <v>0.04</v>
      </c>
      <c r="I7" s="13">
        <v>7450</v>
      </c>
      <c r="J7" s="13">
        <v>190600</v>
      </c>
      <c r="K7">
        <v>4.1000000000000002E-2</v>
      </c>
      <c r="L7" s="13">
        <v>7760</v>
      </c>
      <c r="M7" s="12">
        <v>0.59</v>
      </c>
    </row>
    <row r="8" spans="1:13" x14ac:dyDescent="0.25">
      <c r="A8" s="286" t="s">
        <v>35</v>
      </c>
      <c r="B8" s="286"/>
      <c r="D8" t="s">
        <v>36</v>
      </c>
      <c r="F8" t="s">
        <v>36</v>
      </c>
      <c r="G8" s="13">
        <v>67400</v>
      </c>
      <c r="H8">
        <v>8.9999999999999993E-3</v>
      </c>
      <c r="I8">
        <v>580</v>
      </c>
      <c r="J8" s="13">
        <v>67400</v>
      </c>
      <c r="K8">
        <v>8.9999999999999993E-3</v>
      </c>
      <c r="L8">
        <v>580</v>
      </c>
      <c r="M8" s="12">
        <v>0.57999999999999996</v>
      </c>
    </row>
    <row r="9" spans="1:13" x14ac:dyDescent="0.25">
      <c r="A9" s="286" t="s">
        <v>37</v>
      </c>
      <c r="B9" s="286"/>
      <c r="C9" s="12">
        <v>1</v>
      </c>
      <c r="D9" s="13">
        <v>18900</v>
      </c>
      <c r="E9">
        <v>6.2E-2</v>
      </c>
      <c r="F9" s="13">
        <v>1180</v>
      </c>
      <c r="G9" t="s">
        <v>36</v>
      </c>
      <c r="I9" t="s">
        <v>36</v>
      </c>
      <c r="J9" s="13">
        <v>18900</v>
      </c>
      <c r="K9">
        <v>6.2E-2</v>
      </c>
      <c r="L9" s="13">
        <v>1180</v>
      </c>
      <c r="M9" s="12">
        <v>0.84</v>
      </c>
    </row>
    <row r="10" spans="1:13" x14ac:dyDescent="0.25">
      <c r="A10" s="286" t="s">
        <v>84</v>
      </c>
      <c r="B10" s="286"/>
      <c r="C10" s="12">
        <v>1</v>
      </c>
      <c r="D10" s="13">
        <v>12000</v>
      </c>
      <c r="E10">
        <v>0.29699999999999999</v>
      </c>
      <c r="F10" s="13">
        <v>3550</v>
      </c>
      <c r="G10" s="13">
        <v>6400</v>
      </c>
      <c r="H10">
        <v>0.27800000000000002</v>
      </c>
      <c r="I10" s="13">
        <v>1760</v>
      </c>
      <c r="J10" s="13">
        <v>18400</v>
      </c>
      <c r="K10">
        <v>0.29099999999999998</v>
      </c>
      <c r="L10" s="13">
        <v>5310</v>
      </c>
      <c r="M10" s="12">
        <v>0.84</v>
      </c>
    </row>
    <row r="11" spans="1:13" x14ac:dyDescent="0.25">
      <c r="A11" s="286" t="s">
        <v>39</v>
      </c>
      <c r="B11" s="286"/>
      <c r="D11" s="13">
        <v>33800</v>
      </c>
      <c r="E11">
        <v>0.14899999999999999</v>
      </c>
      <c r="F11" s="13">
        <v>5040</v>
      </c>
      <c r="G11" s="13">
        <v>261500</v>
      </c>
      <c r="H11">
        <v>3.6999999999999998E-2</v>
      </c>
      <c r="I11" s="13">
        <v>9790</v>
      </c>
      <c r="J11" s="13">
        <v>295300</v>
      </c>
      <c r="K11">
        <v>0.05</v>
      </c>
      <c r="L11" s="13">
        <v>14830</v>
      </c>
      <c r="M11" s="12">
        <v>0.7</v>
      </c>
    </row>
    <row r="12" spans="1:13" x14ac:dyDescent="0.25">
      <c r="A12" s="286" t="s">
        <v>85</v>
      </c>
      <c r="B12" s="286"/>
      <c r="C12" s="12">
        <v>1</v>
      </c>
      <c r="D12" s="13">
        <v>6200</v>
      </c>
      <c r="E12">
        <v>2.3E-2</v>
      </c>
      <c r="F12">
        <v>140</v>
      </c>
      <c r="G12" s="13">
        <v>243700</v>
      </c>
      <c r="H12">
        <v>1.6E-2</v>
      </c>
      <c r="I12" s="13">
        <v>3890</v>
      </c>
      <c r="J12" s="13">
        <v>249900</v>
      </c>
      <c r="K12">
        <v>1.6E-2</v>
      </c>
      <c r="L12" s="13">
        <v>4030</v>
      </c>
      <c r="M12" s="12">
        <v>0.74</v>
      </c>
    </row>
    <row r="13" spans="1:13" x14ac:dyDescent="0.25">
      <c r="A13" s="286" t="s">
        <v>41</v>
      </c>
      <c r="B13" s="286"/>
      <c r="C13" s="12">
        <v>1</v>
      </c>
      <c r="D13" s="13">
        <v>3700</v>
      </c>
      <c r="E13">
        <v>7.0000000000000001E-3</v>
      </c>
      <c r="F13">
        <v>20</v>
      </c>
      <c r="G13" t="s">
        <v>36</v>
      </c>
      <c r="I13" t="s">
        <v>36</v>
      </c>
      <c r="J13" s="13">
        <v>3700</v>
      </c>
      <c r="K13">
        <v>7.0000000000000001E-3</v>
      </c>
      <c r="L13">
        <v>20</v>
      </c>
      <c r="M13" s="12">
        <v>0.39</v>
      </c>
    </row>
    <row r="14" spans="1:13" x14ac:dyDescent="0.25">
      <c r="A14" s="286" t="s">
        <v>42</v>
      </c>
      <c r="B14" s="286"/>
      <c r="D14" s="13">
        <v>9900</v>
      </c>
      <c r="E14">
        <v>1.6E-2</v>
      </c>
      <c r="F14">
        <v>160</v>
      </c>
      <c r="G14" s="13">
        <v>243700</v>
      </c>
      <c r="H14">
        <v>1.6E-2</v>
      </c>
      <c r="I14" s="13">
        <v>3890</v>
      </c>
      <c r="J14" s="13">
        <v>253600</v>
      </c>
      <c r="K14">
        <v>1.6E-2</v>
      </c>
      <c r="L14" s="13">
        <v>4050</v>
      </c>
      <c r="M14" s="12">
        <v>0.74</v>
      </c>
    </row>
    <row r="15" spans="1:13" x14ac:dyDescent="0.25">
      <c r="A15" s="286" t="s">
        <v>43</v>
      </c>
      <c r="B15" s="286"/>
      <c r="C15" s="12">
        <v>0.25</v>
      </c>
      <c r="D15" s="13">
        <v>2600</v>
      </c>
      <c r="E15">
        <v>0.45500000000000002</v>
      </c>
      <c r="F15" s="13">
        <v>1200</v>
      </c>
      <c r="G15" s="13">
        <v>1800</v>
      </c>
      <c r="H15">
        <v>0.45200000000000001</v>
      </c>
      <c r="I15">
        <v>780</v>
      </c>
      <c r="J15" s="13">
        <v>4400</v>
      </c>
      <c r="K15">
        <v>0.45400000000000001</v>
      </c>
      <c r="L15" s="13">
        <v>1980</v>
      </c>
      <c r="M15" s="12">
        <v>0.92</v>
      </c>
    </row>
    <row r="16" spans="1:13" x14ac:dyDescent="0.25">
      <c r="A16" s="286" t="s">
        <v>86</v>
      </c>
      <c r="B16" s="286"/>
      <c r="C16" s="12">
        <v>1</v>
      </c>
      <c r="D16" s="13">
        <v>4200</v>
      </c>
      <c r="E16">
        <v>3.3000000000000002E-2</v>
      </c>
      <c r="F16">
        <v>140</v>
      </c>
      <c r="G16" s="13">
        <v>27700</v>
      </c>
      <c r="H16">
        <v>4.4999999999999998E-2</v>
      </c>
      <c r="I16" s="13">
        <v>1260</v>
      </c>
      <c r="J16" s="13">
        <v>31900</v>
      </c>
      <c r="K16">
        <v>4.3999999999999997E-2</v>
      </c>
      <c r="L16" s="13">
        <v>1400</v>
      </c>
      <c r="M16" s="12">
        <v>0.75</v>
      </c>
    </row>
    <row r="17" spans="1:13" x14ac:dyDescent="0.25">
      <c r="A17" s="286" t="s">
        <v>45</v>
      </c>
      <c r="B17" s="286"/>
      <c r="C17" s="12">
        <v>1</v>
      </c>
      <c r="D17" s="13">
        <v>31900</v>
      </c>
      <c r="E17">
        <v>6.3E-2</v>
      </c>
      <c r="F17" s="13">
        <v>2010</v>
      </c>
      <c r="G17" t="s">
        <v>36</v>
      </c>
      <c r="I17" t="s">
        <v>36</v>
      </c>
      <c r="J17" s="13">
        <v>31900</v>
      </c>
      <c r="K17">
        <v>6.3E-2</v>
      </c>
      <c r="L17" s="13">
        <v>2010</v>
      </c>
      <c r="M17" s="12">
        <v>0.72</v>
      </c>
    </row>
    <row r="18" spans="1:13" x14ac:dyDescent="0.25">
      <c r="A18" s="286" t="s">
        <v>87</v>
      </c>
      <c r="B18" s="286"/>
      <c r="D18" s="13">
        <v>38700</v>
      </c>
      <c r="E18">
        <v>8.6999999999999994E-2</v>
      </c>
      <c r="F18" s="13">
        <v>3350</v>
      </c>
      <c r="G18" s="13">
        <v>29500</v>
      </c>
      <c r="H18">
        <v>6.9000000000000006E-2</v>
      </c>
      <c r="I18" s="13">
        <v>2040</v>
      </c>
      <c r="J18" s="13">
        <v>68200</v>
      </c>
      <c r="K18">
        <v>7.9000000000000001E-2</v>
      </c>
      <c r="L18" s="13">
        <v>5390</v>
      </c>
      <c r="M18" s="12">
        <v>0.8</v>
      </c>
    </row>
    <row r="19" spans="1:13" x14ac:dyDescent="0.25">
      <c r="A19" s="286" t="s">
        <v>88</v>
      </c>
      <c r="B19" s="286"/>
      <c r="C19" s="12">
        <v>1</v>
      </c>
      <c r="D19">
        <v>900</v>
      </c>
      <c r="E19">
        <v>6.6000000000000003E-2</v>
      </c>
      <c r="F19">
        <v>60</v>
      </c>
      <c r="G19" s="13">
        <v>20700</v>
      </c>
      <c r="H19">
        <v>4.8000000000000001E-2</v>
      </c>
      <c r="I19" s="13">
        <v>1010</v>
      </c>
      <c r="J19" s="13">
        <v>21600</v>
      </c>
      <c r="K19">
        <v>4.9000000000000002E-2</v>
      </c>
      <c r="L19" s="13">
        <v>1070</v>
      </c>
      <c r="M19" s="12">
        <v>0.76</v>
      </c>
    </row>
    <row r="20" spans="1:13" x14ac:dyDescent="0.25">
      <c r="A20" s="286" t="s">
        <v>89</v>
      </c>
      <c r="B20" s="286"/>
      <c r="C20" s="12">
        <v>1</v>
      </c>
      <c r="D20" s="13">
        <v>102000</v>
      </c>
      <c r="E20">
        <v>1.7000000000000001E-2</v>
      </c>
      <c r="F20" s="13">
        <v>1770</v>
      </c>
      <c r="G20" s="13">
        <v>23500</v>
      </c>
      <c r="H20">
        <v>1.4E-2</v>
      </c>
      <c r="I20">
        <v>320</v>
      </c>
      <c r="J20" s="13">
        <v>125500</v>
      </c>
      <c r="K20">
        <v>1.7000000000000001E-2</v>
      </c>
      <c r="L20" s="13">
        <v>2090</v>
      </c>
      <c r="M20" s="12">
        <v>0.62</v>
      </c>
    </row>
    <row r="21" spans="1:13" x14ac:dyDescent="0.25">
      <c r="A21" s="286" t="s">
        <v>49</v>
      </c>
      <c r="B21" s="286"/>
      <c r="C21" s="12">
        <v>1</v>
      </c>
      <c r="D21" t="s">
        <v>36</v>
      </c>
      <c r="F21" t="s">
        <v>36</v>
      </c>
      <c r="G21" s="13">
        <v>45800</v>
      </c>
      <c r="H21">
        <v>2.5000000000000001E-2</v>
      </c>
      <c r="I21" s="13">
        <v>1140</v>
      </c>
      <c r="J21" s="13">
        <v>45800</v>
      </c>
      <c r="K21">
        <v>2.5000000000000001E-2</v>
      </c>
      <c r="L21" s="13">
        <v>1140</v>
      </c>
      <c r="M21" s="12">
        <v>0.56000000000000005</v>
      </c>
    </row>
    <row r="22" spans="1:13" x14ac:dyDescent="0.25">
      <c r="A22" s="286" t="s">
        <v>50</v>
      </c>
      <c r="B22" s="286"/>
      <c r="C22" s="12">
        <v>1</v>
      </c>
      <c r="D22" s="13">
        <v>2900</v>
      </c>
      <c r="E22">
        <v>8.4000000000000005E-2</v>
      </c>
      <c r="F22">
        <v>250</v>
      </c>
      <c r="G22" t="s">
        <v>36</v>
      </c>
      <c r="I22" t="s">
        <v>36</v>
      </c>
      <c r="J22" s="13">
        <v>2900</v>
      </c>
      <c r="K22">
        <v>8.4000000000000005E-2</v>
      </c>
      <c r="L22">
        <v>250</v>
      </c>
      <c r="M22" s="12">
        <v>0.85</v>
      </c>
    </row>
    <row r="23" spans="1:13" x14ac:dyDescent="0.25">
      <c r="A23" s="286" t="s">
        <v>51</v>
      </c>
      <c r="B23" s="286"/>
      <c r="D23" s="13">
        <v>104900</v>
      </c>
      <c r="E23">
        <v>1.9E-2</v>
      </c>
      <c r="F23" s="13">
        <v>2020</v>
      </c>
      <c r="G23" s="13">
        <v>69300</v>
      </c>
      <c r="H23">
        <v>2.1000000000000001E-2</v>
      </c>
      <c r="I23" s="13">
        <v>1460</v>
      </c>
      <c r="J23" s="13">
        <v>174200</v>
      </c>
      <c r="K23">
        <v>0.02</v>
      </c>
      <c r="L23" s="13">
        <v>3480</v>
      </c>
      <c r="M23" s="12">
        <v>0.62</v>
      </c>
    </row>
    <row r="24" spans="1:13" s="20" customFormat="1" x14ac:dyDescent="0.25">
      <c r="A24" s="287"/>
      <c r="B24" s="287"/>
      <c r="D24" s="19">
        <v>188200</v>
      </c>
      <c r="E24" s="20">
        <v>5.7000000000000002E-2</v>
      </c>
      <c r="F24" s="19">
        <v>10630</v>
      </c>
      <c r="G24" s="19">
        <v>624700</v>
      </c>
      <c r="H24" s="20">
        <v>2.9000000000000001E-2</v>
      </c>
      <c r="I24" s="19">
        <v>18190</v>
      </c>
      <c r="J24" s="19">
        <v>812900</v>
      </c>
      <c r="K24" s="20">
        <v>3.5000000000000003E-2</v>
      </c>
      <c r="L24" s="19">
        <v>28820</v>
      </c>
      <c r="M24" s="21">
        <v>0.75</v>
      </c>
    </row>
    <row r="25" spans="1:13" s="20" customFormat="1" x14ac:dyDescent="0.25">
      <c r="A25" s="287" t="s">
        <v>52</v>
      </c>
      <c r="B25" s="287"/>
    </row>
    <row r="26" spans="1:13" x14ac:dyDescent="0.25">
      <c r="A26" s="286" t="s">
        <v>90</v>
      </c>
      <c r="B26" s="286"/>
      <c r="C26" s="14">
        <v>0.54049999999999998</v>
      </c>
      <c r="D26" s="13">
        <v>12500</v>
      </c>
      <c r="E26">
        <v>2.1999999999999999E-2</v>
      </c>
      <c r="F26">
        <v>270</v>
      </c>
      <c r="G26" s="13">
        <v>80500</v>
      </c>
      <c r="H26">
        <v>1.7999999999999999E-2</v>
      </c>
      <c r="I26" s="13">
        <v>1450</v>
      </c>
      <c r="J26" s="13">
        <v>93000</v>
      </c>
      <c r="K26">
        <v>1.7999999999999999E-2</v>
      </c>
      <c r="L26" s="13">
        <v>1720</v>
      </c>
      <c r="M26" s="12">
        <v>0.7</v>
      </c>
    </row>
    <row r="27" spans="1:13" x14ac:dyDescent="0.25">
      <c r="A27" s="286" t="s">
        <v>54</v>
      </c>
      <c r="B27" s="286"/>
      <c r="C27" s="14">
        <v>0.54049999999999998</v>
      </c>
      <c r="D27" s="13">
        <v>6300</v>
      </c>
      <c r="E27">
        <v>2.1999999999999999E-2</v>
      </c>
      <c r="F27">
        <v>130</v>
      </c>
      <c r="G27" t="s">
        <v>36</v>
      </c>
      <c r="I27" t="s">
        <v>36</v>
      </c>
      <c r="J27" s="13">
        <v>6300</v>
      </c>
      <c r="K27">
        <v>2.1999999999999999E-2</v>
      </c>
      <c r="L27">
        <v>130</v>
      </c>
      <c r="M27" s="12">
        <v>0.73</v>
      </c>
    </row>
    <row r="28" spans="1:13" x14ac:dyDescent="0.25">
      <c r="A28" s="286" t="s">
        <v>55</v>
      </c>
      <c r="B28" s="286"/>
      <c r="C28" s="14">
        <v>0.54049999999999998</v>
      </c>
      <c r="D28" s="13">
        <v>5100</v>
      </c>
      <c r="E28">
        <v>4.2000000000000003E-2</v>
      </c>
      <c r="F28">
        <v>220</v>
      </c>
      <c r="G28" t="s">
        <v>36</v>
      </c>
      <c r="I28" t="s">
        <v>36</v>
      </c>
      <c r="J28" s="13">
        <v>5100</v>
      </c>
      <c r="K28">
        <v>4.2000000000000003E-2</v>
      </c>
      <c r="L28">
        <v>220</v>
      </c>
      <c r="M28" s="12">
        <v>0.56000000000000005</v>
      </c>
    </row>
    <row r="29" spans="1:13" x14ac:dyDescent="0.25">
      <c r="A29" s="286" t="s">
        <v>57</v>
      </c>
      <c r="B29" s="286"/>
      <c r="D29" s="13">
        <v>23900</v>
      </c>
      <c r="E29">
        <v>2.5999999999999999E-2</v>
      </c>
      <c r="F29">
        <v>620</v>
      </c>
      <c r="G29" s="13">
        <v>80500</v>
      </c>
      <c r="H29">
        <v>1.7999999999999999E-2</v>
      </c>
      <c r="I29" s="13">
        <v>1450</v>
      </c>
      <c r="J29" s="13">
        <v>104400</v>
      </c>
      <c r="K29">
        <v>0.02</v>
      </c>
      <c r="L29" s="13">
        <v>2070</v>
      </c>
      <c r="M29" s="12">
        <v>0.69</v>
      </c>
    </row>
    <row r="30" spans="1:13" x14ac:dyDescent="0.25">
      <c r="A30" s="286" t="s">
        <v>91</v>
      </c>
      <c r="B30" s="286"/>
      <c r="C30" s="12">
        <v>0.75</v>
      </c>
      <c r="D30" s="13">
        <v>39600</v>
      </c>
      <c r="E30">
        <v>4.2999999999999997E-2</v>
      </c>
      <c r="F30" s="13">
        <v>1720</v>
      </c>
      <c r="G30" s="13">
        <v>72000</v>
      </c>
      <c r="H30">
        <v>3.1E-2</v>
      </c>
      <c r="I30" s="13">
        <v>2250</v>
      </c>
      <c r="J30" s="13">
        <v>111600</v>
      </c>
      <c r="K30">
        <v>3.5999999999999997E-2</v>
      </c>
      <c r="L30" s="13">
        <v>3970</v>
      </c>
      <c r="M30" s="12">
        <v>0.93</v>
      </c>
    </row>
    <row r="31" spans="1:13" s="20" customFormat="1" x14ac:dyDescent="0.25">
      <c r="A31" s="287"/>
      <c r="B31" s="287"/>
      <c r="D31" s="19">
        <v>63500</v>
      </c>
      <c r="E31" s="20">
        <v>3.6999999999999998E-2</v>
      </c>
      <c r="F31" s="19">
        <v>2340</v>
      </c>
      <c r="G31" s="19">
        <v>152500</v>
      </c>
      <c r="H31" s="20">
        <v>2.4E-2</v>
      </c>
      <c r="I31" s="19">
        <v>3700</v>
      </c>
      <c r="J31" s="19">
        <v>216000</v>
      </c>
      <c r="K31" s="20">
        <v>2.8000000000000001E-2</v>
      </c>
      <c r="L31" s="19">
        <v>6040</v>
      </c>
      <c r="M31" s="21">
        <v>0.83</v>
      </c>
    </row>
    <row r="32" spans="1:13" s="20" customFormat="1" x14ac:dyDescent="0.25">
      <c r="A32" s="287" t="s">
        <v>59</v>
      </c>
      <c r="B32" s="287"/>
    </row>
    <row r="33" spans="1:13" x14ac:dyDescent="0.25">
      <c r="A33" s="286" t="s">
        <v>92</v>
      </c>
      <c r="B33" s="286"/>
      <c r="C33" s="12">
        <v>1</v>
      </c>
      <c r="D33" s="13">
        <v>268800</v>
      </c>
      <c r="E33">
        <v>2.1000000000000001E-2</v>
      </c>
      <c r="F33" s="13">
        <v>5570</v>
      </c>
      <c r="G33" s="13">
        <v>277700</v>
      </c>
      <c r="H33">
        <v>0.02</v>
      </c>
      <c r="I33" s="13">
        <v>5680</v>
      </c>
      <c r="J33" s="13">
        <v>546500</v>
      </c>
      <c r="K33">
        <v>2.1000000000000001E-2</v>
      </c>
      <c r="L33" s="13">
        <v>11250</v>
      </c>
      <c r="M33" s="12">
        <v>0.83</v>
      </c>
    </row>
    <row r="34" spans="1:13" x14ac:dyDescent="0.25">
      <c r="A34" s="286" t="s">
        <v>61</v>
      </c>
      <c r="B34" s="286"/>
      <c r="C34" s="12">
        <v>1</v>
      </c>
      <c r="D34" s="13">
        <v>15400</v>
      </c>
      <c r="E34">
        <v>1.7000000000000001E-2</v>
      </c>
      <c r="F34">
        <v>260</v>
      </c>
      <c r="G34" s="13">
        <v>89100</v>
      </c>
      <c r="H34">
        <v>1.2999999999999999E-2</v>
      </c>
      <c r="I34" s="13">
        <v>1140</v>
      </c>
      <c r="J34" s="13">
        <v>104500</v>
      </c>
      <c r="K34">
        <v>1.2999999999999999E-2</v>
      </c>
      <c r="L34" s="13">
        <v>1400</v>
      </c>
      <c r="M34" s="12">
        <v>0.77</v>
      </c>
    </row>
    <row r="35" spans="1:13" x14ac:dyDescent="0.25">
      <c r="A35" s="286" t="s">
        <v>62</v>
      </c>
      <c r="B35" s="286"/>
      <c r="D35" s="13">
        <v>284200</v>
      </c>
      <c r="E35">
        <v>0.02</v>
      </c>
      <c r="F35" s="13">
        <v>5830</v>
      </c>
      <c r="G35" s="13">
        <v>366800</v>
      </c>
      <c r="H35">
        <v>1.9E-2</v>
      </c>
      <c r="I35" s="13">
        <v>6820</v>
      </c>
      <c r="J35" s="13">
        <v>651000</v>
      </c>
      <c r="K35">
        <v>1.9E-2</v>
      </c>
      <c r="L35" s="13">
        <v>12650</v>
      </c>
      <c r="M35" s="12">
        <v>0.83</v>
      </c>
    </row>
    <row r="36" spans="1:13" x14ac:dyDescent="0.25">
      <c r="A36" s="286" t="s">
        <v>93</v>
      </c>
      <c r="B36" s="286"/>
      <c r="C36" s="12">
        <v>1</v>
      </c>
      <c r="D36" s="13">
        <v>10000</v>
      </c>
      <c r="E36">
        <v>0.17199999999999999</v>
      </c>
      <c r="F36" s="13">
        <v>1740</v>
      </c>
      <c r="G36" s="13">
        <v>16400</v>
      </c>
      <c r="H36">
        <v>0.16200000000000001</v>
      </c>
      <c r="I36" s="13">
        <v>2670</v>
      </c>
      <c r="J36" s="13">
        <v>26400</v>
      </c>
      <c r="K36">
        <v>0.16600000000000001</v>
      </c>
      <c r="L36" s="13">
        <v>4410</v>
      </c>
      <c r="M36" s="12">
        <v>0.98</v>
      </c>
    </row>
    <row r="37" spans="1:13" x14ac:dyDescent="0.25">
      <c r="A37" s="286" t="s">
        <v>94</v>
      </c>
      <c r="B37" s="286"/>
      <c r="C37" s="12">
        <v>0.5</v>
      </c>
      <c r="D37" s="13">
        <v>7400</v>
      </c>
      <c r="E37">
        <v>5.8999999999999997E-2</v>
      </c>
      <c r="F37">
        <v>440</v>
      </c>
      <c r="G37" s="13">
        <v>26400</v>
      </c>
      <c r="H37">
        <v>6.4000000000000001E-2</v>
      </c>
      <c r="I37" s="13">
        <v>1700</v>
      </c>
      <c r="J37" s="13">
        <v>33800</v>
      </c>
      <c r="K37">
        <v>6.3E-2</v>
      </c>
      <c r="L37" s="13">
        <v>2140</v>
      </c>
      <c r="M37" s="12">
        <v>0.83</v>
      </c>
    </row>
    <row r="38" spans="1:13" x14ac:dyDescent="0.25">
      <c r="A38" s="286" t="s">
        <v>65</v>
      </c>
      <c r="B38" s="286"/>
      <c r="C38" s="12">
        <v>0.5</v>
      </c>
      <c r="D38" s="13">
        <v>75400</v>
      </c>
      <c r="E38">
        <v>2.3E-2</v>
      </c>
      <c r="F38" s="13">
        <v>1730</v>
      </c>
      <c r="G38" t="s">
        <v>36</v>
      </c>
      <c r="I38" t="s">
        <v>36</v>
      </c>
      <c r="J38" s="13">
        <v>75400</v>
      </c>
      <c r="K38">
        <v>2.3E-2</v>
      </c>
      <c r="L38" s="13">
        <v>1730</v>
      </c>
      <c r="M38" s="12">
        <v>0.74</v>
      </c>
    </row>
    <row r="39" spans="1:13" x14ac:dyDescent="0.25">
      <c r="A39" s="286" t="s">
        <v>66</v>
      </c>
      <c r="B39" s="286"/>
      <c r="D39" s="13">
        <v>82800</v>
      </c>
      <c r="E39">
        <v>2.5999999999999999E-2</v>
      </c>
      <c r="F39" s="13">
        <v>2170</v>
      </c>
      <c r="G39" s="13">
        <v>26400</v>
      </c>
      <c r="H39">
        <v>6.4000000000000001E-2</v>
      </c>
      <c r="I39" s="13">
        <v>1700</v>
      </c>
      <c r="J39" s="13">
        <v>109200</v>
      </c>
      <c r="K39">
        <v>3.5000000000000003E-2</v>
      </c>
      <c r="L39" s="13">
        <v>3870</v>
      </c>
      <c r="M39" s="12">
        <v>0.79</v>
      </c>
    </row>
    <row r="40" spans="1:13" s="20" customFormat="1" x14ac:dyDescent="0.25">
      <c r="A40" s="287"/>
      <c r="B40" s="287"/>
      <c r="D40" s="19">
        <v>377000</v>
      </c>
      <c r="E40" s="20">
        <v>2.5999999999999999E-2</v>
      </c>
      <c r="F40" s="19">
        <v>9740</v>
      </c>
      <c r="G40" s="19">
        <v>409600</v>
      </c>
      <c r="H40" s="20">
        <v>2.7E-2</v>
      </c>
      <c r="I40" s="19">
        <v>11190</v>
      </c>
      <c r="J40" s="19">
        <v>786600</v>
      </c>
      <c r="K40" s="20">
        <v>2.7E-2</v>
      </c>
      <c r="L40" s="19">
        <v>20930</v>
      </c>
      <c r="M40" s="21">
        <v>0.84</v>
      </c>
    </row>
    <row r="41" spans="1:13" s="20" customFormat="1" x14ac:dyDescent="0.25">
      <c r="A41" s="287" t="s">
        <v>67</v>
      </c>
      <c r="B41" s="287"/>
    </row>
    <row r="42" spans="1:13" x14ac:dyDescent="0.25">
      <c r="A42" s="286" t="s">
        <v>95</v>
      </c>
      <c r="B42" s="286"/>
      <c r="C42" s="12">
        <v>1</v>
      </c>
      <c r="D42" s="13">
        <v>17100</v>
      </c>
      <c r="E42">
        <v>6.2E-2</v>
      </c>
      <c r="F42" s="13">
        <v>1060</v>
      </c>
      <c r="G42" s="13">
        <v>54200</v>
      </c>
      <c r="H42">
        <v>0.05</v>
      </c>
      <c r="I42" s="13">
        <v>2700</v>
      </c>
      <c r="J42" s="13">
        <v>71300</v>
      </c>
      <c r="K42">
        <v>5.2999999999999999E-2</v>
      </c>
      <c r="L42" s="13">
        <v>3760</v>
      </c>
      <c r="M42" s="12">
        <v>0.9</v>
      </c>
    </row>
    <row r="43" spans="1:13" x14ac:dyDescent="0.25">
      <c r="A43" s="286" t="s">
        <v>96</v>
      </c>
      <c r="B43" s="286"/>
      <c r="C43" s="12">
        <v>1</v>
      </c>
      <c r="D43" t="s">
        <v>36</v>
      </c>
      <c r="F43" t="s">
        <v>36</v>
      </c>
      <c r="G43" s="13">
        <v>11600</v>
      </c>
      <c r="H43">
        <v>0.13600000000000001</v>
      </c>
      <c r="I43" s="13">
        <v>1590</v>
      </c>
      <c r="J43" s="13">
        <v>11600</v>
      </c>
      <c r="K43">
        <v>0.13600000000000001</v>
      </c>
      <c r="L43" s="13">
        <v>1590</v>
      </c>
      <c r="M43" s="12">
        <v>0.93</v>
      </c>
    </row>
    <row r="44" spans="1:13" x14ac:dyDescent="0.25">
      <c r="A44" s="286" t="s">
        <v>70</v>
      </c>
      <c r="B44" s="286"/>
      <c r="C44" s="12">
        <v>1</v>
      </c>
      <c r="D44" s="13">
        <v>41300</v>
      </c>
      <c r="E44">
        <v>2.8000000000000001E-2</v>
      </c>
      <c r="F44" s="13">
        <v>1160</v>
      </c>
      <c r="G44" t="s">
        <v>36</v>
      </c>
      <c r="I44" t="s">
        <v>36</v>
      </c>
      <c r="J44" s="13">
        <v>41300</v>
      </c>
      <c r="K44">
        <v>2.8000000000000001E-2</v>
      </c>
      <c r="L44" s="13">
        <v>1160</v>
      </c>
      <c r="M44" s="12">
        <v>0.87</v>
      </c>
    </row>
    <row r="45" spans="1:13" x14ac:dyDescent="0.25">
      <c r="A45" s="286" t="s">
        <v>71</v>
      </c>
      <c r="B45" s="286"/>
      <c r="D45" s="13">
        <v>58400</v>
      </c>
      <c r="E45">
        <v>3.7999999999999999E-2</v>
      </c>
      <c r="F45" s="13">
        <v>2220</v>
      </c>
      <c r="G45" s="13">
        <v>65800</v>
      </c>
      <c r="H45">
        <v>6.5000000000000002E-2</v>
      </c>
      <c r="I45" s="13">
        <v>4290</v>
      </c>
      <c r="J45" s="13">
        <v>124200</v>
      </c>
      <c r="K45">
        <v>5.1999999999999998E-2</v>
      </c>
      <c r="L45" s="13">
        <v>6510</v>
      </c>
      <c r="M45" s="12">
        <v>0.9</v>
      </c>
    </row>
    <row r="46" spans="1:13" x14ac:dyDescent="0.25">
      <c r="A46" s="286" t="s">
        <v>97</v>
      </c>
      <c r="B46" s="286"/>
      <c r="C46" s="12">
        <v>1</v>
      </c>
      <c r="D46" t="s">
        <v>36</v>
      </c>
      <c r="F46" t="s">
        <v>36</v>
      </c>
      <c r="G46" s="13">
        <v>48000</v>
      </c>
      <c r="H46">
        <v>7.0000000000000007E-2</v>
      </c>
      <c r="I46" s="13">
        <v>3350</v>
      </c>
      <c r="J46" s="13">
        <v>48000</v>
      </c>
      <c r="K46">
        <v>7.0000000000000007E-2</v>
      </c>
      <c r="L46" s="13">
        <v>3350</v>
      </c>
      <c r="M46" s="12">
        <v>0.91</v>
      </c>
    </row>
    <row r="47" spans="1:13" x14ac:dyDescent="0.25">
      <c r="A47" s="286" t="s">
        <v>98</v>
      </c>
      <c r="B47" s="286"/>
      <c r="C47" s="12">
        <v>1</v>
      </c>
      <c r="D47" s="13">
        <v>13200</v>
      </c>
      <c r="E47">
        <v>0.05</v>
      </c>
      <c r="F47">
        <v>660</v>
      </c>
      <c r="G47" s="13">
        <v>38400</v>
      </c>
      <c r="H47">
        <v>4.8000000000000001E-2</v>
      </c>
      <c r="I47" s="13">
        <v>1840</v>
      </c>
      <c r="J47" s="13">
        <v>51600</v>
      </c>
      <c r="K47">
        <v>4.8000000000000001E-2</v>
      </c>
      <c r="L47" s="13">
        <v>2500</v>
      </c>
      <c r="M47" s="12">
        <v>0.9</v>
      </c>
    </row>
    <row r="48" spans="1:13" x14ac:dyDescent="0.25">
      <c r="A48" s="286" t="s">
        <v>74</v>
      </c>
      <c r="B48" s="286"/>
      <c r="C48" s="12">
        <v>1</v>
      </c>
      <c r="D48" s="13">
        <v>11200</v>
      </c>
      <c r="E48">
        <v>2.8000000000000001E-2</v>
      </c>
      <c r="F48">
        <v>320</v>
      </c>
      <c r="G48" t="s">
        <v>36</v>
      </c>
      <c r="I48" t="s">
        <v>36</v>
      </c>
      <c r="J48" s="13">
        <v>11200</v>
      </c>
      <c r="K48">
        <v>2.8000000000000001E-2</v>
      </c>
      <c r="L48">
        <v>320</v>
      </c>
      <c r="M48" s="12">
        <v>0.9</v>
      </c>
    </row>
    <row r="49" spans="1:13" x14ac:dyDescent="0.25">
      <c r="A49" s="286" t="s">
        <v>75</v>
      </c>
      <c r="B49" s="286"/>
      <c r="D49" s="13">
        <v>24400</v>
      </c>
      <c r="E49">
        <v>0.04</v>
      </c>
      <c r="F49">
        <v>980</v>
      </c>
      <c r="G49" s="13">
        <v>38400</v>
      </c>
      <c r="H49">
        <v>4.8000000000000001E-2</v>
      </c>
      <c r="I49" s="13">
        <v>1840</v>
      </c>
      <c r="J49" s="13">
        <v>62800</v>
      </c>
      <c r="K49">
        <v>4.4999999999999998E-2</v>
      </c>
      <c r="L49" s="13">
        <v>2820</v>
      </c>
      <c r="M49" s="12">
        <v>0.9</v>
      </c>
    </row>
    <row r="50" spans="1:13" s="20" customFormat="1" x14ac:dyDescent="0.25">
      <c r="A50" s="287"/>
      <c r="B50" s="287"/>
      <c r="D50" s="19">
        <v>82800</v>
      </c>
      <c r="E50" s="20">
        <v>3.7999999999999999E-2</v>
      </c>
      <c r="F50" s="19">
        <v>3200</v>
      </c>
      <c r="G50" s="19">
        <v>152200</v>
      </c>
      <c r="H50" s="20">
        <v>6.2E-2</v>
      </c>
      <c r="I50" s="19">
        <v>9480</v>
      </c>
      <c r="J50" s="19">
        <v>235000</v>
      </c>
      <c r="K50" s="20">
        <v>5.3999999999999999E-2</v>
      </c>
      <c r="L50" s="19">
        <v>12680</v>
      </c>
      <c r="M50" s="21">
        <v>0.9</v>
      </c>
    </row>
    <row r="51" spans="1:13" s="20" customFormat="1" x14ac:dyDescent="0.25">
      <c r="A51" s="287" t="s">
        <v>99</v>
      </c>
      <c r="B51" s="287"/>
      <c r="D51" s="19">
        <v>711500</v>
      </c>
      <c r="E51" s="20">
        <v>3.5999999999999997E-2</v>
      </c>
      <c r="F51" s="19">
        <v>25910</v>
      </c>
      <c r="G51" s="19">
        <v>1339000</v>
      </c>
      <c r="H51" s="20">
        <v>3.2000000000000001E-2</v>
      </c>
      <c r="I51" s="19">
        <v>42560</v>
      </c>
      <c r="J51" s="19">
        <v>2050500</v>
      </c>
      <c r="K51" s="20">
        <v>3.3000000000000002E-2</v>
      </c>
      <c r="L51" s="19">
        <v>68470</v>
      </c>
      <c r="M51" s="21">
        <v>0.81</v>
      </c>
    </row>
  </sheetData>
  <mergeCells count="54">
    <mergeCell ref="A51:B51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39:B39"/>
    <mergeCell ref="A28:B28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27:B27"/>
    <mergeCell ref="A16:B16"/>
    <mergeCell ref="A17:B17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15:B15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3:B13"/>
    <mergeCell ref="A14:B14"/>
    <mergeCell ref="D3:F3"/>
    <mergeCell ref="G3:I3"/>
    <mergeCell ref="J3:L3"/>
    <mergeCell ref="A1:B1"/>
    <mergeCell ref="A2:B2"/>
    <mergeCell ref="A3:B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51"/>
  <sheetViews>
    <sheetView workbookViewId="0">
      <selection activeCell="G27" sqref="G27"/>
    </sheetView>
  </sheetViews>
  <sheetFormatPr defaultRowHeight="15" x14ac:dyDescent="0.25"/>
  <cols>
    <col min="1" max="1" width="36.7109375" bestFit="1" customWidth="1"/>
    <col min="3" max="3" width="9.85546875" bestFit="1" customWidth="1"/>
    <col min="4" max="4" width="8.5703125" bestFit="1" customWidth="1"/>
    <col min="5" max="5" width="8.28515625" bestFit="1" customWidth="1"/>
    <col min="6" max="6" width="7.5703125" bestFit="1" customWidth="1"/>
    <col min="8" max="8" width="8.28515625" bestFit="1" customWidth="1"/>
    <col min="9" max="9" width="7.5703125" bestFit="1" customWidth="1"/>
    <col min="11" max="11" width="8.28515625" bestFit="1" customWidth="1"/>
    <col min="12" max="12" width="7.5703125" bestFit="1" customWidth="1"/>
    <col min="13" max="13" width="12.5703125" bestFit="1" customWidth="1"/>
  </cols>
  <sheetData>
    <row r="1" spans="1:13" x14ac:dyDescent="0.25">
      <c r="A1" s="286"/>
      <c r="B1" s="286"/>
    </row>
    <row r="2" spans="1:13" x14ac:dyDescent="0.25">
      <c r="A2" s="286" t="s">
        <v>101</v>
      </c>
      <c r="B2" s="286"/>
    </row>
    <row r="3" spans="1:13" x14ac:dyDescent="0.25">
      <c r="A3" s="286"/>
      <c r="B3" s="286"/>
      <c r="D3" s="288" t="s">
        <v>24</v>
      </c>
      <c r="E3" s="288"/>
      <c r="F3" s="288"/>
      <c r="G3" s="288" t="s">
        <v>25</v>
      </c>
      <c r="H3" s="288"/>
      <c r="I3" s="288"/>
      <c r="J3" s="288" t="s">
        <v>26</v>
      </c>
      <c r="K3" s="288"/>
      <c r="L3" s="288"/>
    </row>
    <row r="4" spans="1:13" x14ac:dyDescent="0.25">
      <c r="A4" s="286"/>
      <c r="B4" s="286"/>
      <c r="C4" t="s">
        <v>27</v>
      </c>
      <c r="D4" t="s">
        <v>79</v>
      </c>
      <c r="E4" t="s">
        <v>28</v>
      </c>
      <c r="F4" t="s">
        <v>100</v>
      </c>
      <c r="G4" t="s">
        <v>79</v>
      </c>
      <c r="H4" t="s">
        <v>28</v>
      </c>
      <c r="I4" t="s">
        <v>100</v>
      </c>
      <c r="J4" t="s">
        <v>79</v>
      </c>
      <c r="K4" t="s">
        <v>28</v>
      </c>
      <c r="L4" t="s">
        <v>100</v>
      </c>
      <c r="M4" t="s">
        <v>29</v>
      </c>
    </row>
    <row r="5" spans="1:13" x14ac:dyDescent="0.25">
      <c r="A5" s="286" t="s">
        <v>30</v>
      </c>
      <c r="B5" s="286"/>
      <c r="C5" t="s">
        <v>31</v>
      </c>
      <c r="D5" t="s">
        <v>80</v>
      </c>
      <c r="E5" t="s">
        <v>32</v>
      </c>
      <c r="F5" t="s">
        <v>80</v>
      </c>
      <c r="G5" t="s">
        <v>80</v>
      </c>
      <c r="H5" t="s">
        <v>32</v>
      </c>
      <c r="I5" t="s">
        <v>80</v>
      </c>
      <c r="J5" t="s">
        <v>80</v>
      </c>
      <c r="K5" t="s">
        <v>32</v>
      </c>
      <c r="L5" t="s">
        <v>80</v>
      </c>
      <c r="M5" t="s">
        <v>81</v>
      </c>
    </row>
    <row r="6" spans="1:13" x14ac:dyDescent="0.25">
      <c r="A6" s="287" t="s">
        <v>33</v>
      </c>
      <c r="B6" s="287"/>
    </row>
    <row r="7" spans="1:13" x14ac:dyDescent="0.25">
      <c r="A7" s="286" t="s">
        <v>83</v>
      </c>
      <c r="B7" s="286"/>
      <c r="C7" s="12">
        <v>1</v>
      </c>
      <c r="D7" s="13">
        <v>67900</v>
      </c>
      <c r="E7">
        <v>5.8000000000000003E-2</v>
      </c>
      <c r="F7" s="13">
        <v>3960</v>
      </c>
      <c r="G7" s="13">
        <v>187400</v>
      </c>
      <c r="H7">
        <v>2.4E-2</v>
      </c>
      <c r="I7" s="13">
        <v>4540</v>
      </c>
      <c r="J7" s="13">
        <v>255300</v>
      </c>
      <c r="K7">
        <v>3.3000000000000002E-2</v>
      </c>
      <c r="L7" s="13">
        <v>8500</v>
      </c>
      <c r="M7" s="12">
        <v>0.63</v>
      </c>
    </row>
    <row r="8" spans="1:13" x14ac:dyDescent="0.25">
      <c r="A8" s="286" t="s">
        <v>102</v>
      </c>
      <c r="B8" s="286"/>
      <c r="C8" s="12">
        <v>1</v>
      </c>
      <c r="D8" s="13">
        <v>21200</v>
      </c>
      <c r="E8">
        <v>6.3E-2</v>
      </c>
      <c r="F8" s="13">
        <v>1330</v>
      </c>
      <c r="G8" t="s">
        <v>36</v>
      </c>
      <c r="I8" t="s">
        <v>36</v>
      </c>
      <c r="J8" s="13">
        <v>21200</v>
      </c>
      <c r="K8">
        <v>6.3E-2</v>
      </c>
      <c r="L8" s="13">
        <v>1330</v>
      </c>
      <c r="M8" s="12">
        <v>0.81</v>
      </c>
    </row>
    <row r="9" spans="1:13" x14ac:dyDescent="0.25">
      <c r="A9" s="286" t="s">
        <v>84</v>
      </c>
      <c r="B9" s="286"/>
      <c r="C9" s="12">
        <v>1</v>
      </c>
      <c r="D9" s="13">
        <v>12000</v>
      </c>
      <c r="E9">
        <v>0.29899999999999999</v>
      </c>
      <c r="F9" s="13">
        <v>3580</v>
      </c>
      <c r="G9" s="13">
        <v>6600</v>
      </c>
      <c r="H9">
        <v>0.24</v>
      </c>
      <c r="I9" s="13">
        <v>1590</v>
      </c>
      <c r="J9" s="13">
        <v>18600</v>
      </c>
      <c r="K9">
        <v>0.27800000000000002</v>
      </c>
      <c r="L9" s="13">
        <v>5170</v>
      </c>
      <c r="M9" s="12">
        <v>0.85</v>
      </c>
    </row>
    <row r="10" spans="1:13" x14ac:dyDescent="0.25">
      <c r="A10" s="286" t="s">
        <v>39</v>
      </c>
      <c r="B10" s="286"/>
      <c r="D10" s="13">
        <v>101100</v>
      </c>
      <c r="E10">
        <v>8.7999999999999995E-2</v>
      </c>
      <c r="F10" s="13">
        <v>8870</v>
      </c>
      <c r="G10" s="13">
        <v>194000</v>
      </c>
      <c r="H10">
        <v>3.2000000000000001E-2</v>
      </c>
      <c r="I10" s="13">
        <v>6130</v>
      </c>
      <c r="J10" s="13">
        <v>295100</v>
      </c>
      <c r="K10">
        <v>5.0999999999999997E-2</v>
      </c>
      <c r="L10" s="13">
        <v>15000</v>
      </c>
      <c r="M10" s="12">
        <v>0.72</v>
      </c>
    </row>
    <row r="11" spans="1:13" x14ac:dyDescent="0.25">
      <c r="A11" s="286" t="s">
        <v>85</v>
      </c>
      <c r="B11" s="286"/>
      <c r="C11" s="12">
        <v>1</v>
      </c>
      <c r="D11" s="13">
        <v>4800</v>
      </c>
      <c r="E11">
        <v>2.5000000000000001E-2</v>
      </c>
      <c r="F11">
        <v>120</v>
      </c>
      <c r="G11" s="13">
        <v>251800</v>
      </c>
      <c r="H11">
        <v>1.7000000000000001E-2</v>
      </c>
      <c r="I11" s="13">
        <v>4220</v>
      </c>
      <c r="J11" s="13">
        <v>256600</v>
      </c>
      <c r="K11">
        <v>1.7000000000000001E-2</v>
      </c>
      <c r="L11" s="13">
        <v>4340</v>
      </c>
      <c r="M11" s="12">
        <v>0.76</v>
      </c>
    </row>
    <row r="12" spans="1:13" x14ac:dyDescent="0.25">
      <c r="A12" s="286" t="s">
        <v>41</v>
      </c>
      <c r="B12" s="286"/>
      <c r="C12" s="12">
        <v>1</v>
      </c>
      <c r="D12" s="13">
        <v>2600</v>
      </c>
      <c r="E12">
        <v>7.0000000000000001E-3</v>
      </c>
      <c r="F12">
        <v>20</v>
      </c>
      <c r="G12" s="13">
        <v>1200</v>
      </c>
      <c r="H12">
        <v>0.02</v>
      </c>
      <c r="I12">
        <v>20</v>
      </c>
      <c r="J12" s="13">
        <v>3800</v>
      </c>
      <c r="K12">
        <v>1.0999999999999999E-2</v>
      </c>
      <c r="L12">
        <v>40</v>
      </c>
      <c r="M12" s="12">
        <v>0.56999999999999995</v>
      </c>
    </row>
    <row r="13" spans="1:13" x14ac:dyDescent="0.25">
      <c r="A13" s="286" t="s">
        <v>42</v>
      </c>
      <c r="B13" s="286"/>
      <c r="D13" s="13">
        <v>7400</v>
      </c>
      <c r="E13">
        <v>1.9E-2</v>
      </c>
      <c r="F13">
        <v>140</v>
      </c>
      <c r="G13" s="13">
        <v>253000</v>
      </c>
      <c r="H13">
        <v>1.7000000000000001E-2</v>
      </c>
      <c r="I13" s="13">
        <v>4240</v>
      </c>
      <c r="J13" s="13">
        <v>260400</v>
      </c>
      <c r="K13">
        <v>1.7000000000000001E-2</v>
      </c>
      <c r="L13" s="13">
        <v>4380</v>
      </c>
      <c r="M13" s="12">
        <v>0.76</v>
      </c>
    </row>
    <row r="14" spans="1:13" x14ac:dyDescent="0.25">
      <c r="A14" s="286" t="s">
        <v>103</v>
      </c>
      <c r="B14" s="286"/>
      <c r="C14" s="12">
        <v>0.25</v>
      </c>
      <c r="D14" s="13">
        <v>1500</v>
      </c>
      <c r="E14">
        <v>0.45300000000000001</v>
      </c>
      <c r="F14">
        <v>710</v>
      </c>
      <c r="G14" s="13">
        <v>1400</v>
      </c>
      <c r="H14">
        <v>0.45800000000000002</v>
      </c>
      <c r="I14">
        <v>630</v>
      </c>
      <c r="J14" s="13">
        <v>2900</v>
      </c>
      <c r="K14">
        <v>0.45500000000000002</v>
      </c>
      <c r="L14" s="13">
        <v>1340</v>
      </c>
      <c r="M14" s="12">
        <v>0.92</v>
      </c>
    </row>
    <row r="15" spans="1:13" x14ac:dyDescent="0.25">
      <c r="A15" s="286" t="s">
        <v>86</v>
      </c>
      <c r="B15" s="286"/>
      <c r="C15" s="12">
        <v>1</v>
      </c>
      <c r="D15" s="13">
        <v>3700</v>
      </c>
      <c r="E15">
        <v>4.5999999999999999E-2</v>
      </c>
      <c r="F15">
        <v>180</v>
      </c>
      <c r="G15" s="13">
        <v>26200</v>
      </c>
      <c r="H15">
        <v>5.3999999999999999E-2</v>
      </c>
      <c r="I15" s="13">
        <v>1410</v>
      </c>
      <c r="J15" s="13">
        <v>29900</v>
      </c>
      <c r="K15">
        <v>5.2999999999999999E-2</v>
      </c>
      <c r="L15" s="13">
        <v>1590</v>
      </c>
      <c r="M15" s="12">
        <v>0.77</v>
      </c>
    </row>
    <row r="16" spans="1:13" x14ac:dyDescent="0.25">
      <c r="A16" s="286" t="s">
        <v>104</v>
      </c>
      <c r="B16" s="286"/>
      <c r="C16" s="12">
        <v>1</v>
      </c>
      <c r="D16" s="13">
        <v>32000</v>
      </c>
      <c r="E16">
        <v>6.3E-2</v>
      </c>
      <c r="F16" s="13">
        <v>2000</v>
      </c>
      <c r="G16" t="s">
        <v>36</v>
      </c>
      <c r="I16" t="s">
        <v>36</v>
      </c>
      <c r="J16" s="13">
        <v>32000</v>
      </c>
      <c r="K16">
        <v>6.3E-2</v>
      </c>
      <c r="L16" s="13">
        <v>2000</v>
      </c>
      <c r="M16" s="12">
        <v>0.74</v>
      </c>
    </row>
    <row r="17" spans="1:13" x14ac:dyDescent="0.25">
      <c r="A17" s="286" t="s">
        <v>87</v>
      </c>
      <c r="B17" s="286"/>
      <c r="D17" s="13">
        <v>37200</v>
      </c>
      <c r="E17">
        <v>7.8E-2</v>
      </c>
      <c r="F17" s="13">
        <v>2890</v>
      </c>
      <c r="G17" s="13">
        <v>27600</v>
      </c>
      <c r="H17">
        <v>7.3999999999999996E-2</v>
      </c>
      <c r="I17" s="13">
        <v>2040</v>
      </c>
      <c r="J17" s="13">
        <v>64800</v>
      </c>
      <c r="K17">
        <v>7.5999999999999998E-2</v>
      </c>
      <c r="L17" s="13">
        <v>4930</v>
      </c>
      <c r="M17" s="12">
        <v>0.8</v>
      </c>
    </row>
    <row r="18" spans="1:13" x14ac:dyDescent="0.25">
      <c r="A18" s="286" t="s">
        <v>88</v>
      </c>
      <c r="B18" s="286"/>
      <c r="C18" s="12">
        <v>1</v>
      </c>
      <c r="D18" t="s">
        <v>36</v>
      </c>
      <c r="F18" t="s">
        <v>36</v>
      </c>
      <c r="G18" s="13">
        <v>19200</v>
      </c>
      <c r="H18">
        <v>6.0999999999999999E-2</v>
      </c>
      <c r="I18" s="13">
        <v>1170</v>
      </c>
      <c r="J18" s="13">
        <v>19200</v>
      </c>
      <c r="K18">
        <v>6.0999999999999999E-2</v>
      </c>
      <c r="L18" s="13">
        <v>1170</v>
      </c>
      <c r="M18" s="12">
        <v>0.76</v>
      </c>
    </row>
    <row r="19" spans="1:13" x14ac:dyDescent="0.25">
      <c r="A19" s="286" t="s">
        <v>89</v>
      </c>
      <c r="B19" s="286"/>
      <c r="C19" s="12">
        <v>1</v>
      </c>
      <c r="D19" s="13">
        <v>72500</v>
      </c>
      <c r="E19">
        <v>2.1999999999999999E-2</v>
      </c>
      <c r="F19" s="13">
        <v>1560</v>
      </c>
      <c r="G19" s="13">
        <v>17900</v>
      </c>
      <c r="H19">
        <v>1.7000000000000001E-2</v>
      </c>
      <c r="I19">
        <v>310</v>
      </c>
      <c r="J19" s="13">
        <v>90400</v>
      </c>
      <c r="K19">
        <v>2.1000000000000001E-2</v>
      </c>
      <c r="L19" s="13">
        <v>1870</v>
      </c>
      <c r="M19" s="12">
        <v>0.62</v>
      </c>
    </row>
    <row r="20" spans="1:13" x14ac:dyDescent="0.25">
      <c r="A20" s="286" t="s">
        <v>105</v>
      </c>
      <c r="B20" s="286"/>
      <c r="C20" s="12">
        <v>1</v>
      </c>
      <c r="D20" t="s">
        <v>36</v>
      </c>
      <c r="F20" t="s">
        <v>36</v>
      </c>
      <c r="G20" s="13">
        <v>48500</v>
      </c>
      <c r="H20">
        <v>2.5000000000000001E-2</v>
      </c>
      <c r="I20" s="13">
        <v>1210</v>
      </c>
      <c r="J20" s="13">
        <v>48500</v>
      </c>
      <c r="K20">
        <v>2.5000000000000001E-2</v>
      </c>
      <c r="L20" s="13">
        <v>1210</v>
      </c>
      <c r="M20" s="12">
        <v>0.56999999999999995</v>
      </c>
    </row>
    <row r="21" spans="1:13" x14ac:dyDescent="0.25">
      <c r="A21" s="286" t="s">
        <v>106</v>
      </c>
      <c r="B21" s="286"/>
      <c r="C21" s="12">
        <v>1</v>
      </c>
      <c r="D21" s="13">
        <v>2800</v>
      </c>
      <c r="E21">
        <v>0.112</v>
      </c>
      <c r="F21">
        <v>310</v>
      </c>
      <c r="G21" t="s">
        <v>36</v>
      </c>
      <c r="I21" t="s">
        <v>36</v>
      </c>
      <c r="J21" s="13">
        <v>2800</v>
      </c>
      <c r="K21">
        <v>0.112</v>
      </c>
      <c r="L21">
        <v>310</v>
      </c>
      <c r="M21" s="12">
        <v>0.7</v>
      </c>
    </row>
    <row r="22" spans="1:13" x14ac:dyDescent="0.25">
      <c r="A22" s="286" t="s">
        <v>51</v>
      </c>
      <c r="B22" s="286"/>
      <c r="D22" s="13">
        <v>75300</v>
      </c>
      <c r="E22">
        <v>2.5000000000000001E-2</v>
      </c>
      <c r="F22" s="13">
        <v>1870</v>
      </c>
      <c r="G22" s="13">
        <v>66400</v>
      </c>
      <c r="H22">
        <v>2.3E-2</v>
      </c>
      <c r="I22" s="13">
        <v>1520</v>
      </c>
      <c r="J22" s="13">
        <v>141700</v>
      </c>
      <c r="K22">
        <v>2.4E-2</v>
      </c>
      <c r="L22" s="13">
        <v>3390</v>
      </c>
      <c r="M22" s="12">
        <v>0.61</v>
      </c>
    </row>
    <row r="23" spans="1:13" s="20" customFormat="1" x14ac:dyDescent="0.25">
      <c r="A23" s="287"/>
      <c r="B23" s="287"/>
      <c r="D23" s="19">
        <v>221000</v>
      </c>
      <c r="E23" s="20">
        <v>6.2E-2</v>
      </c>
      <c r="F23" s="19">
        <v>13770</v>
      </c>
      <c r="G23" s="19">
        <v>560200</v>
      </c>
      <c r="H23" s="20">
        <v>2.7E-2</v>
      </c>
      <c r="I23" s="19">
        <v>15100</v>
      </c>
      <c r="J23" s="19">
        <v>781200</v>
      </c>
      <c r="K23" s="20">
        <v>3.6999999999999998E-2</v>
      </c>
      <c r="L23" s="19">
        <v>28870</v>
      </c>
      <c r="M23" s="21">
        <v>0.73</v>
      </c>
    </row>
    <row r="24" spans="1:13" s="20" customFormat="1" x14ac:dyDescent="0.25">
      <c r="A24" s="287" t="s">
        <v>52</v>
      </c>
      <c r="B24" s="287"/>
    </row>
    <row r="25" spans="1:13" s="24" customFormat="1" x14ac:dyDescent="0.25">
      <c r="A25" s="289" t="s">
        <v>90</v>
      </c>
      <c r="B25" s="289"/>
      <c r="C25" s="25">
        <v>0.51349999999999996</v>
      </c>
      <c r="D25" s="23">
        <v>17900</v>
      </c>
      <c r="E25" s="24">
        <v>1.7999999999999999E-2</v>
      </c>
      <c r="F25" s="24">
        <v>310</v>
      </c>
      <c r="G25" s="23">
        <v>81400</v>
      </c>
      <c r="H25" s="24">
        <v>1.7999999999999999E-2</v>
      </c>
      <c r="I25" s="23">
        <v>1500</v>
      </c>
      <c r="J25" s="23">
        <v>99300</v>
      </c>
      <c r="K25" s="24">
        <v>1.7999999999999999E-2</v>
      </c>
      <c r="L25" s="23">
        <v>1810</v>
      </c>
      <c r="M25" s="22">
        <v>0.69</v>
      </c>
    </row>
    <row r="26" spans="1:13" x14ac:dyDescent="0.25">
      <c r="A26" s="286" t="s">
        <v>107</v>
      </c>
      <c r="B26" s="286"/>
      <c r="C26" s="14">
        <v>0.51349999999999996</v>
      </c>
      <c r="D26" s="13">
        <v>8600</v>
      </c>
      <c r="E26">
        <v>0.02</v>
      </c>
      <c r="F26">
        <v>170</v>
      </c>
      <c r="G26" t="s">
        <v>36</v>
      </c>
      <c r="I26" t="s">
        <v>36</v>
      </c>
      <c r="J26" s="13">
        <v>8600</v>
      </c>
      <c r="K26">
        <v>0.02</v>
      </c>
      <c r="L26">
        <v>170</v>
      </c>
      <c r="M26" s="12">
        <v>0.67</v>
      </c>
    </row>
    <row r="27" spans="1:13" x14ac:dyDescent="0.25">
      <c r="A27" s="286" t="s">
        <v>108</v>
      </c>
      <c r="B27" s="286"/>
      <c r="C27" s="14">
        <v>0.51349999999999996</v>
      </c>
      <c r="D27" s="13">
        <v>5800</v>
      </c>
      <c r="E27">
        <v>4.3999999999999997E-2</v>
      </c>
      <c r="F27">
        <v>260</v>
      </c>
      <c r="G27" t="s">
        <v>36</v>
      </c>
      <c r="I27" t="s">
        <v>36</v>
      </c>
      <c r="J27" s="13">
        <v>5800</v>
      </c>
      <c r="K27">
        <v>4.3999999999999997E-2</v>
      </c>
      <c r="L27">
        <v>260</v>
      </c>
      <c r="M27" s="12">
        <v>0.63</v>
      </c>
    </row>
    <row r="28" spans="1:13" x14ac:dyDescent="0.25">
      <c r="A28" s="286" t="s">
        <v>57</v>
      </c>
      <c r="B28" s="286"/>
      <c r="D28" s="13">
        <v>32300</v>
      </c>
      <c r="E28">
        <v>2.3E-2</v>
      </c>
      <c r="F28">
        <v>740</v>
      </c>
      <c r="G28" s="13">
        <v>81400</v>
      </c>
      <c r="H28">
        <v>1.7999999999999999E-2</v>
      </c>
      <c r="I28" s="13">
        <v>1500</v>
      </c>
      <c r="J28" s="13">
        <v>113700</v>
      </c>
      <c r="K28">
        <v>0.02</v>
      </c>
      <c r="L28" s="13">
        <v>2240</v>
      </c>
      <c r="M28" s="12">
        <v>0.69</v>
      </c>
    </row>
    <row r="29" spans="1:13" x14ac:dyDescent="0.25">
      <c r="A29" s="286" t="s">
        <v>91</v>
      </c>
      <c r="B29" s="286"/>
      <c r="C29" s="12">
        <v>0.75</v>
      </c>
      <c r="D29" t="s">
        <v>36</v>
      </c>
      <c r="F29" t="s">
        <v>36</v>
      </c>
      <c r="G29" s="13">
        <v>116800</v>
      </c>
      <c r="H29">
        <v>3.6999999999999998E-2</v>
      </c>
      <c r="I29" s="13">
        <v>4290</v>
      </c>
      <c r="J29" s="13">
        <v>116800</v>
      </c>
      <c r="K29">
        <v>3.6999999999999998E-2</v>
      </c>
      <c r="L29" s="13">
        <v>4290</v>
      </c>
      <c r="M29" s="12">
        <v>0.93</v>
      </c>
    </row>
    <row r="30" spans="1:13" s="20" customFormat="1" x14ac:dyDescent="0.25">
      <c r="A30" s="287"/>
      <c r="B30" s="287"/>
      <c r="D30" s="19">
        <v>32300</v>
      </c>
      <c r="E30" s="20">
        <v>2.3E-2</v>
      </c>
      <c r="F30" s="20">
        <v>740</v>
      </c>
      <c r="G30" s="19">
        <v>198200</v>
      </c>
      <c r="H30" s="20">
        <v>2.9000000000000001E-2</v>
      </c>
      <c r="I30" s="19">
        <v>5790</v>
      </c>
      <c r="J30" s="19">
        <v>230500</v>
      </c>
      <c r="K30" s="20">
        <v>2.8000000000000001E-2</v>
      </c>
      <c r="L30" s="19">
        <v>6530</v>
      </c>
      <c r="M30" s="21">
        <v>0.85</v>
      </c>
    </row>
    <row r="31" spans="1:13" s="20" customFormat="1" x14ac:dyDescent="0.25">
      <c r="A31" s="287" t="s">
        <v>59</v>
      </c>
      <c r="B31" s="287"/>
    </row>
    <row r="32" spans="1:13" s="24" customFormat="1" x14ac:dyDescent="0.25">
      <c r="A32" s="289" t="s">
        <v>92</v>
      </c>
      <c r="B32" s="289"/>
      <c r="C32" s="22">
        <v>1</v>
      </c>
      <c r="D32" s="23">
        <v>226400</v>
      </c>
      <c r="E32" s="24">
        <v>2.1999999999999999E-2</v>
      </c>
      <c r="F32" s="23">
        <v>5020</v>
      </c>
      <c r="G32" s="23">
        <v>241200</v>
      </c>
      <c r="H32" s="24">
        <v>2.1999999999999999E-2</v>
      </c>
      <c r="I32" s="23">
        <v>5280</v>
      </c>
      <c r="J32" s="23">
        <v>467600</v>
      </c>
      <c r="K32" s="24">
        <v>2.1999999999999999E-2</v>
      </c>
      <c r="L32" s="23">
        <v>10300</v>
      </c>
      <c r="M32" s="22">
        <v>0.84</v>
      </c>
    </row>
    <row r="33" spans="1:13" x14ac:dyDescent="0.25">
      <c r="A33" s="286" t="s">
        <v>109</v>
      </c>
      <c r="B33" s="286"/>
      <c r="C33" s="12">
        <v>1</v>
      </c>
      <c r="D33" s="13">
        <v>15800</v>
      </c>
      <c r="E33">
        <v>1.6E-2</v>
      </c>
      <c r="F33">
        <v>250</v>
      </c>
      <c r="G33" s="13">
        <v>83800</v>
      </c>
      <c r="H33">
        <v>1.2999999999999999E-2</v>
      </c>
      <c r="I33" s="13">
        <v>1090</v>
      </c>
      <c r="J33" s="13">
        <v>99600</v>
      </c>
      <c r="K33">
        <v>1.2999999999999999E-2</v>
      </c>
      <c r="L33" s="13">
        <v>1340</v>
      </c>
      <c r="M33" s="12">
        <v>0.77</v>
      </c>
    </row>
    <row r="34" spans="1:13" x14ac:dyDescent="0.25">
      <c r="A34" s="286" t="s">
        <v>62</v>
      </c>
      <c r="B34" s="286"/>
      <c r="D34" s="13">
        <v>242200</v>
      </c>
      <c r="E34">
        <v>2.1999999999999999E-2</v>
      </c>
      <c r="F34" s="13">
        <v>5270</v>
      </c>
      <c r="G34" s="13">
        <v>325000</v>
      </c>
      <c r="H34">
        <v>0.02</v>
      </c>
      <c r="I34" s="13">
        <v>6370</v>
      </c>
      <c r="J34" s="13">
        <v>567200</v>
      </c>
      <c r="K34">
        <v>2.1000000000000001E-2</v>
      </c>
      <c r="L34" s="13">
        <v>11640</v>
      </c>
      <c r="M34" s="12">
        <v>0.83</v>
      </c>
    </row>
    <row r="35" spans="1:13" x14ac:dyDescent="0.25">
      <c r="A35" s="286" t="s">
        <v>93</v>
      </c>
      <c r="B35" s="286"/>
      <c r="C35" s="12">
        <v>1</v>
      </c>
      <c r="D35" s="13">
        <v>6300</v>
      </c>
      <c r="E35">
        <v>0.153</v>
      </c>
      <c r="F35">
        <v>960</v>
      </c>
      <c r="G35" s="13">
        <v>19300</v>
      </c>
      <c r="H35">
        <v>0.182</v>
      </c>
      <c r="I35" s="13">
        <v>3520</v>
      </c>
      <c r="J35" s="13">
        <v>25600</v>
      </c>
      <c r="K35">
        <v>0.17499999999999999</v>
      </c>
      <c r="L35" s="13">
        <v>4480</v>
      </c>
      <c r="M35" s="12">
        <v>0.96</v>
      </c>
    </row>
    <row r="36" spans="1:13" x14ac:dyDescent="0.25">
      <c r="A36" s="286" t="s">
        <v>94</v>
      </c>
      <c r="B36" s="286"/>
      <c r="C36" s="12">
        <v>0.5</v>
      </c>
      <c r="D36" s="13">
        <v>9800</v>
      </c>
      <c r="E36">
        <v>0.06</v>
      </c>
      <c r="F36">
        <v>580</v>
      </c>
      <c r="G36" s="13">
        <v>30400</v>
      </c>
      <c r="H36">
        <v>6.4000000000000001E-2</v>
      </c>
      <c r="I36" s="13">
        <v>1950</v>
      </c>
      <c r="J36" s="13">
        <v>40200</v>
      </c>
      <c r="K36">
        <v>6.3E-2</v>
      </c>
      <c r="L36" s="13">
        <v>2530</v>
      </c>
      <c r="M36" s="12">
        <v>0.84</v>
      </c>
    </row>
    <row r="37" spans="1:13" x14ac:dyDescent="0.25">
      <c r="A37" s="286" t="s">
        <v>110</v>
      </c>
      <c r="B37" s="286"/>
      <c r="C37" s="12">
        <v>0.5</v>
      </c>
      <c r="D37" s="13">
        <v>70100</v>
      </c>
      <c r="E37">
        <v>2.3E-2</v>
      </c>
      <c r="F37" s="13">
        <v>1610</v>
      </c>
      <c r="G37" t="s">
        <v>36</v>
      </c>
      <c r="I37" t="s">
        <v>36</v>
      </c>
      <c r="J37" s="13">
        <v>70100</v>
      </c>
      <c r="K37">
        <v>2.3E-2</v>
      </c>
      <c r="L37" s="13">
        <v>1610</v>
      </c>
      <c r="M37" s="12">
        <v>0.76</v>
      </c>
    </row>
    <row r="38" spans="1:13" x14ac:dyDescent="0.25">
      <c r="A38" s="286" t="s">
        <v>66</v>
      </c>
      <c r="B38" s="286"/>
      <c r="D38" s="13">
        <v>79900</v>
      </c>
      <c r="E38">
        <v>2.7E-2</v>
      </c>
      <c r="F38" s="13">
        <v>2190</v>
      </c>
      <c r="G38" s="13">
        <v>30400</v>
      </c>
      <c r="H38">
        <v>6.4000000000000001E-2</v>
      </c>
      <c r="I38" s="13">
        <v>1950</v>
      </c>
      <c r="J38" s="13">
        <v>110300</v>
      </c>
      <c r="K38">
        <v>3.7999999999999999E-2</v>
      </c>
      <c r="L38" s="13">
        <v>4140</v>
      </c>
      <c r="M38" s="12">
        <v>0.81</v>
      </c>
    </row>
    <row r="39" spans="1:13" x14ac:dyDescent="0.25">
      <c r="A39" s="287"/>
      <c r="B39" s="287"/>
      <c r="C39" s="20"/>
      <c r="D39" s="19">
        <v>328400</v>
      </c>
      <c r="E39" s="20">
        <v>2.5999999999999999E-2</v>
      </c>
      <c r="F39" s="19">
        <v>8420</v>
      </c>
      <c r="G39" s="19">
        <v>374700</v>
      </c>
      <c r="H39" s="20">
        <v>3.2000000000000001E-2</v>
      </c>
      <c r="I39" s="19">
        <v>11840</v>
      </c>
      <c r="J39" s="19">
        <v>703100</v>
      </c>
      <c r="K39" s="20">
        <v>2.9000000000000001E-2</v>
      </c>
      <c r="L39" s="19">
        <v>20260</v>
      </c>
      <c r="M39" s="21">
        <v>0.86</v>
      </c>
    </row>
    <row r="40" spans="1:13" s="20" customFormat="1" x14ac:dyDescent="0.25">
      <c r="A40" s="287" t="s">
        <v>67</v>
      </c>
      <c r="B40" s="287"/>
    </row>
    <row r="41" spans="1:13" s="24" customFormat="1" x14ac:dyDescent="0.25">
      <c r="A41" s="289" t="s">
        <v>95</v>
      </c>
      <c r="B41" s="289"/>
      <c r="C41" s="22">
        <v>1</v>
      </c>
      <c r="D41" s="23">
        <v>13900</v>
      </c>
      <c r="E41" s="24">
        <v>6.6000000000000003E-2</v>
      </c>
      <c r="F41" s="24">
        <v>920</v>
      </c>
      <c r="G41" s="23">
        <v>50600</v>
      </c>
      <c r="H41" s="24">
        <v>5.0999999999999997E-2</v>
      </c>
      <c r="I41" s="23">
        <v>2580</v>
      </c>
      <c r="J41" s="23">
        <v>64500</v>
      </c>
      <c r="K41" s="24">
        <v>5.3999999999999999E-2</v>
      </c>
      <c r="L41" s="23">
        <v>3500</v>
      </c>
      <c r="M41" s="22">
        <v>0.9</v>
      </c>
    </row>
    <row r="42" spans="1:13" x14ac:dyDescent="0.25">
      <c r="A42" s="286" t="s">
        <v>96</v>
      </c>
      <c r="B42" s="286"/>
      <c r="C42" s="12">
        <v>1</v>
      </c>
      <c r="D42" t="s">
        <v>36</v>
      </c>
      <c r="F42" t="s">
        <v>36</v>
      </c>
      <c r="G42" s="13">
        <v>11700</v>
      </c>
      <c r="H42">
        <v>0.13100000000000001</v>
      </c>
      <c r="I42" s="13">
        <v>1530</v>
      </c>
      <c r="J42" s="13">
        <v>11700</v>
      </c>
      <c r="K42">
        <v>0.13100000000000001</v>
      </c>
      <c r="L42" s="13">
        <v>1530</v>
      </c>
      <c r="M42" s="12">
        <v>0.94</v>
      </c>
    </row>
    <row r="43" spans="1:13" x14ac:dyDescent="0.25">
      <c r="A43" s="286" t="s">
        <v>111</v>
      </c>
      <c r="B43" s="286"/>
      <c r="C43" s="12">
        <v>1</v>
      </c>
      <c r="D43" s="13">
        <v>42000</v>
      </c>
      <c r="E43">
        <v>2.8000000000000001E-2</v>
      </c>
      <c r="F43" s="13">
        <v>1190</v>
      </c>
      <c r="G43" t="s">
        <v>36</v>
      </c>
      <c r="I43" t="s">
        <v>36</v>
      </c>
      <c r="J43" s="13">
        <v>42000</v>
      </c>
      <c r="K43">
        <v>2.8000000000000001E-2</v>
      </c>
      <c r="L43" s="13">
        <v>1190</v>
      </c>
      <c r="M43" s="12">
        <v>0.87</v>
      </c>
    </row>
    <row r="44" spans="1:13" x14ac:dyDescent="0.25">
      <c r="A44" s="286" t="s">
        <v>71</v>
      </c>
      <c r="B44" s="286"/>
      <c r="D44" s="13">
        <v>55900</v>
      </c>
      <c r="E44">
        <v>3.7999999999999999E-2</v>
      </c>
      <c r="F44" s="13">
        <v>2110</v>
      </c>
      <c r="G44" s="13">
        <v>62300</v>
      </c>
      <c r="H44">
        <v>6.6000000000000003E-2</v>
      </c>
      <c r="I44" s="13">
        <v>4110</v>
      </c>
      <c r="J44" s="13">
        <v>118200</v>
      </c>
      <c r="K44">
        <v>5.2999999999999999E-2</v>
      </c>
      <c r="L44" s="13">
        <v>6220</v>
      </c>
      <c r="M44" s="12">
        <v>0.9</v>
      </c>
    </row>
    <row r="45" spans="1:13" x14ac:dyDescent="0.25">
      <c r="A45" s="286" t="s">
        <v>97</v>
      </c>
      <c r="B45" s="286"/>
      <c r="C45" s="12">
        <v>1</v>
      </c>
      <c r="D45" t="s">
        <v>36</v>
      </c>
      <c r="F45" t="s">
        <v>36</v>
      </c>
      <c r="G45" s="13">
        <v>47900</v>
      </c>
      <c r="H45">
        <v>6.9000000000000006E-2</v>
      </c>
      <c r="I45" s="13">
        <v>3330</v>
      </c>
      <c r="J45" s="13">
        <v>47900</v>
      </c>
      <c r="K45">
        <v>6.9000000000000006E-2</v>
      </c>
      <c r="L45" s="13">
        <v>3330</v>
      </c>
      <c r="M45" s="12">
        <v>0.91</v>
      </c>
    </row>
    <row r="46" spans="1:13" x14ac:dyDescent="0.25">
      <c r="A46" s="286" t="s">
        <v>98</v>
      </c>
      <c r="B46" s="286"/>
      <c r="C46" s="12">
        <v>1</v>
      </c>
      <c r="D46" s="13">
        <v>17200</v>
      </c>
      <c r="E46">
        <v>4.9000000000000002E-2</v>
      </c>
      <c r="F46">
        <v>840</v>
      </c>
      <c r="G46" s="13">
        <v>43500</v>
      </c>
      <c r="H46">
        <v>4.7E-2</v>
      </c>
      <c r="I46" s="13">
        <v>2040</v>
      </c>
      <c r="J46" s="13">
        <v>60700</v>
      </c>
      <c r="K46">
        <v>4.7E-2</v>
      </c>
      <c r="L46" s="13">
        <v>2880</v>
      </c>
      <c r="M46" s="12">
        <v>0.89</v>
      </c>
    </row>
    <row r="47" spans="1:13" x14ac:dyDescent="0.25">
      <c r="A47" s="286" t="s">
        <v>112</v>
      </c>
      <c r="B47" s="286"/>
      <c r="C47" s="12">
        <v>1</v>
      </c>
      <c r="D47" s="13">
        <v>10800</v>
      </c>
      <c r="E47">
        <v>3.5000000000000003E-2</v>
      </c>
      <c r="F47">
        <v>370</v>
      </c>
      <c r="G47" t="s">
        <v>36</v>
      </c>
      <c r="I47" t="s">
        <v>36</v>
      </c>
      <c r="J47" s="13">
        <v>10800</v>
      </c>
      <c r="K47">
        <v>3.5000000000000003E-2</v>
      </c>
      <c r="L47">
        <v>370</v>
      </c>
      <c r="M47" s="12">
        <v>0.89</v>
      </c>
    </row>
    <row r="48" spans="1:13" x14ac:dyDescent="0.25">
      <c r="A48" s="286" t="s">
        <v>75</v>
      </c>
      <c r="B48" s="286"/>
      <c r="D48" s="13">
        <v>28000</v>
      </c>
      <c r="E48">
        <v>4.2999999999999997E-2</v>
      </c>
      <c r="F48" s="13">
        <v>1210</v>
      </c>
      <c r="G48" s="13">
        <v>43500</v>
      </c>
      <c r="H48">
        <v>4.7E-2</v>
      </c>
      <c r="I48" s="13">
        <v>2040</v>
      </c>
      <c r="J48" s="13">
        <v>71500</v>
      </c>
      <c r="K48">
        <v>4.4999999999999998E-2</v>
      </c>
      <c r="L48" s="13">
        <v>3250</v>
      </c>
      <c r="M48" s="12">
        <v>0.89</v>
      </c>
    </row>
    <row r="49" spans="1:13" x14ac:dyDescent="0.25">
      <c r="A49" s="287"/>
      <c r="B49" s="287"/>
      <c r="C49" s="20"/>
      <c r="D49" s="19">
        <v>83900</v>
      </c>
      <c r="E49" s="20">
        <v>0.04</v>
      </c>
      <c r="F49" s="19">
        <v>3320</v>
      </c>
      <c r="G49" s="19">
        <v>153700</v>
      </c>
      <c r="H49" s="20">
        <v>6.2E-2</v>
      </c>
      <c r="I49" s="19">
        <v>9480</v>
      </c>
      <c r="J49" s="19">
        <v>237600</v>
      </c>
      <c r="K49" s="20">
        <v>5.3999999999999999E-2</v>
      </c>
      <c r="L49" s="19">
        <v>12800</v>
      </c>
      <c r="M49" s="21">
        <v>0.9</v>
      </c>
    </row>
    <row r="50" spans="1:13" s="20" customFormat="1" x14ac:dyDescent="0.25">
      <c r="A50" s="287" t="s">
        <v>99</v>
      </c>
      <c r="B50" s="287"/>
      <c r="D50" s="19">
        <v>665600</v>
      </c>
      <c r="E50" s="20">
        <v>3.9E-2</v>
      </c>
      <c r="F50" s="19">
        <v>26250</v>
      </c>
      <c r="G50" s="19">
        <v>1286800</v>
      </c>
      <c r="H50" s="20">
        <v>3.3000000000000002E-2</v>
      </c>
      <c r="I50" s="19">
        <v>42210</v>
      </c>
      <c r="J50" s="19">
        <v>1952400</v>
      </c>
      <c r="K50" s="20">
        <v>3.5000000000000003E-2</v>
      </c>
      <c r="L50" s="19">
        <v>68460</v>
      </c>
      <c r="M50" s="21">
        <v>0.81</v>
      </c>
    </row>
    <row r="51" spans="1:13" s="20" customFormat="1" x14ac:dyDescent="0.25"/>
  </sheetData>
  <mergeCells count="53">
    <mergeCell ref="A46:B46"/>
    <mergeCell ref="A47:B47"/>
    <mergeCell ref="A48:B48"/>
    <mergeCell ref="A49:B49"/>
    <mergeCell ref="A50:B50"/>
    <mergeCell ref="A45:B45"/>
    <mergeCell ref="A34:B34"/>
    <mergeCell ref="A35:B35"/>
    <mergeCell ref="A36:B36"/>
    <mergeCell ref="A37:B37"/>
    <mergeCell ref="A38:B38"/>
    <mergeCell ref="A39:B39"/>
    <mergeCell ref="A40:B40"/>
    <mergeCell ref="A41:B41"/>
    <mergeCell ref="A42:B42"/>
    <mergeCell ref="A43:B43"/>
    <mergeCell ref="A44:B44"/>
    <mergeCell ref="A33:B33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31:B31"/>
    <mergeCell ref="A32:B32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9:B9"/>
    <mergeCell ref="D3:F3"/>
    <mergeCell ref="G3:I3"/>
    <mergeCell ref="J3:L3"/>
    <mergeCell ref="A1:B1"/>
    <mergeCell ref="A2:B2"/>
    <mergeCell ref="A3:B3"/>
    <mergeCell ref="A4:B4"/>
    <mergeCell ref="A5:B5"/>
    <mergeCell ref="A6:B6"/>
    <mergeCell ref="A7:B7"/>
    <mergeCell ref="A8:B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8"/>
  <sheetViews>
    <sheetView workbookViewId="0">
      <selection activeCell="B2" sqref="B2"/>
    </sheetView>
  </sheetViews>
  <sheetFormatPr defaultRowHeight="15" x14ac:dyDescent="0.25"/>
  <sheetData>
    <row r="1" spans="1:10" x14ac:dyDescent="0.25">
      <c r="A1" t="s">
        <v>14</v>
      </c>
      <c r="B1" t="s">
        <v>15</v>
      </c>
      <c r="C1" t="s">
        <v>16</v>
      </c>
      <c r="D1" t="s">
        <v>17</v>
      </c>
      <c r="G1" t="s">
        <v>14</v>
      </c>
      <c r="H1" t="s">
        <v>15</v>
      </c>
      <c r="I1" t="s">
        <v>16</v>
      </c>
      <c r="J1" t="s">
        <v>17</v>
      </c>
    </row>
    <row r="2" spans="1:10" x14ac:dyDescent="0.25">
      <c r="A2">
        <v>2016</v>
      </c>
      <c r="B2" s="3">
        <v>1366</v>
      </c>
      <c r="C2" s="3">
        <v>1077</v>
      </c>
      <c r="D2" s="3">
        <v>1251</v>
      </c>
      <c r="G2">
        <v>2016</v>
      </c>
      <c r="H2" s="6">
        <v>2.69</v>
      </c>
      <c r="I2" s="6">
        <v>1.96</v>
      </c>
      <c r="J2" s="6">
        <v>2.21</v>
      </c>
    </row>
    <row r="3" spans="1:10" x14ac:dyDescent="0.25">
      <c r="A3">
        <v>2017</v>
      </c>
      <c r="B3" s="3">
        <v>1346</v>
      </c>
      <c r="C3" s="3">
        <v>1151</v>
      </c>
      <c r="D3" s="3">
        <v>1257</v>
      </c>
      <c r="G3">
        <v>2017</v>
      </c>
      <c r="H3" s="6">
        <v>3.27</v>
      </c>
      <c r="I3" s="6">
        <v>2.48</v>
      </c>
      <c r="J3" s="6">
        <v>2.8</v>
      </c>
    </row>
    <row r="4" spans="1:10" x14ac:dyDescent="0.25">
      <c r="A4">
        <v>2018</v>
      </c>
      <c r="B4" s="3">
        <v>1355</v>
      </c>
      <c r="C4" s="3">
        <v>1178</v>
      </c>
      <c r="D4" s="3">
        <v>1268</v>
      </c>
      <c r="G4">
        <v>2018</v>
      </c>
      <c r="H4" s="6">
        <v>3.29</v>
      </c>
      <c r="I4" s="6">
        <v>2.64</v>
      </c>
      <c r="J4" s="6">
        <v>2.96</v>
      </c>
    </row>
    <row r="5" spans="1:10" x14ac:dyDescent="0.25">
      <c r="H5" s="6"/>
      <c r="I5" s="6"/>
      <c r="J5" s="6"/>
    </row>
    <row r="6" spans="1:10" x14ac:dyDescent="0.25">
      <c r="H6" s="6"/>
      <c r="I6" s="6"/>
      <c r="J6" s="6"/>
    </row>
    <row r="7" spans="1:10" x14ac:dyDescent="0.25">
      <c r="H7" s="6"/>
      <c r="I7" s="6"/>
      <c r="J7" s="6"/>
    </row>
    <row r="8" spans="1:10" x14ac:dyDescent="0.25">
      <c r="H8" s="6"/>
      <c r="I8" s="6"/>
      <c r="J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DCF</vt:lpstr>
      <vt:lpstr>Comparables </vt:lpstr>
      <vt:lpstr>Revenue and Expense Projection</vt:lpstr>
      <vt:lpstr>Free Cash Flow Projection</vt:lpstr>
      <vt:lpstr>BS</vt:lpstr>
      <vt:lpstr>2018 Reserves</vt:lpstr>
      <vt:lpstr>2017 Reserves</vt:lpstr>
      <vt:lpstr>2016 Reserves</vt:lpstr>
      <vt:lpstr>Historical Prices</vt:lpstr>
      <vt:lpstr>Company_Name</vt:lpstr>
      <vt:lpstr>Discount_Rate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Encarnacao</dc:creator>
  <cp:lastModifiedBy>Daniel Encarnacao</cp:lastModifiedBy>
  <dcterms:created xsi:type="dcterms:W3CDTF">2019-04-17T18:33:54Z</dcterms:created>
  <dcterms:modified xsi:type="dcterms:W3CDTF">2019-04-27T00:17:15Z</dcterms:modified>
</cp:coreProperties>
</file>