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ineLit\FineLit Portfolio\"/>
    </mc:Choice>
  </mc:AlternateContent>
  <xr:revisionPtr revIDLastSave="0" documentId="13_ncr:1_{53D38125-8767-415B-9B2F-E5C11C94B415}" xr6:coauthVersionLast="45" xr6:coauthVersionMax="45" xr10:uidLastSave="{00000000-0000-0000-0000-000000000000}"/>
  <bookViews>
    <workbookView xWindow="-120" yWindow="-120" windowWidth="20730" windowHeight="11160" xr2:uid="{A25086B5-4036-4D1C-9EF2-0F45196E0FB3}"/>
  </bookViews>
  <sheets>
    <sheet name="Dashboard" sheetId="9" r:id="rId1"/>
    <sheet name="DCF" sheetId="6" r:id="rId2"/>
    <sheet name="Consolidated Financials" sheetId="4" r:id="rId3"/>
    <sheet name="Scenario Summary" sheetId="14" r:id="rId4"/>
    <sheet name="Pivot Tables" sheetId="13" r:id="rId5"/>
    <sheet name="Statements of Income" sheetId="1" r:id="rId6"/>
    <sheet name="Balance Sheets" sheetId="2" r:id="rId7"/>
    <sheet name="Statements of Cash Flows" sheetId="3" r:id="rId8"/>
  </sheets>
  <definedNames>
    <definedName name="CashY1">'Consolidated Financials'!$C$5</definedName>
    <definedName name="CashY2">'Consolidated Financials'!$D$5</definedName>
    <definedName name="CashY3">'Consolidated Financials'!$E$5</definedName>
    <definedName name="CashY4">'Consolidated Financials'!$F$5</definedName>
    <definedName name="Date1">'Consolidated Financials'!$C$4</definedName>
    <definedName name="Date2">'Consolidated Financials'!$D$4</definedName>
    <definedName name="Date3">'Consolidated Financials'!$E$4</definedName>
    <definedName name="Date4">'Consolidated Financials'!$F$4</definedName>
    <definedName name="Target_Price">DCF!$N$46</definedName>
    <definedName name="TotalAssetsY1">'Consolidated Financials'!$C$14</definedName>
    <definedName name="TotalAssetsY2">'Consolidated Financials'!$D$14</definedName>
    <definedName name="TotalAssetsY3">'Consolidated Financials'!$E$14</definedName>
    <definedName name="TotalAssetsY4">'Consolidated Financials'!$F$14</definedName>
    <definedName name="TotalLiabilitiesY1">'Consolidated Financials'!$C$21</definedName>
    <definedName name="TotalLiabilitiesY2">'Consolidated Financials'!$D$21</definedName>
    <definedName name="TotalLiabilitiesY3">'Consolidated Financials'!$E$21</definedName>
    <definedName name="TotalLiabilitiesY4">'Consolidated Financials'!$F$21</definedName>
  </definedNames>
  <calcPr calcId="191029"/>
  <pivotCaches>
    <pivotCache cacheId="0" r:id="rId9"/>
    <pivotCache cacheId="1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K9" i="4"/>
  <c r="J10" i="4"/>
  <c r="K10" i="4"/>
  <c r="I10" i="4"/>
  <c r="I9" i="4"/>
  <c r="B5" i="14" l="1"/>
  <c r="B4" i="14"/>
  <c r="G4" i="6" l="1"/>
  <c r="H33" i="6"/>
  <c r="I33" i="6"/>
  <c r="J33" i="6"/>
  <c r="G33" i="6"/>
  <c r="N31" i="6" l="1"/>
  <c r="N19" i="6"/>
  <c r="N26" i="6" l="1"/>
  <c r="C1" i="6"/>
  <c r="A9" i="9"/>
  <c r="E33" i="6" l="1"/>
  <c r="F33" i="6"/>
  <c r="D33" i="6"/>
  <c r="J54" i="6" l="1"/>
  <c r="I54" i="6"/>
  <c r="H54" i="6"/>
  <c r="G54" i="6"/>
  <c r="F54" i="6"/>
  <c r="N7" i="6"/>
  <c r="F56" i="6" l="1"/>
  <c r="P80" i="4" l="1"/>
  <c r="O80" i="4"/>
  <c r="N80" i="4"/>
  <c r="P76" i="4"/>
  <c r="O76" i="4"/>
  <c r="N76" i="4"/>
  <c r="O17" i="4" l="1"/>
  <c r="P17" i="4"/>
  <c r="N17" i="4"/>
  <c r="N77" i="4" s="1"/>
  <c r="O8" i="4"/>
  <c r="P8" i="4"/>
  <c r="N8" i="4"/>
  <c r="N68" i="4" s="1"/>
  <c r="O7" i="4"/>
  <c r="P7" i="4"/>
  <c r="N7" i="4"/>
  <c r="N67" i="4" s="1"/>
  <c r="O6" i="4"/>
  <c r="P6" i="4"/>
  <c r="N6" i="4"/>
  <c r="N66" i="4" s="1"/>
  <c r="O5" i="4"/>
  <c r="P5" i="4"/>
  <c r="N5" i="4"/>
  <c r="O18" i="4"/>
  <c r="P18" i="4"/>
  <c r="N18" i="4"/>
  <c r="N78" i="4" s="1"/>
  <c r="J19" i="4"/>
  <c r="K19" i="4"/>
  <c r="I19" i="4"/>
  <c r="I79" i="4" s="1"/>
  <c r="J18" i="4"/>
  <c r="E111" i="4" s="1"/>
  <c r="K18" i="4"/>
  <c r="F111" i="4" s="1"/>
  <c r="I18" i="4"/>
  <c r="J16" i="4"/>
  <c r="K16" i="4"/>
  <c r="I16" i="4"/>
  <c r="J14" i="4"/>
  <c r="K14" i="4"/>
  <c r="I14" i="4"/>
  <c r="N74" i="4"/>
  <c r="O74" i="4"/>
  <c r="P74" i="4"/>
  <c r="N34" i="4"/>
  <c r="O34" i="4"/>
  <c r="P34" i="4"/>
  <c r="N44" i="4"/>
  <c r="O44" i="4"/>
  <c r="P44" i="4"/>
  <c r="I76" i="4" l="1"/>
  <c r="I78" i="4"/>
  <c r="D111" i="4"/>
  <c r="P65" i="4"/>
  <c r="P77" i="4"/>
  <c r="O65" i="4"/>
  <c r="P68" i="4"/>
  <c r="O77" i="4"/>
  <c r="K79" i="4"/>
  <c r="O78" i="4"/>
  <c r="P67" i="4"/>
  <c r="O68" i="4"/>
  <c r="O9" i="6"/>
  <c r="I74" i="4"/>
  <c r="K76" i="4"/>
  <c r="K78" i="4"/>
  <c r="J79" i="4"/>
  <c r="N9" i="4"/>
  <c r="N69" i="4" s="1"/>
  <c r="N65" i="4"/>
  <c r="P66" i="4"/>
  <c r="O67" i="4"/>
  <c r="Q9" i="6"/>
  <c r="K74" i="4"/>
  <c r="J76" i="4"/>
  <c r="J78" i="4"/>
  <c r="O66" i="4"/>
  <c r="P9" i="6"/>
  <c r="J74" i="4"/>
  <c r="O11" i="6"/>
  <c r="D13" i="6" s="1"/>
  <c r="I69" i="4"/>
  <c r="C2" i="6"/>
  <c r="P78" i="4"/>
  <c r="P9" i="4"/>
  <c r="N19" i="4"/>
  <c r="P19" i="4"/>
  <c r="F112" i="4" s="1"/>
  <c r="O19" i="4"/>
  <c r="E112" i="4" s="1"/>
  <c r="O9" i="4"/>
  <c r="J13" i="4"/>
  <c r="J43" i="4" s="1"/>
  <c r="K13" i="4"/>
  <c r="I13" i="4"/>
  <c r="J12" i="4"/>
  <c r="K12" i="4"/>
  <c r="I12" i="4"/>
  <c r="I70" i="4"/>
  <c r="J6" i="4"/>
  <c r="K6" i="4"/>
  <c r="I6" i="4"/>
  <c r="D27" i="4"/>
  <c r="E27" i="4"/>
  <c r="F27" i="4"/>
  <c r="C27" i="4"/>
  <c r="C87" i="4" s="1"/>
  <c r="D26" i="4"/>
  <c r="E26" i="4"/>
  <c r="F26" i="4"/>
  <c r="C26" i="4"/>
  <c r="C86" i="4" s="1"/>
  <c r="D25" i="4"/>
  <c r="E25" i="4"/>
  <c r="F25" i="4"/>
  <c r="C25" i="4"/>
  <c r="C85" i="4" s="1"/>
  <c r="D24" i="4"/>
  <c r="E24" i="4"/>
  <c r="F24" i="4"/>
  <c r="C24" i="4"/>
  <c r="C84" i="4" s="1"/>
  <c r="D23" i="4"/>
  <c r="E23" i="4"/>
  <c r="F23" i="4"/>
  <c r="C23" i="4"/>
  <c r="C83" i="4" s="1"/>
  <c r="D22" i="4"/>
  <c r="E22" i="4"/>
  <c r="F22" i="4"/>
  <c r="C22" i="4"/>
  <c r="C82" i="4" s="1"/>
  <c r="D19" i="4"/>
  <c r="E19" i="4"/>
  <c r="F19" i="4"/>
  <c r="C19" i="4"/>
  <c r="D18" i="4"/>
  <c r="E18" i="4"/>
  <c r="F18" i="4"/>
  <c r="C18" i="4"/>
  <c r="D16" i="4"/>
  <c r="E16" i="4"/>
  <c r="F16" i="4"/>
  <c r="D15" i="4"/>
  <c r="E15" i="4"/>
  <c r="F15" i="4"/>
  <c r="C16" i="4"/>
  <c r="C15" i="4"/>
  <c r="D13" i="4"/>
  <c r="E13" i="4"/>
  <c r="F13" i="4"/>
  <c r="C13" i="4"/>
  <c r="C73" i="4" s="1"/>
  <c r="D11" i="4"/>
  <c r="E11" i="4"/>
  <c r="F11" i="4"/>
  <c r="C11" i="4"/>
  <c r="C71" i="4" s="1"/>
  <c r="D12" i="4"/>
  <c r="E12" i="4"/>
  <c r="F12" i="4"/>
  <c r="C12" i="4"/>
  <c r="C72" i="4" s="1"/>
  <c r="D10" i="4"/>
  <c r="E10" i="4"/>
  <c r="F10" i="4"/>
  <c r="C10" i="4"/>
  <c r="D8" i="4"/>
  <c r="E8" i="4"/>
  <c r="F8" i="4"/>
  <c r="C8" i="4"/>
  <c r="D7" i="4"/>
  <c r="E7" i="4"/>
  <c r="F7" i="4"/>
  <c r="C7" i="4"/>
  <c r="D6" i="4"/>
  <c r="E6" i="4"/>
  <c r="F6" i="4"/>
  <c r="C6" i="4"/>
  <c r="D5" i="4"/>
  <c r="E5" i="4"/>
  <c r="F5" i="4"/>
  <c r="C5" i="4"/>
  <c r="P14" i="4"/>
  <c r="O14" i="4"/>
  <c r="N14" i="4"/>
  <c r="F108" i="4" l="1"/>
  <c r="I46" i="4"/>
  <c r="D108" i="4"/>
  <c r="E108" i="4"/>
  <c r="I44" i="4"/>
  <c r="N79" i="4"/>
  <c r="D112" i="4"/>
  <c r="E96" i="4"/>
  <c r="E97" i="4" s="1"/>
  <c r="J36" i="4"/>
  <c r="E98" i="4"/>
  <c r="E99" i="4" s="1"/>
  <c r="E103" i="4"/>
  <c r="J40" i="4"/>
  <c r="J39" i="4"/>
  <c r="J42" i="4"/>
  <c r="I73" i="4"/>
  <c r="I43" i="4"/>
  <c r="F98" i="4"/>
  <c r="F99" i="4" s="1"/>
  <c r="F103" i="4"/>
  <c r="K40" i="4"/>
  <c r="F96" i="4"/>
  <c r="F97" i="4" s="1"/>
  <c r="K39" i="4"/>
  <c r="K36" i="4"/>
  <c r="K42" i="4"/>
  <c r="K44" i="4"/>
  <c r="D103" i="4"/>
  <c r="I36" i="4"/>
  <c r="D96" i="4"/>
  <c r="D97" i="4" s="1"/>
  <c r="D98" i="4"/>
  <c r="D99" i="4" s="1"/>
  <c r="I39" i="4"/>
  <c r="I40" i="4"/>
  <c r="I42" i="4"/>
  <c r="K43" i="4"/>
  <c r="J46" i="4"/>
  <c r="K46" i="4"/>
  <c r="J44" i="4"/>
  <c r="N10" i="4"/>
  <c r="N70" i="4" s="1"/>
  <c r="K70" i="4"/>
  <c r="K73" i="4"/>
  <c r="O79" i="4"/>
  <c r="C19" i="6"/>
  <c r="C67" i="4"/>
  <c r="C41" i="6"/>
  <c r="N13" i="6"/>
  <c r="C70" i="4"/>
  <c r="D30" i="6"/>
  <c r="D75" i="4"/>
  <c r="C37" i="6"/>
  <c r="C78" i="4"/>
  <c r="F17" i="6"/>
  <c r="F65" i="4"/>
  <c r="F21" i="6"/>
  <c r="F66" i="4"/>
  <c r="F19" i="6"/>
  <c r="F67" i="4"/>
  <c r="F23" i="6"/>
  <c r="F68" i="4"/>
  <c r="F41" i="6"/>
  <c r="Q13" i="6"/>
  <c r="F70" i="4"/>
  <c r="F72" i="4"/>
  <c r="F71" i="4"/>
  <c r="F73" i="4"/>
  <c r="C34" i="6"/>
  <c r="C76" i="4"/>
  <c r="F34" i="6"/>
  <c r="F76" i="4"/>
  <c r="F37" i="6"/>
  <c r="F78" i="4"/>
  <c r="F39" i="6"/>
  <c r="F79" i="4"/>
  <c r="F82" i="4"/>
  <c r="F83" i="4"/>
  <c r="F84" i="4"/>
  <c r="F85" i="4"/>
  <c r="F86" i="4"/>
  <c r="F87" i="4"/>
  <c r="F7" i="6"/>
  <c r="K66" i="4"/>
  <c r="J70" i="4"/>
  <c r="Q10" i="6"/>
  <c r="K72" i="4"/>
  <c r="J73" i="4"/>
  <c r="P79" i="4"/>
  <c r="N27" i="6"/>
  <c r="N34" i="6" s="1"/>
  <c r="N45" i="6"/>
  <c r="C17" i="6"/>
  <c r="C65" i="4"/>
  <c r="E17" i="6"/>
  <c r="E65" i="4"/>
  <c r="E21" i="6"/>
  <c r="E66" i="4"/>
  <c r="E19" i="6"/>
  <c r="E67" i="4"/>
  <c r="E23" i="6"/>
  <c r="E68" i="4"/>
  <c r="E41" i="6"/>
  <c r="P13" i="6"/>
  <c r="E70" i="4"/>
  <c r="E72" i="4"/>
  <c r="E71" i="4"/>
  <c r="E73" i="4"/>
  <c r="F30" i="6"/>
  <c r="F75" i="4"/>
  <c r="E34" i="6"/>
  <c r="E76" i="4"/>
  <c r="E37" i="6"/>
  <c r="E78" i="4"/>
  <c r="E39" i="6"/>
  <c r="E79" i="4"/>
  <c r="E82" i="4"/>
  <c r="E83" i="4"/>
  <c r="E84" i="4"/>
  <c r="E85" i="4"/>
  <c r="E86" i="4"/>
  <c r="E87" i="4"/>
  <c r="E7" i="6"/>
  <c r="J66" i="4"/>
  <c r="Q11" i="6"/>
  <c r="F13" i="6" s="1"/>
  <c r="K69" i="4"/>
  <c r="P10" i="6"/>
  <c r="J72" i="4"/>
  <c r="C21" i="6"/>
  <c r="C66" i="4"/>
  <c r="C23" i="6"/>
  <c r="C68" i="4"/>
  <c r="C30" i="6"/>
  <c r="C75" i="4"/>
  <c r="C39" i="6"/>
  <c r="C79" i="4"/>
  <c r="D7" i="6"/>
  <c r="O7" i="6" s="1"/>
  <c r="I66" i="4"/>
  <c r="O10" i="6"/>
  <c r="I72" i="4"/>
  <c r="D17" i="6"/>
  <c r="D65" i="4"/>
  <c r="D21" i="6"/>
  <c r="D22" i="6" s="1"/>
  <c r="D66" i="4"/>
  <c r="D19" i="6"/>
  <c r="D67" i="4"/>
  <c r="D23" i="6"/>
  <c r="D68" i="4"/>
  <c r="D41" i="6"/>
  <c r="O13" i="6"/>
  <c r="D70" i="4"/>
  <c r="D72" i="4"/>
  <c r="D71" i="4"/>
  <c r="D73" i="4"/>
  <c r="E30" i="6"/>
  <c r="E75" i="4"/>
  <c r="D34" i="6"/>
  <c r="D76" i="4"/>
  <c r="D37" i="6"/>
  <c r="D78" i="4"/>
  <c r="D39" i="6"/>
  <c r="D79" i="4"/>
  <c r="D82" i="4"/>
  <c r="D83" i="4"/>
  <c r="D84" i="4"/>
  <c r="D85" i="4"/>
  <c r="D86" i="4"/>
  <c r="D87" i="4"/>
  <c r="P11" i="6"/>
  <c r="E13" i="6" s="1"/>
  <c r="J69" i="4"/>
  <c r="O10" i="4"/>
  <c r="O70" i="4" s="1"/>
  <c r="O69" i="4"/>
  <c r="P10" i="4"/>
  <c r="P69" i="4"/>
  <c r="C9" i="4"/>
  <c r="C20" i="4"/>
  <c r="C80" i="4" s="1"/>
  <c r="C28" i="4"/>
  <c r="C53" i="4" s="1"/>
  <c r="F9" i="4"/>
  <c r="F20" i="4"/>
  <c r="F28" i="4"/>
  <c r="E20" i="4"/>
  <c r="E28" i="4"/>
  <c r="E9" i="4"/>
  <c r="D9" i="4"/>
  <c r="D20" i="4"/>
  <c r="D28" i="4"/>
  <c r="I7" i="4"/>
  <c r="J7" i="4"/>
  <c r="K7" i="4"/>
  <c r="D17" i="4"/>
  <c r="D95" i="4" s="1"/>
  <c r="F17" i="4"/>
  <c r="F95" i="4" s="1"/>
  <c r="E17" i="4"/>
  <c r="E95" i="4" s="1"/>
  <c r="C17" i="4"/>
  <c r="C77" i="4" s="1"/>
  <c r="C95" i="4" l="1"/>
  <c r="I8" i="4"/>
  <c r="F69" i="4"/>
  <c r="F94" i="4"/>
  <c r="F93" i="4"/>
  <c r="D69" i="4"/>
  <c r="D94" i="4"/>
  <c r="D93" i="4"/>
  <c r="E94" i="4"/>
  <c r="E93" i="4"/>
  <c r="C69" i="4"/>
  <c r="C94" i="4"/>
  <c r="C93" i="4"/>
  <c r="D80" i="4"/>
  <c r="E80" i="4"/>
  <c r="P70" i="4"/>
  <c r="E18" i="6"/>
  <c r="K8" i="4"/>
  <c r="K37" i="4"/>
  <c r="J37" i="4"/>
  <c r="I68" i="4"/>
  <c r="I37" i="4"/>
  <c r="D14" i="6"/>
  <c r="G14" i="6" s="1"/>
  <c r="D42" i="6"/>
  <c r="F80" i="4"/>
  <c r="E69" i="4"/>
  <c r="P14" i="6"/>
  <c r="D35" i="6"/>
  <c r="D38" i="6"/>
  <c r="D77" i="4"/>
  <c r="K68" i="4"/>
  <c r="F24" i="6"/>
  <c r="F53" i="6"/>
  <c r="E14" i="6"/>
  <c r="D40" i="6"/>
  <c r="E40" i="6"/>
  <c r="E35" i="6"/>
  <c r="F57" i="6"/>
  <c r="E42" i="6"/>
  <c r="F58" i="6"/>
  <c r="E20" i="6"/>
  <c r="Q14" i="6"/>
  <c r="P7" i="6"/>
  <c r="E8" i="6"/>
  <c r="F38" i="6"/>
  <c r="N33" i="6"/>
  <c r="N43" i="6"/>
  <c r="F14" i="6"/>
  <c r="F50" i="6"/>
  <c r="F40" i="6"/>
  <c r="F35" i="6"/>
  <c r="F42" i="6"/>
  <c r="F20" i="6"/>
  <c r="F51" i="6"/>
  <c r="F18" i="6"/>
  <c r="D31" i="6"/>
  <c r="Q7" i="6"/>
  <c r="F8" i="6"/>
  <c r="F45" i="6"/>
  <c r="F22" i="6"/>
  <c r="F52" i="6"/>
  <c r="E31" i="6"/>
  <c r="F55" i="6"/>
  <c r="D24" i="6"/>
  <c r="O14" i="6"/>
  <c r="E38" i="6"/>
  <c r="F31" i="6"/>
  <c r="E24" i="6"/>
  <c r="E22" i="6"/>
  <c r="D18" i="6"/>
  <c r="D20" i="6"/>
  <c r="E58" i="4"/>
  <c r="E88" i="4"/>
  <c r="C58" i="4"/>
  <c r="C88" i="4"/>
  <c r="I67" i="4"/>
  <c r="E56" i="4"/>
  <c r="J67" i="4"/>
  <c r="F58" i="4"/>
  <c r="F88" i="4"/>
  <c r="E77" i="4"/>
  <c r="F77" i="4"/>
  <c r="K67" i="4"/>
  <c r="D58" i="4"/>
  <c r="D88" i="4"/>
  <c r="C52" i="4"/>
  <c r="E53" i="4"/>
  <c r="F57" i="4"/>
  <c r="C57" i="4"/>
  <c r="F56" i="4"/>
  <c r="C54" i="4"/>
  <c r="E57" i="4"/>
  <c r="C56" i="4"/>
  <c r="F53" i="4"/>
  <c r="C55" i="4"/>
  <c r="C21" i="4"/>
  <c r="D56" i="4"/>
  <c r="J8" i="4"/>
  <c r="D55" i="4"/>
  <c r="D52" i="4"/>
  <c r="K11" i="4"/>
  <c r="D54" i="4"/>
  <c r="E55" i="4"/>
  <c r="E52" i="4"/>
  <c r="F55" i="4"/>
  <c r="F52" i="4"/>
  <c r="E14" i="4"/>
  <c r="F14" i="4"/>
  <c r="E21" i="4"/>
  <c r="F21" i="4"/>
  <c r="I11" i="4"/>
  <c r="D21" i="4"/>
  <c r="D57" i="4"/>
  <c r="D53" i="4"/>
  <c r="D14" i="4"/>
  <c r="E54" i="4"/>
  <c r="F54" i="4"/>
  <c r="C14" i="4"/>
  <c r="F104" i="4" l="1"/>
  <c r="E115" i="4"/>
  <c r="E113" i="4"/>
  <c r="F115" i="4"/>
  <c r="F113" i="4"/>
  <c r="G42" i="6"/>
  <c r="I38" i="4"/>
  <c r="D107" i="4"/>
  <c r="C74" i="4"/>
  <c r="D115" i="4"/>
  <c r="D113" i="4"/>
  <c r="G18" i="6"/>
  <c r="H18" i="6" s="1"/>
  <c r="I18" i="6" s="1"/>
  <c r="J18" i="6" s="1"/>
  <c r="E104" i="4"/>
  <c r="D104" i="4"/>
  <c r="C81" i="4"/>
  <c r="C104" i="4"/>
  <c r="J68" i="4"/>
  <c r="E107" i="4"/>
  <c r="J38" i="4"/>
  <c r="F109" i="4"/>
  <c r="K41" i="4"/>
  <c r="F107" i="4"/>
  <c r="K38" i="4"/>
  <c r="I71" i="4"/>
  <c r="I41" i="4"/>
  <c r="D109" i="4"/>
  <c r="G38" i="6"/>
  <c r="G20" i="6"/>
  <c r="H20" i="6" s="1"/>
  <c r="I20" i="6" s="1"/>
  <c r="J20" i="6" s="1"/>
  <c r="G31" i="6"/>
  <c r="H31" i="6" s="1"/>
  <c r="I31" i="6" s="1"/>
  <c r="G35" i="6"/>
  <c r="H35" i="6" s="1"/>
  <c r="G24" i="6"/>
  <c r="H42" i="6"/>
  <c r="I42" i="6" s="1"/>
  <c r="G40" i="6"/>
  <c r="H40" i="6" s="1"/>
  <c r="G22" i="6"/>
  <c r="H22" i="6" s="1"/>
  <c r="H14" i="6"/>
  <c r="I14" i="6" s="1"/>
  <c r="J14" i="6" s="1"/>
  <c r="D81" i="4"/>
  <c r="D74" i="4"/>
  <c r="F74" i="4"/>
  <c r="K71" i="4"/>
  <c r="N35" i="6"/>
  <c r="N37" i="6" s="1"/>
  <c r="N28" i="6"/>
  <c r="E50" i="4"/>
  <c r="E81" i="4"/>
  <c r="E39" i="4"/>
  <c r="E74" i="4"/>
  <c r="C50" i="4"/>
  <c r="F81" i="4"/>
  <c r="C47" i="4"/>
  <c r="D29" i="4"/>
  <c r="D51" i="4"/>
  <c r="D48" i="4"/>
  <c r="D45" i="4"/>
  <c r="D49" i="4"/>
  <c r="D46" i="4"/>
  <c r="F29" i="4"/>
  <c r="F51" i="4"/>
  <c r="F49" i="4"/>
  <c r="F45" i="4"/>
  <c r="F48" i="4"/>
  <c r="F46" i="4"/>
  <c r="J11" i="4"/>
  <c r="E47" i="4"/>
  <c r="C44" i="4"/>
  <c r="C43" i="4"/>
  <c r="C35" i="4"/>
  <c r="C36" i="4"/>
  <c r="C41" i="4"/>
  <c r="C37" i="4"/>
  <c r="C42" i="4"/>
  <c r="C38" i="4"/>
  <c r="C40" i="4"/>
  <c r="D50" i="4"/>
  <c r="I15" i="4"/>
  <c r="E29" i="4"/>
  <c r="E51" i="4"/>
  <c r="E49" i="4"/>
  <c r="E46" i="4"/>
  <c r="E45" i="4"/>
  <c r="E48" i="4"/>
  <c r="E44" i="4"/>
  <c r="E36" i="4"/>
  <c r="E35" i="4"/>
  <c r="E43" i="4"/>
  <c r="E40" i="4"/>
  <c r="E37" i="4"/>
  <c r="E41" i="4"/>
  <c r="E38" i="4"/>
  <c r="E42" i="4"/>
  <c r="K15" i="4"/>
  <c r="K45" i="4" s="1"/>
  <c r="D44" i="4"/>
  <c r="D38" i="4"/>
  <c r="D43" i="4"/>
  <c r="D35" i="4"/>
  <c r="D40" i="4"/>
  <c r="D37" i="4"/>
  <c r="D36" i="4"/>
  <c r="D42" i="4"/>
  <c r="D41" i="4"/>
  <c r="F44" i="4"/>
  <c r="F35" i="4"/>
  <c r="F40" i="4"/>
  <c r="F36" i="4"/>
  <c r="F42" i="4"/>
  <c r="F37" i="4"/>
  <c r="F41" i="4"/>
  <c r="F38" i="4"/>
  <c r="F43" i="4"/>
  <c r="F50" i="4"/>
  <c r="C39" i="4"/>
  <c r="D39" i="4"/>
  <c r="D47" i="4"/>
  <c r="F47" i="4"/>
  <c r="F39" i="4"/>
  <c r="C29" i="4"/>
  <c r="C89" i="4" s="1"/>
  <c r="C51" i="4"/>
  <c r="C46" i="4"/>
  <c r="C45" i="4"/>
  <c r="C48" i="4"/>
  <c r="C49" i="4"/>
  <c r="J71" i="4" l="1"/>
  <c r="J41" i="4"/>
  <c r="E109" i="4"/>
  <c r="I75" i="4"/>
  <c r="I45" i="4"/>
  <c r="K75" i="4"/>
  <c r="J42" i="6"/>
  <c r="H38" i="6"/>
  <c r="I38" i="6" s="1"/>
  <c r="I22" i="6"/>
  <c r="J22" i="6" s="1"/>
  <c r="H24" i="6"/>
  <c r="I24" i="6" s="1"/>
  <c r="I35" i="6"/>
  <c r="J35" i="6" s="1"/>
  <c r="I40" i="6"/>
  <c r="J40" i="6" s="1"/>
  <c r="J31" i="6"/>
  <c r="N36" i="6"/>
  <c r="N39" i="6" s="1"/>
  <c r="E89" i="4"/>
  <c r="F89" i="4"/>
  <c r="D89" i="4"/>
  <c r="K17" i="4"/>
  <c r="I17" i="4"/>
  <c r="J15" i="4"/>
  <c r="D106" i="4" l="1"/>
  <c r="D110" i="4"/>
  <c r="D114" i="4" s="1"/>
  <c r="D116" i="4" s="1"/>
  <c r="D105" i="4"/>
  <c r="F110" i="4"/>
  <c r="F114" i="4" s="1"/>
  <c r="F116" i="4" s="1"/>
  <c r="F105" i="4"/>
  <c r="F106" i="4"/>
  <c r="J75" i="4"/>
  <c r="J45" i="4"/>
  <c r="K47" i="4"/>
  <c r="I47" i="4"/>
  <c r="J38" i="6"/>
  <c r="J24" i="6"/>
  <c r="N20" i="6"/>
  <c r="C4" i="6" s="1"/>
  <c r="F60" i="6"/>
  <c r="G60" i="6"/>
  <c r="H60" i="6"/>
  <c r="I60" i="6"/>
  <c r="J60" i="6"/>
  <c r="Q8" i="6"/>
  <c r="K77" i="4"/>
  <c r="O8" i="6"/>
  <c r="I77" i="4"/>
  <c r="J17" i="4"/>
  <c r="E110" i="4" l="1"/>
  <c r="E114" i="4" s="1"/>
  <c r="E116" i="4" s="1"/>
  <c r="E106" i="4"/>
  <c r="E105" i="4"/>
  <c r="J47" i="4"/>
  <c r="F11" i="6"/>
  <c r="F12" i="6" s="1"/>
  <c r="F9" i="6"/>
  <c r="P8" i="6"/>
  <c r="N12" i="6" s="1"/>
  <c r="J77" i="4"/>
  <c r="D11" i="6"/>
  <c r="D12" i="6" s="1"/>
  <c r="D9" i="6"/>
  <c r="D10" i="6" s="1"/>
  <c r="O12" i="6"/>
  <c r="F47" i="6" l="1"/>
  <c r="Q12" i="6"/>
  <c r="F10" i="6"/>
  <c r="F46" i="6"/>
  <c r="E11" i="6"/>
  <c r="E12" i="6" s="1"/>
  <c r="E9" i="6"/>
  <c r="E10" i="6" s="1"/>
  <c r="P12" i="6"/>
  <c r="N29" i="6" l="1"/>
  <c r="N30" i="6" s="1"/>
  <c r="G10" i="6"/>
  <c r="H10" i="6" s="1"/>
  <c r="G12" i="6"/>
  <c r="C3" i="6" l="1"/>
  <c r="G48" i="6" s="1"/>
  <c r="I10" i="6"/>
  <c r="J10" i="6" s="1"/>
  <c r="I48" i="6"/>
  <c r="J48" i="6"/>
  <c r="F48" i="6"/>
  <c r="F49" i="6" s="1"/>
  <c r="F59" i="6" s="1"/>
  <c r="F61" i="6" s="1"/>
  <c r="H12" i="6"/>
  <c r="H48" i="6" l="1"/>
  <c r="I12" i="6"/>
  <c r="J12" i="6" l="1"/>
  <c r="G39" i="6" l="1"/>
  <c r="G17" i="6"/>
  <c r="G23" i="6"/>
  <c r="G41" i="6"/>
  <c r="G8" i="6"/>
  <c r="H8" i="6" s="1"/>
  <c r="G34" i="6"/>
  <c r="G19" i="6"/>
  <c r="G51" i="6" s="1"/>
  <c r="G21" i="6"/>
  <c r="G52" i="6" s="1"/>
  <c r="G30" i="6"/>
  <c r="G55" i="6" s="1"/>
  <c r="G37" i="6"/>
  <c r="G32" i="6" l="1"/>
  <c r="H32" i="6" s="1"/>
  <c r="H37" i="6"/>
  <c r="G53" i="6"/>
  <c r="G57" i="6"/>
  <c r="G7" i="6"/>
  <c r="G11" i="6" s="1"/>
  <c r="G47" i="6" s="1"/>
  <c r="G49" i="6" s="1"/>
  <c r="G58" i="6"/>
  <c r="I8" i="6"/>
  <c r="J8" i="6" s="1"/>
  <c r="H19" i="6"/>
  <c r="G56" i="6" l="1"/>
  <c r="H30" i="6"/>
  <c r="I30" i="6" s="1"/>
  <c r="I55" i="6" s="1"/>
  <c r="H56" i="6"/>
  <c r="H17" i="6"/>
  <c r="I17" i="6" s="1"/>
  <c r="H7" i="6"/>
  <c r="H11" i="6" s="1"/>
  <c r="H47" i="6" s="1"/>
  <c r="H49" i="6" s="1"/>
  <c r="H21" i="6"/>
  <c r="H52" i="6" s="1"/>
  <c r="H34" i="6"/>
  <c r="I34" i="6" s="1"/>
  <c r="G13" i="6"/>
  <c r="G50" i="6" s="1"/>
  <c r="G9" i="6"/>
  <c r="G46" i="6" s="1"/>
  <c r="H23" i="6"/>
  <c r="G45" i="6"/>
  <c r="I19" i="6"/>
  <c r="H51" i="6"/>
  <c r="H41" i="6"/>
  <c r="H39" i="6"/>
  <c r="I39" i="6" s="1"/>
  <c r="I32" i="6"/>
  <c r="H45" i="6" l="1"/>
  <c r="H13" i="6"/>
  <c r="H50" i="6" s="1"/>
  <c r="G59" i="6"/>
  <c r="G61" i="6" s="1"/>
  <c r="H9" i="6"/>
  <c r="H46" i="6" s="1"/>
  <c r="J30" i="6"/>
  <c r="J55" i="6" s="1"/>
  <c r="I37" i="6"/>
  <c r="J37" i="6" s="1"/>
  <c r="I7" i="6"/>
  <c r="J7" i="6" s="1"/>
  <c r="H55" i="6"/>
  <c r="J17" i="6"/>
  <c r="I21" i="6"/>
  <c r="J34" i="6"/>
  <c r="J57" i="6" s="1"/>
  <c r="J39" i="6"/>
  <c r="H57" i="6"/>
  <c r="I57" i="6"/>
  <c r="H53" i="6"/>
  <c r="I23" i="6"/>
  <c r="I41" i="6"/>
  <c r="I58" i="6" s="1"/>
  <c r="H58" i="6"/>
  <c r="J19" i="6"/>
  <c r="J51" i="6" s="1"/>
  <c r="I51" i="6"/>
  <c r="J32" i="6"/>
  <c r="J56" i="6" s="1"/>
  <c r="I56" i="6"/>
  <c r="I45" i="6" l="1"/>
  <c r="I9" i="6"/>
  <c r="I46" i="6" s="1"/>
  <c r="I13" i="6"/>
  <c r="I50" i="6" s="1"/>
  <c r="I11" i="6"/>
  <c r="I47" i="6" s="1"/>
  <c r="I49" i="6" s="1"/>
  <c r="J21" i="6"/>
  <c r="J52" i="6" s="1"/>
  <c r="I52" i="6"/>
  <c r="H59" i="6"/>
  <c r="H61" i="6" s="1"/>
  <c r="J23" i="6"/>
  <c r="J53" i="6" s="1"/>
  <c r="I53" i="6"/>
  <c r="J41" i="6"/>
  <c r="J58" i="6" s="1"/>
  <c r="J11" i="6"/>
  <c r="J47" i="6" s="1"/>
  <c r="J49" i="6" s="1"/>
  <c r="J45" i="6"/>
  <c r="J9" i="6"/>
  <c r="J46" i="6" s="1"/>
  <c r="J13" i="6"/>
  <c r="J50" i="6" s="1"/>
  <c r="I59" i="6" l="1"/>
  <c r="I61" i="6" s="1"/>
  <c r="J59" i="6"/>
  <c r="J61" i="6" l="1"/>
  <c r="C62" i="6" s="1"/>
  <c r="N21" i="6"/>
  <c r="N22" i="6" s="1"/>
  <c r="N23" i="6" s="1"/>
  <c r="N42" i="6" l="1"/>
  <c r="N44" i="6" s="1"/>
  <c r="N46" i="6" s="1"/>
  <c r="H1" i="6" s="1"/>
  <c r="H2" i="6" l="1"/>
  <c r="D7" i="9" s="1"/>
  <c r="D6" i="9"/>
</calcChain>
</file>

<file path=xl/sharedStrings.xml><?xml version="1.0" encoding="utf-8"?>
<sst xmlns="http://schemas.openxmlformats.org/spreadsheetml/2006/main" count="521" uniqueCount="268">
  <si>
    <t>Consolidated Statements of Income - USD ($) shares in Millions, $ in Millions</t>
  </si>
  <si>
    <t>12 Months Ended</t>
  </si>
  <si>
    <t>Dec. 31, 2019</t>
  </si>
  <si>
    <t>Dec. 31, 2018</t>
  </si>
  <si>
    <t>Dec. 31, 2017</t>
  </si>
  <si>
    <t>Operating Revenues</t>
  </si>
  <si>
    <t>Operating Expenses</t>
  </si>
  <si>
    <t>Selling, general and administrative expense (including net gain/(loss) on sale of divested businesses of $(94), $0 and $1,774, respectively)</t>
  </si>
  <si>
    <t>Depreciation and amortization expense</t>
  </si>
  <si>
    <t>Media goodwill impairment</t>
  </si>
  <si>
    <t>Total Operating Expenses</t>
  </si>
  <si>
    <t>Operating Income</t>
  </si>
  <si>
    <t>Equity in losses of unconsolidated businesses</t>
  </si>
  <si>
    <t>Other income (expense), net</t>
  </si>
  <si>
    <t>Interest expense</t>
  </si>
  <si>
    <t>Income Before (Provision) Benefit For Income Taxes</t>
  </si>
  <si>
    <t>(Provision) benefit for income taxes</t>
  </si>
  <si>
    <t>Net Income</t>
  </si>
  <si>
    <t>Net income attributable to noncontrolling interests</t>
  </si>
  <si>
    <t>Net income attributable to Verizon</t>
  </si>
  <si>
    <t>Basic Earnings Per Common Share</t>
  </si>
  <si>
    <t>Net income attributable to Verizon (in USD per share)</t>
  </si>
  <si>
    <t>Weighted-average shares outstanding (in shares)</t>
  </si>
  <si>
    <t>Diluted Earnings Per Common Share</t>
  </si>
  <si>
    <t>Service and other</t>
  </si>
  <si>
    <t>Service</t>
  </si>
  <si>
    <t>Cost of services and equipment</t>
  </si>
  <si>
    <t>Wireless equipment</t>
  </si>
  <si>
    <t>Consolidated Balance Sheets - USD ($) $ in Millions</t>
  </si>
  <si>
    <t>Current assets</t>
  </si>
  <si>
    <t>Cash and cash equivalents</t>
  </si>
  <si>
    <t>Accounts receivable, net of allowances of $733 and $765</t>
  </si>
  <si>
    <t>Inventories</t>
  </si>
  <si>
    <t>Prepaid expenses and other</t>
  </si>
  <si>
    <t>Total current assets</t>
  </si>
  <si>
    <t>Property, plant and equipment</t>
  </si>
  <si>
    <t>Less accumulated depreciation</t>
  </si>
  <si>
    <t>Property, plant and equipment, net</t>
  </si>
  <si>
    <t>Investments in unconsolidated businesses</t>
  </si>
  <si>
    <t>Wireless licenses</t>
  </si>
  <si>
    <t>Goodwill</t>
  </si>
  <si>
    <t>Other intangible assets, net</t>
  </si>
  <si>
    <t>Operating lease right-of-use assets</t>
  </si>
  <si>
    <t>Other assets</t>
  </si>
  <si>
    <t>Total assets</t>
  </si>
  <si>
    <t>Current liabilities</t>
  </si>
  <si>
    <t>Debt maturing within one year</t>
  </si>
  <si>
    <t>Accounts payable and accrued liabilities</t>
  </si>
  <si>
    <t>Current operating lease liabilities</t>
  </si>
  <si>
    <t>Other current liabilities</t>
  </si>
  <si>
    <t>Total current liabilities</t>
  </si>
  <si>
    <t>Long-term debt</t>
  </si>
  <si>
    <t>Employee benefit obligations</t>
  </si>
  <si>
    <t>Deferred income taxes</t>
  </si>
  <si>
    <t>Non-current operating lease liabilities</t>
  </si>
  <si>
    <t>Other liabilities</t>
  </si>
  <si>
    <t>Total long-term liabilities</t>
  </si>
  <si>
    <t>Equity</t>
  </si>
  <si>
    <t>Series preferred stock ($0.10 par value; 250,000,000 shares authorized; none issued)</t>
  </si>
  <si>
    <t>Common stock ($0.10 par value; 6,250,000,000 shares authorized in each period; 4,291,433,646 issued in each period)</t>
  </si>
  <si>
    <t>Additional paid in capital</t>
  </si>
  <si>
    <t>Retained earnings</t>
  </si>
  <si>
    <t>Accumulated other comprehensive income</t>
  </si>
  <si>
    <t>Common stock in treasury, at cost (155,605,527 and 159,400,267 shares outstanding)</t>
  </si>
  <si>
    <t>Deferred compensation – employee stock ownership plans and other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</si>
  <si>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</si>
  <si>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</si>
  <si>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</si>
  <si>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</si>
  <si>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</si>
  <si>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Adjustments to reconcile net income to net cash provided by operating activities:</t>
  </si>
  <si>
    <t>Employee retirement benefits</t>
  </si>
  <si>
    <t>Provision for uncollectible accounts</t>
  </si>
  <si>
    <t>Equity in losses of unconsolidated businesses, net of dividends received</t>
  </si>
  <si>
    <t>Net loss (gain) on sale of divested businesses</t>
  </si>
  <si>
    <t>Changes in current assets and liabilities, net of effects from acquisition/disposition of businesses:</t>
  </si>
  <si>
    <t>Accounts receivable</t>
  </si>
  <si>
    <t>Accounts payable and accrued liabilities and Other current liabilities</t>
  </si>
  <si>
    <t>Discretionary employee benefits contributions</t>
  </si>
  <si>
    <t>Other, net</t>
  </si>
  <si>
    <t>Net cash provided by operating activities</t>
  </si>
  <si>
    <t>Cash Flows from Investing Activities</t>
  </si>
  <si>
    <t>Capital expenditures (including capitalized software)</t>
  </si>
  <si>
    <t>Acquisitions of businesses, net of cash acquired</t>
  </si>
  <si>
    <t>Acquisitions of wireless licenses</t>
  </si>
  <si>
    <t>Proceeds from dispositions of businesses</t>
  </si>
  <si>
    <t>Net cash used in investing activities</t>
  </si>
  <si>
    <t>Cash Flows from Financing Activities</t>
  </si>
  <si>
    <t>Proceeds from long-term borrowings</t>
  </si>
  <si>
    <t>Proceeds from asset-backed long-term borrowings</t>
  </si>
  <si>
    <t>Repayments of long-term borrowings and finance lease obligations</t>
  </si>
  <si>
    <t>Repayments of asset-backed long-term borrowings</t>
  </si>
  <si>
    <t>Dividends paid</t>
  </si>
  <si>
    <t>Net cash used in financing activities</t>
  </si>
  <si>
    <t>Increase (decrease) in cash, cash equivalents and restricted cash</t>
  </si>
  <si>
    <t>Cash, cash equivalents and restricted cash, beginning of period</t>
  </si>
  <si>
    <t>Cash, cash equivalents and restricted cash, end of period</t>
  </si>
  <si>
    <t>$ in Millions</t>
  </si>
  <si>
    <t>Property, plant, and equipment, net</t>
  </si>
  <si>
    <t>Equity and Other Investments</t>
  </si>
  <si>
    <t>Goodwill and other intangible assets</t>
  </si>
  <si>
    <t>Total Current liabilities</t>
  </si>
  <si>
    <t>Long-term Debt</t>
  </si>
  <si>
    <t>Other long term liabilities</t>
  </si>
  <si>
    <t>Preferred Stock</t>
  </si>
  <si>
    <t>Common Stock</t>
  </si>
  <si>
    <t xml:space="preserve">Treasury stock </t>
  </si>
  <si>
    <t>Revenue</t>
  </si>
  <si>
    <t>Gross profit</t>
  </si>
  <si>
    <t>Earnings per share (basic)</t>
  </si>
  <si>
    <t>Earnings per share (diluted)</t>
  </si>
  <si>
    <t>Net cash from operating activities</t>
  </si>
  <si>
    <t>Net cash from investing activities</t>
  </si>
  <si>
    <t>Net cash from financing activities</t>
  </si>
  <si>
    <t>Increase (decr) in Cash &amp; Equiv</t>
  </si>
  <si>
    <t>Dividends per Share</t>
  </si>
  <si>
    <t>Market value per share</t>
  </si>
  <si>
    <t xml:space="preserve">Capital expenditures  </t>
  </si>
  <si>
    <t>Balance Sheet</t>
  </si>
  <si>
    <t>Income Statement</t>
  </si>
  <si>
    <t>Cash Flows</t>
  </si>
  <si>
    <t>Inventory</t>
  </si>
  <si>
    <t>Cash &amp; Cash Equivalents</t>
  </si>
  <si>
    <t>Accounts Receivable, net</t>
  </si>
  <si>
    <t>Prepaid Expenses &amp; Other current Assets</t>
  </si>
  <si>
    <t>Total Current Assets</t>
  </si>
  <si>
    <t>Accounts Payable</t>
  </si>
  <si>
    <t>Other Current Liabilities</t>
  </si>
  <si>
    <t>Accumulated Other Comprehensive Income</t>
  </si>
  <si>
    <t>Non-Controlling Interest</t>
  </si>
  <si>
    <t>Other Relevant Data</t>
  </si>
  <si>
    <t>Dec. 31, 2016</t>
  </si>
  <si>
    <t>Total Long Term Liabilities</t>
  </si>
  <si>
    <t>Total Liabilities</t>
  </si>
  <si>
    <t>Retained earnings &amp; Additional Paid in Capital</t>
  </si>
  <si>
    <t>Total Liabilities &amp; Equity</t>
  </si>
  <si>
    <t>Cost of goods sold / Cost of revenue</t>
  </si>
  <si>
    <t>Other income / expenses</t>
  </si>
  <si>
    <t>Income from Continuing Oprtn.</t>
  </si>
  <si>
    <t># of common shares outstanding</t>
  </si>
  <si>
    <t>Selling, General, &amp; Admin. Costs</t>
  </si>
  <si>
    <t>Provision for Income taxes</t>
  </si>
  <si>
    <t>Net income noncontrolling interests</t>
  </si>
  <si>
    <t>Cash at the Beginning of Period</t>
  </si>
  <si>
    <t>Cash at the End of Period</t>
  </si>
  <si>
    <t xml:space="preserve">Common Sized Financial Statements </t>
  </si>
  <si>
    <t>Trend Analysis of Financial Statements</t>
  </si>
  <si>
    <t>Target Price</t>
  </si>
  <si>
    <t>Upside</t>
  </si>
  <si>
    <t>Share Price</t>
  </si>
  <si>
    <t>Outstanding Shares (in MM)</t>
  </si>
  <si>
    <t>Tax Rate</t>
  </si>
  <si>
    <t>WACC</t>
  </si>
  <si>
    <t>Operating Data (in $mm)</t>
  </si>
  <si>
    <t>2016A</t>
  </si>
  <si>
    <t>2017A</t>
  </si>
  <si>
    <t>2018A</t>
  </si>
  <si>
    <t>2019A</t>
  </si>
  <si>
    <t>2020E</t>
  </si>
  <si>
    <t>2021E</t>
  </si>
  <si>
    <t>2022E</t>
  </si>
  <si>
    <t>2023E</t>
  </si>
  <si>
    <t>Growth Rate</t>
  </si>
  <si>
    <t>EBITDA</t>
  </si>
  <si>
    <t>Taxes</t>
  </si>
  <si>
    <t>Margin</t>
  </si>
  <si>
    <t>Interest Expense</t>
  </si>
  <si>
    <t>EBIT</t>
  </si>
  <si>
    <t>D&amp;A</t>
  </si>
  <si>
    <t>Depreciation &amp; Amortization</t>
  </si>
  <si>
    <t>Purchase PPE</t>
  </si>
  <si>
    <t>% of Revenue</t>
  </si>
  <si>
    <t>Balance Sheet and Income Stament</t>
  </si>
  <si>
    <t>Cash</t>
  </si>
  <si>
    <t>Terminal value</t>
  </si>
  <si>
    <t>Growth</t>
  </si>
  <si>
    <t>Perpetuity Growth</t>
  </si>
  <si>
    <t>Accounts Receivable</t>
  </si>
  <si>
    <t>Long Term Growth Rate</t>
  </si>
  <si>
    <t xml:space="preserve">Free Cash Flow </t>
  </si>
  <si>
    <t>Prepaid Expenses</t>
  </si>
  <si>
    <t>Present Value of Terminal Value</t>
  </si>
  <si>
    <t>Other Short-term receivables</t>
  </si>
  <si>
    <t xml:space="preserve">Other liquid assets </t>
  </si>
  <si>
    <t>Diluted Shares Outstanding</t>
  </si>
  <si>
    <t>Cost of Debt</t>
  </si>
  <si>
    <t>After-tax Cos of Debt</t>
  </si>
  <si>
    <t>Cost of Equity</t>
  </si>
  <si>
    <t>Accrued Expenses</t>
  </si>
  <si>
    <t>Total Debt</t>
  </si>
  <si>
    <t>Other Short term liabilities</t>
  </si>
  <si>
    <t>Total Equity</t>
  </si>
  <si>
    <t>Total Capital</t>
  </si>
  <si>
    <t>Debt Weighting</t>
  </si>
  <si>
    <t>Debt</t>
  </si>
  <si>
    <t>Equity Weighting</t>
  </si>
  <si>
    <t>Other Long term liabilities</t>
  </si>
  <si>
    <t xml:space="preserve">Gross PP&amp;E </t>
  </si>
  <si>
    <t>CAPEX Growth</t>
  </si>
  <si>
    <t>Enterprise Value</t>
  </si>
  <si>
    <t>2019E</t>
  </si>
  <si>
    <t>Less: Net debt</t>
  </si>
  <si>
    <t>Free Cash Flow Calculations</t>
  </si>
  <si>
    <t>Equity Value</t>
  </si>
  <si>
    <t>Revenues</t>
  </si>
  <si>
    <t>Diluted Share Outstanding</t>
  </si>
  <si>
    <t>EBIAT</t>
  </si>
  <si>
    <t xml:space="preserve">Accounts Receivable </t>
  </si>
  <si>
    <t>Other receivables</t>
  </si>
  <si>
    <t>Other Short Term liabilities</t>
  </si>
  <si>
    <t>Capital Expenditures</t>
  </si>
  <si>
    <t>Unlevered Free Cash Flow</t>
  </si>
  <si>
    <t>Discount Rate (WACC)</t>
  </si>
  <si>
    <t>Present Value of free cash flows</t>
  </si>
  <si>
    <t>Sum of present values of FCFs</t>
  </si>
  <si>
    <t>Cases</t>
  </si>
  <si>
    <t>2016</t>
  </si>
  <si>
    <t>2017</t>
  </si>
  <si>
    <t>2018</t>
  </si>
  <si>
    <t>2019</t>
  </si>
  <si>
    <t>Financial Analysis and DCF Summary</t>
  </si>
  <si>
    <t>Ticker:</t>
  </si>
  <si>
    <t>Company Name:</t>
  </si>
  <si>
    <t>Share Price:</t>
  </si>
  <si>
    <t>Target Price:</t>
  </si>
  <si>
    <t>Expected Performance:</t>
  </si>
  <si>
    <t>Scenario:</t>
  </si>
  <si>
    <t>VZ</t>
  </si>
  <si>
    <t>Verizon</t>
  </si>
  <si>
    <t>Base</t>
  </si>
  <si>
    <t>Slightly Above Average</t>
  </si>
  <si>
    <t>Above Average</t>
  </si>
  <si>
    <t>Slightly Below Average</t>
  </si>
  <si>
    <t>Below Average</t>
  </si>
  <si>
    <t>Column Labels</t>
  </si>
  <si>
    <t>Grand Total</t>
  </si>
  <si>
    <t>Commonsized Balance Sheet</t>
  </si>
  <si>
    <t>Trend Analysis Balance Sheet</t>
  </si>
  <si>
    <t>Other Inputs:</t>
  </si>
  <si>
    <t>(1-Above Avg., 2-Slightly Above Avg., 3-Base, 4-Slightly Below Avg., 5-Below Average)</t>
  </si>
  <si>
    <t>Ratios</t>
  </si>
  <si>
    <t>Working Capital</t>
  </si>
  <si>
    <t>Current Ratio</t>
  </si>
  <si>
    <t>Quick Ratio</t>
  </si>
  <si>
    <t>Accounts Receivable Turnover</t>
  </si>
  <si>
    <t>Days sales outstanding</t>
  </si>
  <si>
    <t>Inventory Turnover</t>
  </si>
  <si>
    <t>Days in Inventory</t>
  </si>
  <si>
    <t>Accounts Payable Turnover</t>
  </si>
  <si>
    <t>Days Payable Outstanding</t>
  </si>
  <si>
    <t>Cash Conversion Cycle</t>
  </si>
  <si>
    <t>PPE Turnover</t>
  </si>
  <si>
    <t>Debt-to-Assets ratio (Debt ratio)</t>
  </si>
  <si>
    <t xml:space="preserve">Return on Equity (ROE)  </t>
  </si>
  <si>
    <t>Return on Assets (ROA)</t>
  </si>
  <si>
    <t>Gross Profit Rate  (GP Margin)</t>
  </si>
  <si>
    <t>Operating Margin</t>
  </si>
  <si>
    <t>EPS (Earnings Per Share)</t>
  </si>
  <si>
    <t>Asset Turnover</t>
  </si>
  <si>
    <t>ROA   (ROS X Asset Turnover)</t>
  </si>
  <si>
    <t>ROE   (ROA X FL)</t>
  </si>
  <si>
    <t>Net Profit Margin (ROS)</t>
  </si>
  <si>
    <t>DuPont Analysis of ROE  =  ROS  x  Asset turnover  =  ROA  x  Financial Leverage  =  ROE</t>
  </si>
  <si>
    <t>Financial Leverage (FL)</t>
  </si>
  <si>
    <t>Dividends per share</t>
  </si>
  <si>
    <t xml:space="preserve">Operating Expense Margin         </t>
  </si>
  <si>
    <t>Values</t>
  </si>
  <si>
    <t>A2016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</si>
</sst>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&quot;$&quot;* #,##0_);_(&quot;$&quot;* \(#,##0\);_(&quot;$&quot;* &quot;-&quot;??_);_(@_)"/>
    <numFmt numFmtId="167" formatCode="yyyy"/>
    <numFmt numFmtId="168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B387AE"/>
      <name val="Calibri"/>
      <family val="2"/>
      <scheme val="minor"/>
    </font>
    <font>
      <sz val="11"/>
      <color rgb="FFAD7FA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D7FA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7FA8"/>
        <bgColor indexed="64"/>
      </patternFill>
    </fill>
    <fill>
      <patternFill patternType="solid">
        <fgColor rgb="FFF5B960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87AE"/>
        <bgColor indexed="64"/>
      </patternFill>
    </fill>
    <fill>
      <patternFill patternType="solid">
        <fgColor rgb="FF5C35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2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 style="thin">
        <color theme="4" tint="0.39997558519241921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10" fillId="0" borderId="3" xfId="0" applyNumberFormat="1" applyFont="1" applyBorder="1" applyAlignment="1">
      <alignment vertical="top" wrapText="1"/>
    </xf>
    <xf numFmtId="44" fontId="10" fillId="0" borderId="4" xfId="0" applyNumberFormat="1" applyFont="1" applyBorder="1" applyAlignment="1">
      <alignment vertical="top" wrapText="1"/>
    </xf>
    <xf numFmtId="0" fontId="0" fillId="2" borderId="0" xfId="0" applyFill="1"/>
    <xf numFmtId="44" fontId="5" fillId="5" borderId="0" xfId="0" applyNumberFormat="1" applyFont="1" applyFill="1"/>
    <xf numFmtId="0" fontId="0" fillId="5" borderId="0" xfId="0" applyFill="1"/>
    <xf numFmtId="44" fontId="7" fillId="5" borderId="0" xfId="0" applyNumberFormat="1" applyFont="1" applyFill="1"/>
    <xf numFmtId="44" fontId="10" fillId="7" borderId="3" xfId="0" applyNumberFormat="1" applyFont="1" applyFill="1" applyBorder="1" applyAlignment="1">
      <alignment vertical="top" wrapText="1"/>
    </xf>
    <xf numFmtId="44" fontId="5" fillId="5" borderId="15" xfId="0" applyNumberFormat="1" applyFont="1" applyFill="1" applyBorder="1"/>
    <xf numFmtId="44" fontId="5" fillId="5" borderId="16" xfId="0" applyNumberFormat="1" applyFont="1" applyFill="1" applyBorder="1"/>
    <xf numFmtId="44" fontId="0" fillId="5" borderId="0" xfId="0" applyNumberFormat="1" applyFill="1" applyBorder="1"/>
    <xf numFmtId="44" fontId="0" fillId="5" borderId="17" xfId="0" applyNumberFormat="1" applyFill="1" applyBorder="1"/>
    <xf numFmtId="44" fontId="6" fillId="5" borderId="12" xfId="0" applyNumberFormat="1" applyFont="1" applyFill="1" applyBorder="1"/>
    <xf numFmtId="44" fontId="4" fillId="6" borderId="5" xfId="0" applyNumberFormat="1" applyFont="1" applyFill="1" applyBorder="1"/>
    <xf numFmtId="44" fontId="8" fillId="5" borderId="0" xfId="0" applyNumberFormat="1" applyFont="1" applyFill="1" applyBorder="1"/>
    <xf numFmtId="44" fontId="6" fillId="5" borderId="18" xfId="0" applyNumberFormat="1" applyFont="1" applyFill="1" applyBorder="1"/>
    <xf numFmtId="44" fontId="11" fillId="6" borderId="2" xfId="0" applyNumberFormat="1" applyFont="1" applyFill="1" applyBorder="1"/>
    <xf numFmtId="37" fontId="13" fillId="0" borderId="3" xfId="0" applyNumberFormat="1" applyFont="1" applyBorder="1" applyAlignment="1">
      <alignment horizontal="right" vertical="top"/>
    </xf>
    <xf numFmtId="37" fontId="13" fillId="0" borderId="11" xfId="0" applyNumberFormat="1" applyFont="1" applyBorder="1" applyAlignment="1">
      <alignment horizontal="right" vertical="top"/>
    </xf>
    <xf numFmtId="44" fontId="12" fillId="2" borderId="10" xfId="0" applyNumberFormat="1" applyFont="1" applyFill="1" applyBorder="1"/>
    <xf numFmtId="164" fontId="15" fillId="7" borderId="7" xfId="0" applyNumberFormat="1" applyFont="1" applyFill="1" applyBorder="1" applyAlignment="1">
      <alignment horizontal="right" vertical="top"/>
    </xf>
    <xf numFmtId="164" fontId="6" fillId="7" borderId="3" xfId="0" applyNumberFormat="1" applyFont="1" applyFill="1" applyBorder="1" applyAlignment="1">
      <alignment horizontal="right" vertical="top"/>
    </xf>
    <xf numFmtId="44" fontId="10" fillId="0" borderId="3" xfId="0" applyNumberFormat="1" applyFont="1" applyBorder="1"/>
    <xf numFmtId="44" fontId="10" fillId="0" borderId="4" xfId="0" applyNumberFormat="1" applyFont="1" applyBorder="1"/>
    <xf numFmtId="44" fontId="10" fillId="7" borderId="11" xfId="0" applyNumberFormat="1" applyFont="1" applyFill="1" applyBorder="1"/>
    <xf numFmtId="165" fontId="13" fillId="0" borderId="13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37" fontId="13" fillId="7" borderId="3" xfId="0" applyNumberFormat="1" applyFont="1" applyFill="1" applyBorder="1" applyAlignment="1">
      <alignment horizontal="center" vertical="center"/>
    </xf>
    <xf numFmtId="37" fontId="13" fillId="0" borderId="3" xfId="0" applyNumberFormat="1" applyFont="1" applyBorder="1" applyAlignment="1">
      <alignment horizontal="center" vertical="center"/>
    </xf>
    <xf numFmtId="44" fontId="10" fillId="5" borderId="12" xfId="0" applyNumberFormat="1" applyFont="1" applyFill="1" applyBorder="1" applyAlignment="1">
      <alignment vertical="top" wrapText="1"/>
    </xf>
    <xf numFmtId="44" fontId="10" fillId="5" borderId="0" xfId="0" applyNumberFormat="1" applyFont="1" applyFill="1" applyBorder="1"/>
    <xf numFmtId="44" fontId="10" fillId="5" borderId="17" xfId="0" applyNumberFormat="1" applyFont="1" applyFill="1" applyBorder="1"/>
    <xf numFmtId="44" fontId="6" fillId="6" borderId="5" xfId="0" applyNumberFormat="1" applyFont="1" applyFill="1" applyBorder="1"/>
    <xf numFmtId="44" fontId="10" fillId="5" borderId="15" xfId="0" applyNumberFormat="1" applyFont="1" applyFill="1" applyBorder="1"/>
    <xf numFmtId="44" fontId="10" fillId="5" borderId="16" xfId="0" applyNumberFormat="1" applyFont="1" applyFill="1" applyBorder="1"/>
    <xf numFmtId="3" fontId="14" fillId="0" borderId="3" xfId="0" applyNumberFormat="1" applyFont="1" applyBorder="1" applyAlignment="1">
      <alignment vertical="center" wrapText="1"/>
    </xf>
    <xf numFmtId="44" fontId="10" fillId="0" borderId="3" xfId="0" applyNumberFormat="1" applyFont="1" applyBorder="1" applyAlignment="1">
      <alignment vertical="center" wrapText="1"/>
    </xf>
    <xf numFmtId="37" fontId="13" fillId="0" borderId="3" xfId="0" applyNumberFormat="1" applyFont="1" applyBorder="1" applyAlignment="1">
      <alignment vertical="center"/>
    </xf>
    <xf numFmtId="44" fontId="10" fillId="0" borderId="4" xfId="0" applyNumberFormat="1" applyFont="1" applyBorder="1" applyAlignment="1">
      <alignment wrapText="1"/>
    </xf>
    <xf numFmtId="44" fontId="10" fillId="0" borderId="4" xfId="0" applyNumberFormat="1" applyFont="1" applyBorder="1" applyAlignment="1">
      <alignment vertical="center"/>
    </xf>
    <xf numFmtId="167" fontId="12" fillId="6" borderId="2" xfId="0" applyNumberFormat="1" applyFont="1" applyFill="1" applyBorder="1" applyAlignment="1">
      <alignment horizontal="center"/>
    </xf>
    <xf numFmtId="44" fontId="8" fillId="5" borderId="19" xfId="0" applyNumberFormat="1" applyFont="1" applyFill="1" applyBorder="1"/>
    <xf numFmtId="164" fontId="13" fillId="7" borderId="3" xfId="0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horizontal="right" vertical="top"/>
    </xf>
    <xf numFmtId="166" fontId="13" fillId="0" borderId="3" xfId="1" applyNumberFormat="1" applyFont="1" applyBorder="1" applyAlignment="1">
      <alignment horizontal="right" vertical="top"/>
    </xf>
    <xf numFmtId="166" fontId="13" fillId="0" borderId="4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right" vertical="top"/>
    </xf>
    <xf numFmtId="166" fontId="13" fillId="0" borderId="10" xfId="1" applyNumberFormat="1" applyFont="1" applyBorder="1" applyAlignment="1">
      <alignment horizontal="right" vertical="top"/>
    </xf>
    <xf numFmtId="166" fontId="14" fillId="0" borderId="3" xfId="1" applyNumberFormat="1" applyFont="1" applyBorder="1" applyAlignment="1">
      <alignment horizontal="right" vertical="top"/>
    </xf>
    <xf numFmtId="166" fontId="6" fillId="7" borderId="4" xfId="1" applyNumberFormat="1" applyFont="1" applyFill="1" applyBorder="1"/>
    <xf numFmtId="166" fontId="6" fillId="7" borderId="8" xfId="1" applyNumberFormat="1" applyFont="1" applyFill="1" applyBorder="1"/>
    <xf numFmtId="166" fontId="6" fillId="7" borderId="20" xfId="1" applyNumberFormat="1" applyFont="1" applyFill="1" applyBorder="1"/>
    <xf numFmtId="0" fontId="2" fillId="0" borderId="0" xfId="0" applyFont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166" fontId="9" fillId="0" borderId="7" xfId="1" applyNumberFormat="1" applyFont="1" applyBorder="1" applyAlignment="1">
      <alignment vertical="center" wrapText="1"/>
    </xf>
    <xf numFmtId="166" fontId="6" fillId="7" borderId="7" xfId="1" applyNumberFormat="1" applyFont="1" applyFill="1" applyBorder="1" applyAlignment="1">
      <alignment horizontal="right" vertical="top"/>
    </xf>
    <xf numFmtId="166" fontId="16" fillId="0" borderId="7" xfId="1" applyNumberFormat="1" applyFont="1" applyBorder="1" applyAlignment="1">
      <alignment horizontal="right" vertical="center"/>
    </xf>
    <xf numFmtId="166" fontId="15" fillId="7" borderId="9" xfId="1" applyNumberFormat="1" applyFont="1" applyFill="1" applyBorder="1" applyAlignment="1">
      <alignment horizontal="right" vertical="top"/>
    </xf>
    <xf numFmtId="44" fontId="13" fillId="0" borderId="13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0" fontId="0" fillId="0" borderId="0" xfId="0"/>
    <xf numFmtId="44" fontId="6" fillId="5" borderId="21" xfId="0" applyNumberFormat="1" applyFont="1" applyFill="1" applyBorder="1" applyAlignment="1"/>
    <xf numFmtId="0" fontId="0" fillId="5" borderId="21" xfId="0" applyFill="1" applyBorder="1"/>
    <xf numFmtId="44" fontId="4" fillId="5" borderId="22" xfId="0" applyNumberFormat="1" applyFont="1" applyFill="1" applyBorder="1"/>
    <xf numFmtId="0" fontId="0" fillId="5" borderId="19" xfId="0" applyFill="1" applyBorder="1"/>
    <xf numFmtId="10" fontId="13" fillId="7" borderId="3" xfId="2" applyNumberFormat="1" applyFont="1" applyFill="1" applyBorder="1" applyAlignment="1">
      <alignment horizontal="right" vertical="top"/>
    </xf>
    <xf numFmtId="10" fontId="13" fillId="0" borderId="3" xfId="2" applyNumberFormat="1" applyFont="1" applyBorder="1" applyAlignment="1">
      <alignment horizontal="right" vertical="top"/>
    </xf>
    <xf numFmtId="10" fontId="13" fillId="0" borderId="10" xfId="2" applyNumberFormat="1" applyFont="1" applyBorder="1" applyAlignment="1">
      <alignment horizontal="right" vertical="top"/>
    </xf>
    <xf numFmtId="10" fontId="6" fillId="7" borderId="8" xfId="2" applyNumberFormat="1" applyFont="1" applyFill="1" applyBorder="1"/>
    <xf numFmtId="10" fontId="13" fillId="7" borderId="10" xfId="2" applyNumberFormat="1" applyFont="1" applyFill="1" applyBorder="1" applyAlignment="1">
      <alignment horizontal="right" vertical="top"/>
    </xf>
    <xf numFmtId="10" fontId="6" fillId="7" borderId="23" xfId="2" applyNumberFormat="1" applyFont="1" applyFill="1" applyBorder="1"/>
    <xf numFmtId="10" fontId="15" fillId="7" borderId="3" xfId="2" applyNumberFormat="1" applyFont="1" applyFill="1" applyBorder="1" applyAlignment="1">
      <alignment horizontal="right" vertical="top"/>
    </xf>
    <xf numFmtId="10" fontId="15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10" fontId="13" fillId="0" borderId="6" xfId="2" applyNumberFormat="1" applyFont="1" applyFill="1" applyBorder="1" applyAlignment="1">
      <alignment horizontal="right" vertical="top"/>
    </xf>
    <xf numFmtId="10" fontId="15" fillId="7" borderId="9" xfId="2" applyNumberFormat="1" applyFont="1" applyFill="1" applyBorder="1" applyAlignment="1">
      <alignment horizontal="right" vertical="top"/>
    </xf>
    <xf numFmtId="2" fontId="13" fillId="0" borderId="3" xfId="1" applyNumberFormat="1" applyFont="1" applyBorder="1" applyAlignment="1">
      <alignment horizontal="right" vertical="top"/>
    </xf>
    <xf numFmtId="2" fontId="15" fillId="7" borderId="3" xfId="0" applyNumberFormat="1" applyFont="1" applyFill="1" applyBorder="1" applyAlignment="1">
      <alignment horizontal="right" vertical="top"/>
    </xf>
    <xf numFmtId="2" fontId="15" fillId="7" borderId="3" xfId="1" applyNumberFormat="1" applyFont="1" applyFill="1" applyBorder="1" applyAlignment="1">
      <alignment horizontal="right" vertical="top"/>
    </xf>
    <xf numFmtId="2" fontId="13" fillId="0" borderId="10" xfId="1" applyNumberFormat="1" applyFont="1" applyBorder="1" applyAlignment="1">
      <alignment horizontal="right" vertical="top"/>
    </xf>
    <xf numFmtId="2" fontId="15" fillId="7" borderId="8" xfId="1" applyNumberFormat="1" applyFont="1" applyFill="1" applyBorder="1" applyAlignment="1">
      <alignment horizontal="right" vertical="top"/>
    </xf>
    <xf numFmtId="2" fontId="15" fillId="7" borderId="7" xfId="0" applyNumberFormat="1" applyFont="1" applyFill="1" applyBorder="1" applyAlignment="1">
      <alignment horizontal="right" vertical="top"/>
    </xf>
    <xf numFmtId="2" fontId="9" fillId="0" borderId="3" xfId="1" applyNumberFormat="1" applyFont="1" applyBorder="1" applyAlignment="1">
      <alignment vertical="center" wrapText="1"/>
    </xf>
    <xf numFmtId="2" fontId="6" fillId="7" borderId="7" xfId="1" applyNumberFormat="1" applyFont="1" applyFill="1" applyBorder="1" applyAlignment="1">
      <alignment horizontal="right" vertical="top"/>
    </xf>
    <xf numFmtId="2" fontId="9" fillId="0" borderId="7" xfId="1" applyNumberFormat="1" applyFont="1" applyBorder="1" applyAlignment="1">
      <alignment vertical="center" wrapText="1"/>
    </xf>
    <xf numFmtId="2" fontId="6" fillId="7" borderId="3" xfId="0" applyNumberFormat="1" applyFont="1" applyFill="1" applyBorder="1" applyAlignment="1">
      <alignment horizontal="right" vertical="top"/>
    </xf>
    <xf numFmtId="2" fontId="9" fillId="0" borderId="7" xfId="0" applyNumberFormat="1" applyFont="1" applyBorder="1" applyAlignment="1">
      <alignment vertical="center" wrapText="1"/>
    </xf>
    <xf numFmtId="2" fontId="16" fillId="0" borderId="7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 wrapText="1"/>
    </xf>
    <xf numFmtId="2" fontId="15" fillId="7" borderId="9" xfId="0" applyNumberFormat="1" applyFont="1" applyFill="1" applyBorder="1" applyAlignment="1">
      <alignment horizontal="right" vertical="top"/>
    </xf>
    <xf numFmtId="2" fontId="15" fillId="7" borderId="8" xfId="0" applyNumberFormat="1" applyFont="1" applyFill="1" applyBorder="1" applyAlignment="1">
      <alignment horizontal="right" vertical="top"/>
    </xf>
    <xf numFmtId="2" fontId="13" fillId="0" borderId="13" xfId="0" applyNumberFormat="1" applyFont="1" applyBorder="1" applyAlignment="1">
      <alignment horizontal="right" vertical="top"/>
    </xf>
    <xf numFmtId="44" fontId="10" fillId="0" borderId="3" xfId="0" applyNumberFormat="1" applyFont="1" applyBorder="1" applyAlignment="1">
      <alignment vertical="top"/>
    </xf>
    <xf numFmtId="44" fontId="10" fillId="0" borderId="4" xfId="0" applyNumberFormat="1" applyFont="1" applyBorder="1" applyAlignment="1">
      <alignment vertical="top"/>
    </xf>
    <xf numFmtId="2" fontId="13" fillId="0" borderId="3" xfId="0" applyNumberFormat="1" applyFont="1" applyBorder="1" applyAlignment="1">
      <alignment horizontal="center" vertical="top"/>
    </xf>
    <xf numFmtId="39" fontId="13" fillId="0" borderId="3" xfId="0" applyNumberFormat="1" applyFont="1" applyBorder="1" applyAlignment="1">
      <alignment horizontal="center" vertical="top"/>
    </xf>
    <xf numFmtId="9" fontId="0" fillId="4" borderId="0" xfId="2" applyFont="1" applyFill="1"/>
    <xf numFmtId="44" fontId="0" fillId="4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44" fontId="0" fillId="0" borderId="0" xfId="0" applyNumberFormat="1"/>
    <xf numFmtId="9" fontId="0" fillId="0" borderId="0" xfId="0" applyNumberFormat="1"/>
    <xf numFmtId="44" fontId="0" fillId="0" borderId="0" xfId="1" applyFont="1" applyFill="1"/>
    <xf numFmtId="44" fontId="17" fillId="0" borderId="0" xfId="0" applyNumberFormat="1" applyFont="1"/>
    <xf numFmtId="44" fontId="17" fillId="9" borderId="0" xfId="1" applyFont="1" applyFill="1"/>
    <xf numFmtId="9" fontId="17" fillId="9" borderId="0" xfId="2" applyFont="1" applyFill="1"/>
    <xf numFmtId="0" fontId="0" fillId="5" borderId="0" xfId="0" applyFill="1"/>
    <xf numFmtId="0" fontId="17" fillId="5" borderId="0" xfId="0" applyFont="1" applyFill="1"/>
    <xf numFmtId="10" fontId="0" fillId="5" borderId="0" xfId="2" applyNumberFormat="1" applyFont="1" applyFill="1"/>
    <xf numFmtId="9" fontId="0" fillId="5" borderId="0" xfId="2" applyFont="1" applyFill="1"/>
    <xf numFmtId="44" fontId="0" fillId="7" borderId="24" xfId="1" applyFont="1" applyFill="1" applyBorder="1"/>
    <xf numFmtId="44" fontId="0" fillId="7" borderId="3" xfId="1" applyFont="1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 applyBorder="1"/>
    <xf numFmtId="0" fontId="17" fillId="5" borderId="12" xfId="0" applyFont="1" applyFill="1" applyBorder="1"/>
    <xf numFmtId="0" fontId="17" fillId="5" borderId="0" xfId="0" applyFont="1" applyFill="1" applyBorder="1"/>
    <xf numFmtId="0" fontId="0" fillId="5" borderId="6" xfId="0" applyFill="1" applyBorder="1"/>
    <xf numFmtId="0" fontId="0" fillId="5" borderId="25" xfId="0" applyFill="1" applyBorder="1"/>
    <xf numFmtId="44" fontId="0" fillId="6" borderId="0" xfId="0" applyNumberFormat="1" applyFill="1"/>
    <xf numFmtId="2" fontId="0" fillId="6" borderId="0" xfId="0" applyNumberFormat="1" applyFill="1"/>
    <xf numFmtId="44" fontId="17" fillId="6" borderId="0" xfId="0" applyNumberFormat="1" applyFont="1" applyFill="1"/>
    <xf numFmtId="10" fontId="0" fillId="6" borderId="0" xfId="2" applyNumberFormat="1" applyFont="1" applyFill="1"/>
    <xf numFmtId="10" fontId="0" fillId="6" borderId="0" xfId="0" applyNumberFormat="1" applyFill="1"/>
    <xf numFmtId="9" fontId="0" fillId="6" borderId="0" xfId="0" applyNumberFormat="1" applyFill="1"/>
    <xf numFmtId="9" fontId="19" fillId="10" borderId="0" xfId="0" applyNumberFormat="1" applyFont="1" applyFill="1"/>
    <xf numFmtId="10" fontId="18" fillId="10" borderId="0" xfId="0" applyNumberFormat="1" applyFont="1" applyFill="1"/>
    <xf numFmtId="44" fontId="0" fillId="4" borderId="0" xfId="1" applyFont="1" applyFill="1"/>
    <xf numFmtId="44" fontId="0" fillId="4" borderId="17" xfId="1" applyFont="1" applyFill="1" applyBorder="1"/>
    <xf numFmtId="9" fontId="0" fillId="4" borderId="17" xfId="2" applyFont="1" applyFill="1" applyBorder="1"/>
    <xf numFmtId="44" fontId="0" fillId="4" borderId="17" xfId="0" applyNumberFormat="1" applyFill="1" applyBorder="1"/>
    <xf numFmtId="44" fontId="17" fillId="4" borderId="0" xfId="0" applyNumberFormat="1" applyFont="1" applyFill="1"/>
    <xf numFmtId="44" fontId="17" fillId="4" borderId="17" xfId="0" applyNumberFormat="1" applyFont="1" applyFill="1" applyBorder="1"/>
    <xf numFmtId="9" fontId="20" fillId="5" borderId="0" xfId="2" applyFont="1" applyFill="1"/>
    <xf numFmtId="166" fontId="0" fillId="7" borderId="24" xfId="1" applyNumberFormat="1" applyFont="1" applyFill="1" applyBorder="1"/>
    <xf numFmtId="9" fontId="21" fillId="5" borderId="0" xfId="2" applyFont="1" applyFill="1"/>
    <xf numFmtId="10" fontId="0" fillId="7" borderId="3" xfId="2" applyNumberFormat="1" applyFont="1" applyFill="1" applyBorder="1"/>
    <xf numFmtId="0" fontId="0" fillId="5" borderId="12" xfId="0" applyFill="1" applyBorder="1"/>
    <xf numFmtId="0" fontId="0" fillId="5" borderId="0" xfId="0" applyFill="1" applyBorder="1"/>
    <xf numFmtId="0" fontId="22" fillId="5" borderId="0" xfId="0" applyFont="1" applyFill="1"/>
    <xf numFmtId="44" fontId="0" fillId="5" borderId="0" xfId="1" applyFont="1" applyFill="1"/>
    <xf numFmtId="0" fontId="18" fillId="10" borderId="0" xfId="0" applyFont="1" applyFill="1"/>
    <xf numFmtId="168" fontId="0" fillId="5" borderId="0" xfId="3" applyNumberFormat="1" applyFont="1" applyFill="1"/>
    <xf numFmtId="0" fontId="23" fillId="5" borderId="0" xfId="0" applyFont="1" applyFill="1"/>
    <xf numFmtId="164" fontId="13" fillId="7" borderId="7" xfId="0" applyNumberFormat="1" applyFont="1" applyFill="1" applyBorder="1" applyAlignment="1">
      <alignment horizontal="right" vertical="top"/>
    </xf>
    <xf numFmtId="166" fontId="13" fillId="0" borderId="7" xfId="1" applyNumberFormat="1" applyFont="1" applyBorder="1" applyAlignment="1">
      <alignment horizontal="right" vertical="top"/>
    </xf>
    <xf numFmtId="166" fontId="13" fillId="0" borderId="22" xfId="1" applyNumberFormat="1" applyFont="1" applyBorder="1" applyAlignment="1">
      <alignment horizontal="right" vertical="top"/>
    </xf>
    <xf numFmtId="166" fontId="13" fillId="7" borderId="7" xfId="1" applyNumberFormat="1" applyFont="1" applyFill="1" applyBorder="1" applyAlignment="1">
      <alignment horizontal="right" vertical="top"/>
    </xf>
    <xf numFmtId="166" fontId="13" fillId="0" borderId="6" xfId="1" applyNumberFormat="1" applyFont="1" applyBorder="1" applyAlignment="1">
      <alignment horizontal="right" vertical="top"/>
    </xf>
    <xf numFmtId="166" fontId="14" fillId="0" borderId="7" xfId="1" applyNumberFormat="1" applyFont="1" applyBorder="1" applyAlignment="1">
      <alignment horizontal="right" vertical="top"/>
    </xf>
    <xf numFmtId="166" fontId="6" fillId="7" borderId="9" xfId="1" applyNumberFormat="1" applyFont="1" applyFill="1" applyBorder="1"/>
    <xf numFmtId="166" fontId="6" fillId="7" borderId="26" xfId="1" applyNumberFormat="1" applyFont="1" applyFill="1" applyBorder="1"/>
    <xf numFmtId="37" fontId="13" fillId="0" borderId="12" xfId="0" applyNumberFormat="1" applyFont="1" applyBorder="1" applyAlignment="1">
      <alignment horizontal="right" vertical="top"/>
    </xf>
    <xf numFmtId="37" fontId="13" fillId="0" borderId="7" xfId="0" applyNumberFormat="1" applyFont="1" applyBorder="1" applyAlignment="1">
      <alignment horizontal="right" vertical="top"/>
    </xf>
    <xf numFmtId="166" fontId="6" fillId="7" borderId="22" xfId="1" applyNumberFormat="1" applyFont="1" applyFill="1" applyBorder="1"/>
    <xf numFmtId="44" fontId="6" fillId="7" borderId="14" xfId="0" applyNumberFormat="1" applyFont="1" applyFill="1" applyBorder="1"/>
    <xf numFmtId="44" fontId="10" fillId="4" borderId="14" xfId="0" applyNumberFormat="1" applyFont="1" applyFill="1" applyBorder="1"/>
    <xf numFmtId="44" fontId="10" fillId="4" borderId="19" xfId="0" applyNumberFormat="1" applyFont="1" applyFill="1" applyBorder="1"/>
    <xf numFmtId="44" fontId="10" fillId="4" borderId="25" xfId="0" applyNumberFormat="1" applyFont="1" applyFill="1" applyBorder="1"/>
    <xf numFmtId="44" fontId="10" fillId="4" borderId="0" xfId="0" applyNumberFormat="1" applyFont="1" applyFill="1" applyBorder="1"/>
    <xf numFmtId="44" fontId="10" fillId="4" borderId="1" xfId="0" applyNumberFormat="1" applyFont="1" applyFill="1" applyBorder="1"/>
    <xf numFmtId="44" fontId="6" fillId="7" borderId="28" xfId="0" applyNumberFormat="1" applyFont="1" applyFill="1" applyBorder="1"/>
    <xf numFmtId="44" fontId="10" fillId="4" borderId="29" xfId="0" applyNumberFormat="1" applyFont="1" applyFill="1" applyBorder="1"/>
    <xf numFmtId="44" fontId="6" fillId="7" borderId="30" xfId="0" applyNumberFormat="1" applyFont="1" applyFill="1" applyBorder="1"/>
    <xf numFmtId="44" fontId="10" fillId="4" borderId="17" xfId="0" applyNumberFormat="1" applyFont="1" applyFill="1" applyBorder="1"/>
    <xf numFmtId="44" fontId="6" fillId="7" borderId="19" xfId="0" applyNumberFormat="1" applyFont="1" applyFill="1" applyBorder="1"/>
    <xf numFmtId="44" fontId="11" fillId="6" borderId="29" xfId="0" applyNumberFormat="1" applyFont="1" applyFill="1" applyBorder="1"/>
    <xf numFmtId="167" fontId="12" fillId="6" borderId="10" xfId="0" applyNumberFormat="1" applyFont="1" applyFill="1" applyBorder="1" applyAlignment="1">
      <alignment horizontal="center"/>
    </xf>
    <xf numFmtId="167" fontId="12" fillId="6" borderId="6" xfId="0" applyNumberFormat="1" applyFont="1" applyFill="1" applyBorder="1" applyAlignment="1">
      <alignment horizontal="center"/>
    </xf>
    <xf numFmtId="44" fontId="11" fillId="2" borderId="29" xfId="0" applyNumberFormat="1" applyFont="1" applyFill="1" applyBorder="1"/>
    <xf numFmtId="44" fontId="10" fillId="0" borderId="14" xfId="0" applyNumberFormat="1" applyFont="1" applyBorder="1" applyAlignment="1">
      <alignment vertical="center"/>
    </xf>
    <xf numFmtId="44" fontId="10" fillId="0" borderId="14" xfId="0" applyNumberFormat="1" applyFont="1" applyBorder="1" applyAlignment="1">
      <alignment wrapText="1"/>
    </xf>
    <xf numFmtId="44" fontId="10" fillId="0" borderId="14" xfId="0" applyNumberFormat="1" applyFont="1" applyBorder="1" applyAlignment="1">
      <alignment vertical="top" wrapText="1"/>
    </xf>
    <xf numFmtId="44" fontId="10" fillId="0" borderId="14" xfId="0" applyNumberFormat="1" applyFont="1" applyBorder="1"/>
    <xf numFmtId="44" fontId="10" fillId="0" borderId="19" xfId="0" applyNumberFormat="1" applyFont="1" applyBorder="1"/>
    <xf numFmtId="0" fontId="10" fillId="0" borderId="14" xfId="0" applyFont="1" applyBorder="1" applyAlignment="1"/>
    <xf numFmtId="0" fontId="6" fillId="7" borderId="19" xfId="0" applyFont="1" applyFill="1" applyBorder="1" applyAlignment="1">
      <alignment vertical="top"/>
    </xf>
    <xf numFmtId="0" fontId="10" fillId="0" borderId="19" xfId="0" applyFont="1" applyBorder="1" applyAlignment="1">
      <alignment vertical="top" wrapText="1"/>
    </xf>
    <xf numFmtId="44" fontId="10" fillId="7" borderId="17" xfId="0" applyNumberFormat="1" applyFont="1" applyFill="1" applyBorder="1"/>
    <xf numFmtId="44" fontId="10" fillId="7" borderId="14" xfId="0" applyNumberFormat="1" applyFont="1" applyFill="1" applyBorder="1" applyAlignment="1">
      <alignment vertical="top" wrapText="1"/>
    </xf>
    <xf numFmtId="44" fontId="10" fillId="7" borderId="19" xfId="0" applyNumberFormat="1" applyFont="1" applyFill="1" applyBorder="1" applyAlignment="1">
      <alignment vertical="top" wrapText="1"/>
    </xf>
    <xf numFmtId="44" fontId="13" fillId="0" borderId="4" xfId="1" applyNumberFormat="1" applyFont="1" applyBorder="1" applyAlignment="1">
      <alignment horizontal="right" vertical="top"/>
    </xf>
    <xf numFmtId="44" fontId="10" fillId="0" borderId="19" xfId="0" applyNumberFormat="1" applyFont="1" applyBorder="1" applyAlignment="1">
      <alignment vertical="top" wrapText="1"/>
    </xf>
    <xf numFmtId="166" fontId="13" fillId="7" borderId="7" xfId="1" applyNumberFormat="1" applyFont="1" applyFill="1" applyBorder="1" applyAlignment="1">
      <alignment horizontal="center" vertical="center"/>
    </xf>
    <xf numFmtId="166" fontId="13" fillId="0" borderId="7" xfId="1" applyNumberFormat="1" applyFont="1" applyBorder="1" applyAlignment="1">
      <alignment horizontal="center" vertical="center"/>
    </xf>
    <xf numFmtId="10" fontId="13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Border="1" applyAlignment="1">
      <alignment horizontal="right" vertical="top"/>
    </xf>
    <xf numFmtId="10" fontId="13" fillId="0" borderId="6" xfId="2" applyNumberFormat="1" applyFont="1" applyBorder="1" applyAlignment="1">
      <alignment horizontal="right" vertical="top"/>
    </xf>
    <xf numFmtId="10" fontId="6" fillId="7" borderId="9" xfId="2" applyNumberFormat="1" applyFont="1" applyFill="1" applyBorder="1"/>
    <xf numFmtId="10" fontId="13" fillId="7" borderId="6" xfId="2" applyNumberFormat="1" applyFont="1" applyFill="1" applyBorder="1" applyAlignment="1">
      <alignment horizontal="right" vertical="top"/>
    </xf>
    <xf numFmtId="10" fontId="6" fillId="7" borderId="32" xfId="2" applyNumberFormat="1" applyFont="1" applyFill="1" applyBorder="1"/>
    <xf numFmtId="44" fontId="6" fillId="7" borderId="33" xfId="0" applyNumberFormat="1" applyFont="1" applyFill="1" applyBorder="1"/>
    <xf numFmtId="166" fontId="6" fillId="7" borderId="33" xfId="1" applyNumberFormat="1" applyFont="1" applyFill="1" applyBorder="1"/>
    <xf numFmtId="2" fontId="13" fillId="0" borderId="7" xfId="1" applyNumberFormat="1" applyFont="1" applyBorder="1" applyAlignment="1">
      <alignment horizontal="right" vertical="top"/>
    </xf>
    <xf numFmtId="2" fontId="15" fillId="7" borderId="7" xfId="1" applyNumberFormat="1" applyFont="1" applyFill="1" applyBorder="1" applyAlignment="1">
      <alignment horizontal="right" vertical="top"/>
    </xf>
    <xf numFmtId="2" fontId="15" fillId="7" borderId="9" xfId="1" applyNumberFormat="1" applyFont="1" applyFill="1" applyBorder="1" applyAlignment="1">
      <alignment horizontal="right" vertical="top"/>
    </xf>
    <xf numFmtId="2" fontId="13" fillId="0" borderId="6" xfId="1" applyNumberFormat="1" applyFont="1" applyBorder="1" applyAlignment="1">
      <alignment horizontal="right" vertical="top"/>
    </xf>
    <xf numFmtId="2" fontId="15" fillId="7" borderId="4" xfId="1" applyNumberFormat="1" applyFont="1" applyFill="1" applyBorder="1" applyAlignment="1">
      <alignment horizontal="right" vertical="top"/>
    </xf>
    <xf numFmtId="2" fontId="15" fillId="7" borderId="22" xfId="1" applyNumberFormat="1" applyFont="1" applyFill="1" applyBorder="1" applyAlignment="1">
      <alignment horizontal="right" vertical="top"/>
    </xf>
    <xf numFmtId="2" fontId="13" fillId="0" borderId="4" xfId="0" applyNumberFormat="1" applyFont="1" applyBorder="1" applyAlignment="1">
      <alignment horizontal="right" vertical="top"/>
    </xf>
    <xf numFmtId="37" fontId="13" fillId="7" borderId="7" xfId="0" applyNumberFormat="1" applyFont="1" applyFill="1" applyBorder="1" applyAlignment="1">
      <alignment horizontal="center" vertical="center"/>
    </xf>
    <xf numFmtId="37" fontId="13" fillId="0" borderId="7" xfId="0" applyNumberFormat="1" applyFont="1" applyBorder="1" applyAlignment="1">
      <alignment horizontal="center" vertical="center"/>
    </xf>
    <xf numFmtId="0" fontId="6" fillId="7" borderId="28" xfId="0" applyFont="1" applyFill="1" applyBorder="1" applyAlignment="1">
      <alignment vertical="top"/>
    </xf>
    <xf numFmtId="0" fontId="10" fillId="0" borderId="17" xfId="0" applyFont="1" applyBorder="1" applyAlignment="1">
      <alignment vertical="top" wrapText="1"/>
    </xf>
    <xf numFmtId="44" fontId="12" fillId="2" borderId="6" xfId="0" applyNumberFormat="1" applyFont="1" applyFill="1" applyBorder="1"/>
    <xf numFmtId="0" fontId="18" fillId="5" borderId="36" xfId="0" applyFont="1" applyFill="1" applyBorder="1" applyAlignment="1">
      <alignment horizontal="left"/>
    </xf>
    <xf numFmtId="0" fontId="18" fillId="5" borderId="34" xfId="0" applyFont="1" applyFill="1" applyBorder="1" applyAlignment="1">
      <alignment horizontal="left"/>
    </xf>
    <xf numFmtId="0" fontId="18" fillId="5" borderId="34" xfId="0" applyFont="1" applyFill="1" applyBorder="1"/>
    <xf numFmtId="0" fontId="18" fillId="5" borderId="37" xfId="0" applyFont="1" applyFill="1" applyBorder="1"/>
    <xf numFmtId="0" fontId="17" fillId="5" borderId="36" xfId="0" applyFont="1" applyFill="1" applyBorder="1" applyAlignment="1">
      <alignment horizontal="left"/>
    </xf>
    <xf numFmtId="0" fontId="17" fillId="5" borderId="34" xfId="0" applyFont="1" applyFill="1" applyBorder="1" applyAlignment="1">
      <alignment horizontal="left"/>
    </xf>
    <xf numFmtId="44" fontId="17" fillId="9" borderId="38" xfId="1" applyNumberFormat="1" applyFont="1" applyFill="1" applyBorder="1"/>
    <xf numFmtId="166" fontId="17" fillId="7" borderId="38" xfId="1" applyNumberFormat="1" applyFont="1" applyFill="1" applyBorder="1"/>
    <xf numFmtId="166" fontId="17" fillId="11" borderId="38" xfId="0" applyNumberFormat="1" applyFont="1" applyFill="1" applyBorder="1"/>
    <xf numFmtId="166" fontId="17" fillId="11" borderId="39" xfId="0" applyNumberFormat="1" applyFont="1" applyFill="1" applyBorder="1"/>
    <xf numFmtId="0" fontId="0" fillId="4" borderId="36" xfId="0" applyFont="1" applyFill="1" applyBorder="1"/>
    <xf numFmtId="0" fontId="0" fillId="4" borderId="34" xfId="0" applyFont="1" applyFill="1" applyBorder="1"/>
    <xf numFmtId="0" fontId="0" fillId="4" borderId="40" xfId="0" applyFont="1" applyFill="1" applyBorder="1"/>
    <xf numFmtId="10" fontId="0" fillId="4" borderId="40" xfId="2" applyNumberFormat="1" applyFont="1" applyFill="1" applyBorder="1"/>
    <xf numFmtId="10" fontId="0" fillId="4" borderId="38" xfId="0" applyNumberFormat="1" applyFont="1" applyFill="1" applyBorder="1"/>
    <xf numFmtId="10" fontId="0" fillId="4" borderId="39" xfId="0" applyNumberFormat="1" applyFont="1" applyFill="1" applyBorder="1"/>
    <xf numFmtId="44" fontId="17" fillId="9" borderId="38" xfId="0" applyNumberFormat="1" applyFont="1" applyFill="1" applyBorder="1"/>
    <xf numFmtId="44" fontId="17" fillId="7" borderId="38" xfId="0" applyNumberFormat="1" applyFont="1" applyFill="1" applyBorder="1"/>
    <xf numFmtId="44" fontId="17" fillId="11" borderId="38" xfId="0" applyNumberFormat="1" applyFont="1" applyFill="1" applyBorder="1"/>
    <xf numFmtId="44" fontId="17" fillId="11" borderId="39" xfId="0" applyNumberFormat="1" applyFont="1" applyFill="1" applyBorder="1"/>
    <xf numFmtId="0" fontId="0" fillId="8" borderId="36" xfId="0" applyFont="1" applyFill="1" applyBorder="1"/>
    <xf numFmtId="9" fontId="0" fillId="4" borderId="38" xfId="0" applyNumberFormat="1" applyFont="1" applyFill="1" applyBorder="1"/>
    <xf numFmtId="9" fontId="0" fillId="4" borderId="39" xfId="0" applyNumberFormat="1" applyFont="1" applyFill="1" applyBorder="1"/>
    <xf numFmtId="0" fontId="0" fillId="5" borderId="36" xfId="0" applyFont="1" applyFill="1" applyBorder="1"/>
    <xf numFmtId="0" fontId="0" fillId="5" borderId="34" xfId="0" applyFont="1" applyFill="1" applyBorder="1"/>
    <xf numFmtId="0" fontId="0" fillId="5" borderId="40" xfId="0" applyFont="1" applyFill="1" applyBorder="1"/>
    <xf numFmtId="0" fontId="0" fillId="5" borderId="41" xfId="0" applyFont="1" applyFill="1" applyBorder="1"/>
    <xf numFmtId="0" fontId="0" fillId="5" borderId="37" xfId="0" applyFont="1" applyFill="1" applyBorder="1"/>
    <xf numFmtId="44" fontId="17" fillId="7" borderId="38" xfId="1" applyNumberFormat="1" applyFont="1" applyFill="1" applyBorder="1"/>
    <xf numFmtId="44" fontId="17" fillId="11" borderId="38" xfId="1" applyNumberFormat="1" applyFont="1" applyFill="1" applyBorder="1"/>
    <xf numFmtId="0" fontId="0" fillId="4" borderId="36" xfId="0" applyFont="1" applyFill="1" applyBorder="1" applyAlignment="1">
      <alignment horizontal="left"/>
    </xf>
    <xf numFmtId="0" fontId="0" fillId="4" borderId="34" xfId="0" applyFont="1" applyFill="1" applyBorder="1" applyAlignment="1">
      <alignment horizontal="left"/>
    </xf>
    <xf numFmtId="0" fontId="17" fillId="5" borderId="36" xfId="0" applyFont="1" applyFill="1" applyBorder="1"/>
    <xf numFmtId="0" fontId="17" fillId="5" borderId="34" xfId="0" applyFont="1" applyFill="1" applyBorder="1"/>
    <xf numFmtId="0" fontId="17" fillId="7" borderId="38" xfId="0" applyFont="1" applyFill="1" applyBorder="1"/>
    <xf numFmtId="9" fontId="17" fillId="11" borderId="38" xfId="0" applyNumberFormat="1" applyFont="1" applyFill="1" applyBorder="1"/>
    <xf numFmtId="0" fontId="17" fillId="11" borderId="38" xfId="0" applyFont="1" applyFill="1" applyBorder="1"/>
    <xf numFmtId="0" fontId="17" fillId="11" borderId="42" xfId="0" applyFont="1" applyFill="1" applyBorder="1"/>
    <xf numFmtId="0" fontId="0" fillId="4" borderId="38" xfId="0" applyFont="1" applyFill="1" applyBorder="1"/>
    <xf numFmtId="0" fontId="0" fillId="4" borderId="42" xfId="0" applyFont="1" applyFill="1" applyBorder="1"/>
    <xf numFmtId="10" fontId="0" fillId="4" borderId="21" xfId="2" applyNumberFormat="1" applyFont="1" applyFill="1" applyBorder="1"/>
    <xf numFmtId="0" fontId="0" fillId="4" borderId="36" xfId="0" applyFont="1" applyFill="1" applyBorder="1" applyAlignment="1">
      <alignment horizontal="center"/>
    </xf>
    <xf numFmtId="0" fontId="0" fillId="4" borderId="31" xfId="0" applyFont="1" applyFill="1" applyBorder="1"/>
    <xf numFmtId="0" fontId="0" fillId="4" borderId="35" xfId="0" applyFont="1" applyFill="1" applyBorder="1"/>
    <xf numFmtId="0" fontId="0" fillId="4" borderId="43" xfId="0" applyFont="1" applyFill="1" applyBorder="1"/>
    <xf numFmtId="10" fontId="0" fillId="4" borderId="43" xfId="2" applyNumberFormat="1" applyFont="1" applyFill="1" applyBorder="1"/>
    <xf numFmtId="0" fontId="24" fillId="5" borderId="0" xfId="0" applyFont="1" applyFill="1" applyAlignment="1">
      <alignment vertical="center"/>
    </xf>
    <xf numFmtId="9" fontId="19" fillId="9" borderId="0" xfId="0" applyNumberFormat="1" applyFont="1" applyFill="1"/>
    <xf numFmtId="44" fontId="17" fillId="11" borderId="42" xfId="1" applyNumberFormat="1" applyFont="1" applyFill="1" applyBorder="1"/>
    <xf numFmtId="10" fontId="0" fillId="4" borderId="42" xfId="0" applyNumberFormat="1" applyFont="1" applyFill="1" applyBorder="1"/>
    <xf numFmtId="44" fontId="17" fillId="11" borderId="42" xfId="0" applyNumberFormat="1" applyFont="1" applyFill="1" applyBorder="1"/>
    <xf numFmtId="44" fontId="0" fillId="5" borderId="25" xfId="0" applyNumberFormat="1" applyFill="1" applyBorder="1"/>
    <xf numFmtId="0" fontId="0" fillId="5" borderId="29" xfId="0" applyFill="1" applyBorder="1"/>
    <xf numFmtId="0" fontId="27" fillId="12" borderId="45" xfId="0" applyFont="1" applyFill="1" applyBorder="1" applyAlignment="1">
      <alignment horizontal="right"/>
    </xf>
    <xf numFmtId="0" fontId="27" fillId="12" borderId="25" xfId="0" applyFont="1" applyFill="1" applyBorder="1" applyAlignment="1">
      <alignment horizontal="right"/>
    </xf>
    <xf numFmtId="0" fontId="0" fillId="13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8" fillId="9" borderId="0" xfId="0" applyNumberFormat="1" applyFont="1" applyFill="1"/>
    <xf numFmtId="0" fontId="0" fillId="0" borderId="0" xfId="0"/>
    <xf numFmtId="0" fontId="17" fillId="11" borderId="44" xfId="0" applyFont="1" applyFill="1" applyBorder="1"/>
    <xf numFmtId="44" fontId="17" fillId="11" borderId="40" xfId="0" applyNumberFormat="1" applyFont="1" applyFill="1" applyBorder="1"/>
    <xf numFmtId="10" fontId="0" fillId="4" borderId="0" xfId="2" applyNumberFormat="1" applyFont="1" applyFill="1" applyBorder="1"/>
    <xf numFmtId="0" fontId="0" fillId="5" borderId="0" xfId="0" applyFont="1" applyFill="1" applyBorder="1"/>
    <xf numFmtId="10" fontId="0" fillId="4" borderId="25" xfId="2" applyNumberFormat="1" applyFont="1" applyFill="1" applyBorder="1"/>
    <xf numFmtId="44" fontId="17" fillId="7" borderId="3" xfId="1" applyNumberFormat="1" applyFont="1" applyFill="1" applyBorder="1"/>
    <xf numFmtId="44" fontId="17" fillId="7" borderId="3" xfId="0" applyNumberFormat="1" applyFont="1" applyFill="1" applyBorder="1"/>
    <xf numFmtId="0" fontId="0" fillId="5" borderId="0" xfId="0" applyFill="1"/>
    <xf numFmtId="9" fontId="0" fillId="0" borderId="15" xfId="0" applyNumberFormat="1" applyFill="1" applyBorder="1" applyAlignment="1"/>
    <xf numFmtId="0" fontId="28" fillId="12" borderId="25" xfId="0" applyFont="1" applyFill="1" applyBorder="1" applyAlignment="1">
      <alignment horizontal="left"/>
    </xf>
    <xf numFmtId="0" fontId="28" fillId="12" borderId="45" xfId="0" applyFont="1" applyFill="1" applyBorder="1" applyAlignment="1">
      <alignment horizontal="left"/>
    </xf>
    <xf numFmtId="0" fontId="29" fillId="14" borderId="0" xfId="0" applyFont="1" applyFill="1" applyBorder="1" applyAlignment="1">
      <alignment horizontal="left"/>
    </xf>
    <xf numFmtId="0" fontId="29" fillId="14" borderId="15" xfId="0" applyFont="1" applyFill="1" applyBorder="1" applyAlignment="1">
      <alignment horizontal="left"/>
    </xf>
    <xf numFmtId="0" fontId="0" fillId="0" borderId="0" xfId="0"/>
    <xf numFmtId="2" fontId="13" fillId="2" borderId="3" xfId="0" applyNumberFormat="1" applyFont="1" applyFill="1" applyBorder="1" applyAlignment="1">
      <alignment horizontal="right" vertical="top"/>
    </xf>
    <xf numFmtId="44" fontId="10" fillId="4" borderId="46" xfId="0" applyNumberFormat="1" applyFont="1" applyFill="1" applyBorder="1"/>
    <xf numFmtId="44" fontId="13" fillId="2" borderId="3" xfId="1" applyFont="1" applyFill="1" applyBorder="1" applyAlignment="1">
      <alignment horizontal="right" vertical="top"/>
    </xf>
    <xf numFmtId="43" fontId="13" fillId="2" borderId="3" xfId="3" applyFont="1" applyFill="1" applyBorder="1" applyAlignment="1">
      <alignment horizontal="right" vertical="top"/>
    </xf>
    <xf numFmtId="14" fontId="0" fillId="5" borderId="0" xfId="0" applyNumberFormat="1" applyFill="1"/>
    <xf numFmtId="0" fontId="26" fillId="10" borderId="3" xfId="0" applyFont="1" applyFill="1" applyBorder="1" applyAlignment="1">
      <alignment horizontal="right" vertical="center"/>
    </xf>
    <xf numFmtId="0" fontId="17" fillId="5" borderId="3" xfId="0" applyFont="1" applyFill="1" applyBorder="1"/>
    <xf numFmtId="0" fontId="22" fillId="5" borderId="0" xfId="0" applyFont="1" applyFill="1" applyAlignment="1">
      <alignment horizontal="left" vertical="top" wrapText="1"/>
    </xf>
    <xf numFmtId="44" fontId="26" fillId="10" borderId="3" xfId="1" applyFont="1" applyFill="1" applyBorder="1" applyAlignment="1">
      <alignment horizontal="center" vertical="center"/>
    </xf>
    <xf numFmtId="44" fontId="26" fillId="10" borderId="3" xfId="0" applyNumberFormat="1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9" fontId="26" fillId="10" borderId="3" xfId="0" applyNumberFormat="1" applyFont="1" applyFill="1" applyBorder="1" applyAlignment="1">
      <alignment horizontal="right" vertical="center"/>
    </xf>
    <xf numFmtId="0" fontId="24" fillId="5" borderId="0" xfId="0" applyFont="1" applyFill="1" applyAlignment="1">
      <alignment horizontal="left" vertical="center" indent="1"/>
    </xf>
    <xf numFmtId="0" fontId="25" fillId="5" borderId="3" xfId="0" applyFont="1" applyFill="1" applyBorder="1" applyAlignment="1">
      <alignment vertical="center"/>
    </xf>
    <xf numFmtId="0" fontId="0" fillId="5" borderId="12" xfId="0" applyFill="1" applyBorder="1"/>
    <xf numFmtId="0" fontId="0" fillId="5" borderId="0" xfId="0" applyFill="1" applyBorder="1"/>
    <xf numFmtId="0" fontId="0" fillId="5" borderId="0" xfId="0" applyFill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0" fillId="5" borderId="0" xfId="0" applyFill="1"/>
    <xf numFmtId="0" fontId="17" fillId="5" borderId="0" xfId="0" applyFont="1" applyFill="1" applyAlignment="1">
      <alignment horizontal="left"/>
    </xf>
    <xf numFmtId="0" fontId="17" fillId="5" borderId="0" xfId="0" applyFont="1" applyFill="1"/>
    <xf numFmtId="0" fontId="0" fillId="0" borderId="0" xfId="0"/>
    <xf numFmtId="0" fontId="0" fillId="5" borderId="25" xfId="0" applyFill="1" applyBorder="1"/>
    <xf numFmtId="0" fontId="0" fillId="2" borderId="0" xfId="0" applyFill="1"/>
    <xf numFmtId="0" fontId="17" fillId="0" borderId="0" xfId="0" applyFont="1" applyAlignment="1">
      <alignment horizontal="left"/>
    </xf>
    <xf numFmtId="0" fontId="17" fillId="0" borderId="0" xfId="0" applyFont="1"/>
    <xf numFmtId="44" fontId="4" fillId="4" borderId="47" xfId="0" applyNumberFormat="1" applyFont="1" applyFill="1" applyBorder="1" applyAlignment="1">
      <alignment horizontal="center"/>
    </xf>
    <xf numFmtId="44" fontId="4" fillId="4" borderId="48" xfId="0" applyNumberFormat="1" applyFont="1" applyFill="1" applyBorder="1" applyAlignment="1">
      <alignment horizontal="center"/>
    </xf>
    <xf numFmtId="44" fontId="4" fillId="4" borderId="49" xfId="0" applyNumberFormat="1" applyFont="1" applyFill="1" applyBorder="1" applyAlignment="1">
      <alignment horizontal="center"/>
    </xf>
    <xf numFmtId="44" fontId="6" fillId="3" borderId="1" xfId="0" applyNumberFormat="1" applyFont="1" applyFill="1" applyBorder="1" applyAlignment="1">
      <alignment horizontal="center"/>
    </xf>
    <xf numFmtId="44" fontId="6" fillId="3" borderId="14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4" fillId="4" borderId="14" xfId="0" applyNumberFormat="1" applyFont="1" applyFill="1" applyBorder="1" applyAlignment="1">
      <alignment horizontal="center"/>
    </xf>
    <xf numFmtId="44" fontId="4" fillId="4" borderId="2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13" fillId="2" borderId="7" xfId="1" applyFont="1" applyFill="1" applyBorder="1" applyAlignment="1">
      <alignment horizontal="right" vertical="top"/>
    </xf>
    <xf numFmtId="2" fontId="13" fillId="2" borderId="7" xfId="0" applyNumberFormat="1" applyFont="1" applyFill="1" applyBorder="1" applyAlignment="1">
      <alignment horizontal="right" vertical="top"/>
    </xf>
    <xf numFmtId="43" fontId="13" fillId="2" borderId="7" xfId="3" applyFont="1" applyFill="1" applyBorder="1" applyAlignment="1">
      <alignment horizontal="right" vertical="top"/>
    </xf>
    <xf numFmtId="44" fontId="4" fillId="6" borderId="50" xfId="0" applyNumberFormat="1" applyFont="1" applyFill="1" applyBorder="1"/>
    <xf numFmtId="44" fontId="6" fillId="7" borderId="10" xfId="0" applyNumberFormat="1" applyFont="1" applyFill="1" applyBorder="1"/>
    <xf numFmtId="2" fontId="13" fillId="7" borderId="10" xfId="0" applyNumberFormat="1" applyFont="1" applyFill="1" applyBorder="1" applyAlignment="1">
      <alignment horizontal="right" vertical="top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numFmt numFmtId="14" formatCode="0.00%"/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AD7FA8"/>
      <color rgb="FFB387AE"/>
      <color rgb="FF5C3566"/>
      <color rgb="FFF5B960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DCF!$A$17:$B$17</c:f>
              <c:strCache>
                <c:ptCount val="2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9-4FDE-94B8-C8EF904D488E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9-4FDE-94B8-C8EF904D4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29-4FDE-94B8-C8EF904D4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9-4FDE-94B8-C8EF904D4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DCF!$C$17:$J$17</c:f>
              <c:numCache>
                <c:formatCode>_("$"* #,##0.00_);_("$"* \(#,##0.00\);_("$"* "-"??_);_(@_)</c:formatCode>
                <c:ptCount val="8"/>
                <c:pt idx="0">
                  <c:v>2880</c:v>
                </c:pt>
                <c:pt idx="1">
                  <c:v>2079</c:v>
                </c:pt>
                <c:pt idx="2">
                  <c:v>2745</c:v>
                </c:pt>
                <c:pt idx="3">
                  <c:v>2594</c:v>
                </c:pt>
                <c:pt idx="4">
                  <c:v>2582.9428267353474</c:v>
                </c:pt>
                <c:pt idx="5">
                  <c:v>2807.7230966234565</c:v>
                </c:pt>
                <c:pt idx="6">
                  <c:v>2833.6975013598644</c:v>
                </c:pt>
                <c:pt idx="7">
                  <c:v>2920.6101520476304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9-4FDE-94B8-C8EF904D4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DCF!$A$37:$B$37</c:f>
              <c:strCache>
                <c:ptCount val="2"/>
                <c:pt idx="0">
                  <c:v>Debt</c:v>
                </c:pt>
              </c:strCache>
            </c:strRef>
          </c:tx>
          <c:spPr>
            <a:solidFill>
              <a:srgbClr val="5C3566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D-48F7-B2A5-0F13CF99630C}"/>
              </c:ext>
            </c:extLst>
          </c:dPt>
          <c:dPt>
            <c:idx val="5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D-48F7-B2A5-0F13CF99630C}"/>
              </c:ext>
            </c:extLst>
          </c:dPt>
          <c:dPt>
            <c:idx val="6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D-48F7-B2A5-0F13CF99630C}"/>
              </c:ext>
            </c:extLst>
          </c:dPt>
          <c:dPt>
            <c:idx val="7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D-48F7-B2A5-0F13CF99630C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DCF!$C$37:$J$37</c:f>
              <c:numCache>
                <c:formatCode>_("$"* #,##0.00_);_("$"* \(#,##0.00\);_("$"* "-"??_);_(@_)</c:formatCode>
                <c:ptCount val="8"/>
                <c:pt idx="0">
                  <c:v>105433</c:v>
                </c:pt>
                <c:pt idx="1">
                  <c:v>113642</c:v>
                </c:pt>
                <c:pt idx="2">
                  <c:v>105873</c:v>
                </c:pt>
                <c:pt idx="3">
                  <c:v>100712</c:v>
                </c:pt>
                <c:pt idx="4">
                  <c:v>99394.317096944171</c:v>
                </c:pt>
                <c:pt idx="5">
                  <c:v>95080.783764481603</c:v>
                </c:pt>
                <c:pt idx="6">
                  <c:v>91745.700217958176</c:v>
                </c:pt>
                <c:pt idx="7">
                  <c:v>88945.677189816313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D-48F7-B2A5-0F13CF99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Sized Balance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Long-term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Tables'!$B$5:$B$8</c:f>
              <c:numCache>
                <c:formatCode>0.00%</c:formatCode>
                <c:ptCount val="4"/>
                <c:pt idx="0">
                  <c:v>0.43999790294112506</c:v>
                </c:pt>
                <c:pt idx="1">
                  <c:v>0.50387161560829818</c:v>
                </c:pt>
                <c:pt idx="2">
                  <c:v>0.53489663742139548</c:v>
                </c:pt>
                <c:pt idx="3">
                  <c:v>0.47891872740156621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5FD-83BD-5FB1E8CF1A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Property, plant, and equipment,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Tables'!$C$5:$C$8</c:f>
              <c:numCache>
                <c:formatCode>0.00%</c:formatCode>
                <c:ptCount val="4"/>
                <c:pt idx="0">
                  <c:v>0.31507196797005421</c:v>
                </c:pt>
                <c:pt idx="1">
                  <c:v>0.33714585638279798</c:v>
                </c:pt>
                <c:pt idx="2">
                  <c:v>0.34443091976060014</c:v>
                </c:pt>
                <c:pt idx="3">
                  <c:v>0.34708411827340485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5FD-83BD-5FB1E8CF1A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Tables'!$D$5:$D$8</c:f>
              <c:numCache>
                <c:formatCode>0.00%</c:formatCode>
                <c:ptCount val="4"/>
                <c:pt idx="0">
                  <c:v>0.12845228587000859</c:v>
                </c:pt>
                <c:pt idx="1">
                  <c:v>0.13078628095865635</c:v>
                </c:pt>
                <c:pt idx="2">
                  <c:v>0.11632826870651738</c:v>
                </c:pt>
                <c:pt idx="3">
                  <c:v>0.10809648619870588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E-45FD-83BD-5FB1E8CF1A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Tables'!$E$5:$E$8</c:f>
              <c:numCache>
                <c:formatCode>0.00%</c:formatCode>
                <c:ptCount val="4"/>
                <c:pt idx="0">
                  <c:v>0.19602257833388673</c:v>
                </c:pt>
                <c:pt idx="1">
                  <c:v>0.18051675479133253</c:v>
                </c:pt>
                <c:pt idx="2">
                  <c:v>0.15550043303083932</c:v>
                </c:pt>
                <c:pt idx="3">
                  <c:v>0.13781637807293276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E-45FD-83BD-5FB1E8CF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90496"/>
        <c:axId val="541691808"/>
      </c:barChart>
      <c:catAx>
        <c:axId val="541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08"/>
        <c:crosses val="autoZero"/>
        <c:auto val="1"/>
        <c:lblAlgn val="ctr"/>
        <c:lblOffset val="100"/>
        <c:noMultiLvlLbl val="0"/>
      </c:catAx>
      <c:valAx>
        <c:axId val="541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Sheet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Cash &amp;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Tables'!$A$14:$A$17</c:f>
              <c:strCache>
                <c:ptCount val="4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100</c:v>
                </c:pt>
                <c:pt idx="1">
                  <c:v>72.1875</c:v>
                </c:pt>
                <c:pt idx="2">
                  <c:v>95.3125</c:v>
                </c:pt>
                <c:pt idx="3">
                  <c:v>90.069444444444443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9AF-841A-66B78DE0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48648"/>
        <c:axId val="553951600"/>
      </c:barChart>
      <c:catAx>
        <c:axId val="5539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1600"/>
        <c:crosses val="autoZero"/>
        <c:auto val="1"/>
        <c:lblAlgn val="ctr"/>
        <c:lblOffset val="100"/>
        <c:noMultiLvlLbl val="0"/>
      </c:catAx>
      <c:valAx>
        <c:axId val="553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Summary'!$B$4</c:f>
              <c:strCache>
                <c:ptCount val="1"/>
                <c:pt idx="0">
                  <c:v>Scenario: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Summary'!$C$4:$G$4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20576"/>
        <c:axId val="440727792"/>
      </c:barChart>
      <c:lineChart>
        <c:grouping val="standard"/>
        <c:varyColors val="0"/>
        <c:ser>
          <c:idx val="1"/>
          <c:order val="1"/>
          <c:tx>
            <c:strRef>
              <c:f>'Scenario Summary'!$B$5</c:f>
              <c:strCache>
                <c:ptCount val="1"/>
                <c:pt idx="0">
                  <c:v>Expected Performance: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Summary'!$C$5:$G$5</c:f>
              <c:numCache>
                <c:formatCode>0%</c:formatCode>
                <c:ptCount val="5"/>
                <c:pt idx="0">
                  <c:v>0.153576932607428</c:v>
                </c:pt>
                <c:pt idx="1">
                  <c:v>0.18014193044558499</c:v>
                </c:pt>
                <c:pt idx="2">
                  <c:v>0.20118917885187901</c:v>
                </c:pt>
                <c:pt idx="3">
                  <c:v>0.22526238828898501</c:v>
                </c:pt>
                <c:pt idx="4">
                  <c:v>0.267789292610634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23200"/>
        <c:axId val="440721560"/>
      </c:lineChart>
      <c:catAx>
        <c:axId val="440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7792"/>
        <c:crosses val="autoZero"/>
        <c:auto val="1"/>
        <c:lblAlgn val="ctr"/>
        <c:lblOffset val="100"/>
        <c:noMultiLvlLbl val="0"/>
      </c:catAx>
      <c:valAx>
        <c:axId val="440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0576"/>
        <c:crosses val="autoZero"/>
        <c:crossBetween val="between"/>
      </c:valAx>
      <c:valAx>
        <c:axId val="440721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3200"/>
        <c:crosses val="max"/>
        <c:crossBetween val="between"/>
      </c:valAx>
      <c:catAx>
        <c:axId val="44072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721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Tables'!$I$10:$I$11</c:f>
              <c:strCache>
                <c:ptCount val="1"/>
                <c:pt idx="0">
                  <c:v>Asset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Tables'!$I$12:$I$15</c:f>
              <c:numCache>
                <c:formatCode>General</c:formatCode>
                <c:ptCount val="4"/>
                <c:pt idx="0">
                  <c:v>0.23693572614435923</c:v>
                </c:pt>
                <c:pt idx="1">
                  <c:v>0.25070885028315693</c:v>
                </c:pt>
                <c:pt idx="2">
                  <c:v>0.25140278822236362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4A8E-9B30-D5964B640C61}"/>
            </c:ext>
          </c:extLst>
        </c:ser>
        <c:ser>
          <c:idx val="1"/>
          <c:order val="1"/>
          <c:tx>
            <c:strRef>
              <c:f>'Pivot Tables'!$J$10:$J$11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Tables'!$J$12:$J$15</c:f>
              <c:numCache>
                <c:formatCode>General</c:formatCode>
                <c:ptCount val="4"/>
                <c:pt idx="0">
                  <c:v>0.83518320406525814</c:v>
                </c:pt>
                <c:pt idx="1">
                  <c:v>0.91315581334036378</c:v>
                </c:pt>
                <c:pt idx="2">
                  <c:v>0.90543935587371738</c:v>
                </c:pt>
                <c:pt idx="3">
                  <c:v>0.86997363216875412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4A8E-9B30-D5964B640C61}"/>
            </c:ext>
          </c:extLst>
        </c:ser>
        <c:ser>
          <c:idx val="2"/>
          <c:order val="2"/>
          <c:tx>
            <c:strRef>
              <c:f>'Pivot Tables'!$K$10:$K$11</c:f>
              <c:strCache>
                <c:ptCount val="1"/>
                <c:pt idx="0">
                  <c:v>Dividends per share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Tables'!$K$12:$K$15</c:f>
              <c:numCache>
                <c:formatCode>General</c:formatCode>
                <c:ptCount val="4"/>
                <c:pt idx="0">
                  <c:v>2.4193236714975845</c:v>
                </c:pt>
                <c:pt idx="1">
                  <c:v>2.3649564375605032</c:v>
                </c:pt>
                <c:pt idx="2">
                  <c:v>2.3164587918806556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D-4A8E-9B30-D5964B640C61}"/>
            </c:ext>
          </c:extLst>
        </c:ser>
        <c:ser>
          <c:idx val="3"/>
          <c:order val="3"/>
          <c:tx>
            <c:strRef>
              <c:f>'Pivot Tables'!$L$10:$L$11</c:f>
              <c:strCache>
                <c:ptCount val="1"/>
                <c:pt idx="0">
                  <c:v>EPS (Earnings Per Share)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Tables'!$L$12:$L$15</c:f>
              <c:numCache>
                <c:formatCode>General</c:formatCode>
                <c:ptCount val="4"/>
                <c:pt idx="0">
                  <c:v>4.66</c:v>
                </c:pt>
                <c:pt idx="1">
                  <c:v>3.76</c:v>
                </c:pt>
                <c:pt idx="2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D-4A8E-9B30-D5964B64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54664"/>
        <c:axId val="545953352"/>
      </c:barChart>
      <c:catAx>
        <c:axId val="5459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3352"/>
        <c:crosses val="autoZero"/>
        <c:auto val="1"/>
        <c:lblAlgn val="ctr"/>
        <c:lblOffset val="100"/>
        <c:noMultiLvlLbl val="0"/>
      </c:catAx>
      <c:valAx>
        <c:axId val="5459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71437</xdr:rowOff>
    </xdr:from>
    <xdr:to>
      <xdr:col>14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343F3-2B85-4FDE-A358-796535A5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32</xdr:row>
      <xdr:rowOff>71437</xdr:rowOff>
    </xdr:from>
    <xdr:to>
      <xdr:col>23</xdr:col>
      <xdr:colOff>0</xdr:colOff>
      <xdr:row>47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D72F5-30E0-453C-B8DC-502351DB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CEF55-AB01-4659-BAF4-0E14C24B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DC333-3749-4F39-99A9-9028932E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FE80EF-7B8C-4B38-9D51-543C415FB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E83B97-1D45-4977-8A04-AEA1B31B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4" xr:uid="{8BDAD1E6-2278-43C3-BBC4-E72195285292}">
  <cacheSource type="worksheet">
    <worksheetSource name="CommonSizedBS"/>
  </cacheSource>
  <cacheFields count="5">
    <cacheField name="$ in Millions" numFmtId="44">
      <sharedItems count="24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</sharedItems>
    </cacheField>
    <cacheField name="2016" numFmtId="10">
      <sharedItems containsMixedTypes="1" containsNumber="1" minValue="-0.30222203728362185" maxValue="1.0919191078561918"/>
    </cacheField>
    <cacheField name="2017" numFmtId="10">
      <sharedItems containsMixedTypes="1" containsNumber="1" minValue="-0.15975563362946718" maxValue="1.0458522612840424"/>
    </cacheField>
    <cacheField name="2018" numFmtId="10">
      <sharedItems containsMixedTypes="1" containsNumber="1" minValue="-0.12769146408334855" maxValue="1.0414732224456225"/>
    </cacheField>
    <cacheField name="2019" numFmtId="10">
      <sharedItems containsMixedTypes="1" containsNumber="1" minValue="-0.10853823506007798" maxValue="1.0593777353385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5" xr:uid="{E39688EE-DEEA-4136-AFFF-6708038E8905}">
  <cacheSource type="worksheet">
    <worksheetSource name="TrendAnalysisBS"/>
  </cacheSource>
  <cacheFields count="5">
    <cacheField name="$ in Millions" numFmtId="44">
      <sharedItems count="25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  <s v="Total Liabilities &amp; Equity"/>
      </sharedItems>
    </cacheField>
    <cacheField name="2016" numFmtId="2">
      <sharedItems containsMixedTypes="1" containsNumber="1" containsInteger="1" minValue="100" maxValue="100"/>
    </cacheField>
    <cacheField name="2017" numFmtId="2">
      <sharedItems containsMixedTypes="1" containsNumber="1" minValue="68.895833333333329" maxValue="185.94790279627165"/>
    </cacheField>
    <cacheField name="2018" numFmtId="2">
      <sharedItems containsMixedTypes="1" containsNumber="1" minValue="78.596740740740742" maxValue="227.654793608522"/>
    </cacheField>
    <cacheField name="2019" numFmtId="2">
      <sharedItems containsMixedTypes="1" containsNumber="1" minValue="39.077514413837285" maxValue="261.463881491344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93.653718981484" createdVersion="6" refreshedVersion="6" minRefreshableVersion="3" recordCount="24" xr:uid="{155BBE92-5D94-490B-88E7-FC495B09DAD6}">
  <cacheSource type="worksheet">
    <worksheetSource name="Ratios"/>
  </cacheSource>
  <cacheFields count="5">
    <cacheField name="Ratios" numFmtId="44">
      <sharedItems count="24">
        <s v="Working Capital"/>
        <s v="Current Ratio"/>
        <s v="Quick Ratio"/>
        <s v="Accounts Receivable Turnover"/>
        <s v="Days sales outstanding"/>
        <s v="Inventory Turnover"/>
        <s v="Days in Inventory"/>
        <s v="Accounts Payable Turnover"/>
        <s v="Days Payable Outstanding"/>
        <s v="Cash Conversion Cycle"/>
        <s v="PPE Turnover"/>
        <s v="Debt-to-Assets ratio (Debt ratio)"/>
        <s v="Return on Equity (ROE)  "/>
        <s v="Return on Assets (ROA)"/>
        <s v="Gross Profit Rate  (GP Margin)"/>
        <s v="Operating Expense Margin         "/>
        <s v="Operating Margin"/>
        <s v="Net Profit Margin (ROS)"/>
        <s v="EPS (Earnings Per Share)"/>
        <s v="Dividends per share"/>
        <s v="Asset Turnover"/>
        <s v="ROA   (ROS X Asset Turnover)"/>
        <s v="Financial Leverage (FL)"/>
        <s v="ROE   (ROA X FL)"/>
      </sharedItems>
    </cacheField>
    <cacheField name="2016" numFmtId="0">
      <sharedItems containsString="0" containsBlank="1" containsNumber="1" minValue="-3945" maxValue="0.90158080104840688" count="5">
        <n v="-3945"/>
        <n v="0.86997363216875412"/>
        <n v="0.67214897824653919"/>
        <m/>
        <n v="0.90158080104840688"/>
      </sharedItems>
    </cacheField>
    <cacheField name="2017" numFmtId="0">
      <sharedItems containsString="0" containsBlank="1" containsNumber="1" minValue="-3124" maxValue="44489.758220502903" count="21">
        <n v="-3124"/>
        <n v="0.90543935587371738"/>
        <n v="0.77404122650361717"/>
        <n v="5.3647469458987782"/>
        <n v="68.036759921925835"/>
        <n v="121.88974854932302"/>
        <n v="44489.758220502903"/>
        <m/>
        <n v="1.423019600758739"/>
        <n v="0.82621731876815629"/>
        <n v="0.88912818871054589"/>
        <n v="0.12187751210297552"/>
        <n v="0.57897868829046129"/>
        <n v="0.22685941888696701"/>
        <n v="0.21760001269498708"/>
        <n v="0.24239490931018615"/>
        <n v="7.37"/>
        <n v="2.3164587918806556"/>
        <n v="0.25140278822236362"/>
        <n v="6.0938756051487762E-2"/>
        <n v="14.590520816659149"/>
      </sharedItems>
    </cacheField>
    <cacheField name="2018" numFmtId="0">
      <sharedItems containsString="0" containsBlank="1" containsNumber="1" minValue="-3294" maxValue="35752.241766467065" count="21">
        <n v="-3294"/>
        <n v="0.91315581334036378"/>
        <n v="0.73416820458739784"/>
        <n v="5.2132499402438048"/>
        <n v="70.013907674438158"/>
        <n v="97.95134730538922"/>
        <n v="35752.241766467065"/>
        <m/>
        <n v="1.4656609098850883"/>
        <n v="0.79341386328536523"/>
        <n v="0.32272603800919547"/>
        <n v="6.1455403738131548E-2"/>
        <n v="0.57583121279506044"/>
        <n v="0.27260570214651964"/>
        <n v="0.17023910501822517"/>
        <n v="0.12256329138106264"/>
        <n v="3.76"/>
        <n v="2.3649564375605032"/>
        <n v="0.25070885028315693"/>
        <n v="3.0727701869065774E-2"/>
        <n v="10.502771713431995"/>
      </sharedItems>
    </cacheField>
    <cacheField name="2019" numFmtId="0">
      <sharedItems containsString="0" containsBlank="1" containsNumber="1" minValue="-7395" maxValue="33847.974683544307" count="22">
        <n v="-7395"/>
        <n v="0.83518320406525814"/>
        <n v="0.62456539181599358"/>
        <n v="5.1857328247276735"/>
        <n v="70.385423302089961"/>
        <n v="92.734177215189874"/>
        <n v="33847.974683544307"/>
        <m/>
        <n v="1.4346733394984497"/>
        <n v="0.78461026919003041"/>
        <n v="0.33668807690671659"/>
        <n v="7.1108747367740172E-2"/>
        <n v="0.58499408499408501"/>
        <n v="0.22812206145539479"/>
        <n v="0.23036673036673036"/>
        <n v="0.15005915005915005"/>
        <n v="4.66"/>
        <n v="2.4193236714975845"/>
        <n v="0.23693572614435923"/>
        <n v="3.5554373683870086E-2"/>
        <n v="9.4696669360670374"/>
        <n v="0.336688076906716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.1794577770497174E-2"/>
    <n v="8.0849955083358294E-3"/>
    <n v="1.0365179040059812E-2"/>
    <n v="8.8918749378699945E-3"/>
  </r>
  <r>
    <x v="1"/>
    <n v="4.9225980833811122E-3"/>
    <n v="4.0211088771617345E-3"/>
    <n v="5.0447647349799304E-3"/>
    <n v="4.874420262779928E-3"/>
  </r>
  <r>
    <x v="2"/>
    <n v="7.1721680727332301E-2"/>
    <n v="9.1361615910213384E-2"/>
    <n v="9.4785691899301056E-2"/>
    <n v="8.7167111717461873E-2"/>
  </r>
  <r>
    <x v="3"/>
    <n v="1.965762961749529E-2"/>
    <n v="1.2860548410806439E-2"/>
    <n v="2.0590645284315541E-2"/>
    <n v="2.7518878951896808E-2"/>
  </r>
  <r>
    <x v="4"/>
    <n v="0.10809648619870588"/>
    <n v="0.11632826870651738"/>
    <n v="0.13078628095865635"/>
    <n v="0.12845228587000859"/>
  </r>
  <r>
    <x v="5"/>
    <n v="0.34708411827340485"/>
    <n v="0.34443091976060014"/>
    <n v="0.33714585638279798"/>
    <n v="0.31507196797005421"/>
  </r>
  <r>
    <x v="6"/>
    <n v="0.36201163076419035"/>
    <n v="0.34788425117541599"/>
    <n v="0.35797061500062305"/>
    <n v="0.40555382258070044"/>
  </r>
  <r>
    <x v="7"/>
    <n v="0.14784994676058646"/>
    <n v="0.15329602594665226"/>
    <n v="0.12985360364612636"/>
    <n v="0.11615997148018524"/>
  </r>
  <r>
    <x v="8"/>
    <n v="3.4957818003112456E-2"/>
    <n v="3.8060534410814216E-2"/>
    <n v="4.4243644011796292E-2"/>
    <n v="3.4761952099051509E-2"/>
  </r>
  <r>
    <x v="9"/>
    <n v="1"/>
    <n v="1"/>
    <n v="1"/>
    <n v="1"/>
  </r>
  <r>
    <x v="10"/>
    <n v="8.8999218707415007E-2"/>
    <n v="9.9935986745490826E-2"/>
    <n v="0.10708693645029721"/>
    <n v="9.5267637138912675E-2"/>
  </r>
  <r>
    <x v="11"/>
    <n v="4.881715936551774E-2"/>
    <n v="5.5564446285348498E-2"/>
    <n v="7.3429818341035319E-2"/>
    <n v="0.10075494119497405"/>
  </r>
  <r>
    <x v="12"/>
    <n v="0.13781637807293276"/>
    <n v="0.15550043303083932"/>
    <n v="0.18051675479133253"/>
    <n v="0.19602257833388673"/>
  </r>
  <r>
    <x v="13"/>
    <n v="0.47891872740156621"/>
    <n v="0.53489663742139548"/>
    <n v="0.50387161560829818"/>
    <n v="0.43999790294112506"/>
  </r>
  <r>
    <x v="14"/>
    <n v="0.38326489452550105"/>
    <n v="0.30960292954776519"/>
    <n v="0.31561162960036931"/>
    <n v="0.36397951872498818"/>
  </r>
  <r>
    <x v="15"/>
    <n v="0.86218362192706721"/>
    <n v="0.84449956696916062"/>
    <n v="0.81948324520866744"/>
    <n v="0.8039774216661133"/>
  </r>
  <r>
    <x v="16"/>
    <n v="1"/>
    <n v="1"/>
    <n v="1"/>
    <n v="1"/>
  </r>
  <r>
    <x v="17"/>
    <e v="#N/A"/>
    <e v="#N/A"/>
    <e v="#N/A"/>
    <e v="#N/A"/>
  </r>
  <r>
    <x v="18"/>
    <n v="1.7643142476697737E-2"/>
    <n v="9.488218049992168E-3"/>
    <n v="7.8413452750868209E-3"/>
    <n v="6.8274051086178083E-3"/>
  </r>
  <r>
    <x v="19"/>
    <n v="1.0919191078561918"/>
    <n v="1.0458522612840424"/>
    <n v="1.0414732224456225"/>
    <n v="1.0593777353385851"/>
  </r>
  <r>
    <x v="20"/>
    <n v="-0.30222203728362185"/>
    <n v="-0.15975563362946718"/>
    <n v="-0.12769146408334855"/>
    <n v="-0.10853823506007798"/>
  </r>
  <r>
    <x v="21"/>
    <n v="0.12991011984021306"/>
    <n v="6.8811958735202627E-2"/>
    <n v="4.9771522573569732E-2"/>
    <n v="1.941593061192011E-2"/>
  </r>
  <r>
    <x v="22"/>
    <n v="6.2749667110519311E-2"/>
    <n v="3.5603195560230047E-2"/>
    <n v="2.8605373789069639E-2"/>
    <n v="2.2917164000954882E-2"/>
  </r>
  <r>
    <x v="23"/>
    <n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0"/>
    <n v="72.1875"/>
    <n v="95.3125"/>
    <n v="90.069444444444443"/>
  </r>
  <r>
    <x v="1"/>
    <n v="100"/>
    <n v="86.023294509151413"/>
    <n v="111.14808652246255"/>
    <n v="118.30282861896839"/>
  </r>
  <r>
    <x v="2"/>
    <n v="100"/>
    <n v="134.14606292468451"/>
    <n v="143.33352366813224"/>
    <n v="145.20070804545196"/>
  </r>
  <r>
    <x v="3"/>
    <n v="100"/>
    <n v="68.895833333333329"/>
    <n v="113.60416666666666"/>
    <n v="167.25"/>
  </r>
  <r>
    <x v="4"/>
    <n v="100"/>
    <n v="113.32828187156659"/>
    <n v="131.22182231483234"/>
    <n v="141.97007008903202"/>
  </r>
  <r>
    <x v="5"/>
    <n v="100"/>
    <n v="104.50378166629302"/>
    <n v="105.35096931009664"/>
    <n v="108.45299760474802"/>
  </r>
  <r>
    <x v="6"/>
    <n v="100"/>
    <n v="101.19914928277298"/>
    <n v="107.24580297751029"/>
    <n v="133.84202905108828"/>
  </r>
  <r>
    <x v="7"/>
    <n v="100"/>
    <n v="109.18785662844164"/>
    <n v="95.255110520192787"/>
    <n v="93.864605839011688"/>
  </r>
  <r>
    <x v="8"/>
    <n v="100"/>
    <n v="114.6555763823805"/>
    <n v="137.26569821930647"/>
    <n v="118.80271790065603"/>
  </r>
  <r>
    <x v="9"/>
    <n v="100"/>
    <n v="105.30878859857482"/>
    <n v="108.45646654107625"/>
    <n v="119.47211073798019"/>
  </r>
  <r>
    <x v="10"/>
    <n v="100"/>
    <n v="108.36523248098811"/>
    <n v="114.84203542081354"/>
    <n v="111.29485020160261"/>
  </r>
  <r>
    <x v="11"/>
    <n v="100"/>
    <n v="109.8446077975249"/>
    <n v="143.56564622685403"/>
    <n v="214.59011817251326"/>
  </r>
  <r>
    <x v="12"/>
    <n v="100"/>
    <n v="108.8892551087673"/>
    <n v="125.01647989452866"/>
    <n v="147.88398154251811"/>
  </r>
  <r>
    <x v="13"/>
    <n v="100"/>
    <n v="107.78598730947616"/>
    <n v="100.41732664346077"/>
    <n v="95.52227480959472"/>
  </r>
  <r>
    <x v="14"/>
    <n v="100"/>
    <n v="77.957925925925935"/>
    <n v="78.596740740740742"/>
    <n v="98.740148148148137"/>
  </r>
  <r>
    <x v="15"/>
    <n v="100"/>
    <n v="94.526574222372091"/>
    <n v="90.71746185619152"/>
    <n v="96.952710107055552"/>
  </r>
  <r>
    <x v="16"/>
    <n v="100"/>
    <n v="96.505986881552403"/>
    <n v="95.444428293693335"/>
    <n v="103.97187346694041"/>
  </r>
  <r>
    <x v="17"/>
    <e v="#N/A"/>
    <e v="#N/A"/>
    <e v="#N/A"/>
    <e v="#N/A"/>
  </r>
  <r>
    <x v="18"/>
    <n v="100"/>
    <n v="100"/>
    <n v="101.17924528301887"/>
    <n v="101.17924528301887"/>
  </r>
  <r>
    <x v="19"/>
    <n v="100"/>
    <n v="178.10296863686597"/>
    <n v="217.13730421858921"/>
    <n v="253.67173507107199"/>
  </r>
  <r>
    <x v="20"/>
    <n v="100"/>
    <n v="98.292716508329889"/>
    <n v="96.186148974253058"/>
    <n v="93.900592041855973"/>
  </r>
  <r>
    <x v="21"/>
    <n v="100"/>
    <n v="98.494554772581679"/>
    <n v="87.219730941704029"/>
    <n v="39.077514413837285"/>
  </r>
  <r>
    <x v="22"/>
    <n v="100"/>
    <n v="105.50397877984085"/>
    <n v="103.77984084880636"/>
    <n v="95.490716180371351"/>
  </r>
  <r>
    <x v="23"/>
    <n v="100"/>
    <n v="185.94790279627165"/>
    <n v="227.654793608522"/>
    <n v="261.46388149134486"/>
  </r>
  <r>
    <x v="24"/>
    <n v="100"/>
    <n v="105.30878859857482"/>
    <n v="108.45646654107625"/>
    <n v="119.472110737980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3"/>
    <x v="4"/>
    <x v="4"/>
    <x v="4"/>
  </r>
  <r>
    <x v="5"/>
    <x v="3"/>
    <x v="5"/>
    <x v="5"/>
    <x v="5"/>
  </r>
  <r>
    <x v="6"/>
    <x v="3"/>
    <x v="6"/>
    <x v="6"/>
    <x v="6"/>
  </r>
  <r>
    <x v="7"/>
    <x v="3"/>
    <x v="7"/>
    <x v="7"/>
    <x v="7"/>
  </r>
  <r>
    <x v="8"/>
    <x v="3"/>
    <x v="7"/>
    <x v="7"/>
    <x v="7"/>
  </r>
  <r>
    <x v="9"/>
    <x v="3"/>
    <x v="7"/>
    <x v="7"/>
    <x v="7"/>
  </r>
  <r>
    <x v="10"/>
    <x v="3"/>
    <x v="8"/>
    <x v="8"/>
    <x v="8"/>
  </r>
  <r>
    <x v="11"/>
    <x v="4"/>
    <x v="9"/>
    <x v="9"/>
    <x v="9"/>
  </r>
  <r>
    <x v="12"/>
    <x v="3"/>
    <x v="10"/>
    <x v="10"/>
    <x v="10"/>
  </r>
  <r>
    <x v="13"/>
    <x v="3"/>
    <x v="11"/>
    <x v="11"/>
    <x v="11"/>
  </r>
  <r>
    <x v="14"/>
    <x v="3"/>
    <x v="12"/>
    <x v="12"/>
    <x v="12"/>
  </r>
  <r>
    <x v="15"/>
    <x v="3"/>
    <x v="13"/>
    <x v="13"/>
    <x v="13"/>
  </r>
  <r>
    <x v="16"/>
    <x v="3"/>
    <x v="14"/>
    <x v="14"/>
    <x v="14"/>
  </r>
  <r>
    <x v="17"/>
    <x v="3"/>
    <x v="15"/>
    <x v="15"/>
    <x v="15"/>
  </r>
  <r>
    <x v="18"/>
    <x v="3"/>
    <x v="16"/>
    <x v="16"/>
    <x v="16"/>
  </r>
  <r>
    <x v="19"/>
    <x v="3"/>
    <x v="17"/>
    <x v="17"/>
    <x v="17"/>
  </r>
  <r>
    <x v="20"/>
    <x v="3"/>
    <x v="18"/>
    <x v="18"/>
    <x v="18"/>
  </r>
  <r>
    <x v="21"/>
    <x v="3"/>
    <x v="19"/>
    <x v="19"/>
    <x v="19"/>
  </r>
  <r>
    <x v="22"/>
    <x v="3"/>
    <x v="20"/>
    <x v="20"/>
    <x v="20"/>
  </r>
  <r>
    <x v="23"/>
    <x v="3"/>
    <x v="10"/>
    <x v="1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BD0F0-4AF2-43DD-9BCF-BED90A89C91C}" name="PivotTable1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H10:M15" firstHeaderRow="1" firstDataRow="2" firstDataCol="1"/>
  <pivotFields count="5">
    <pivotField axis="axisCol" showAll="0">
      <items count="25">
        <item h="1" x="7"/>
        <item h="1" x="3"/>
        <item x="20"/>
        <item h="1" x="9"/>
        <item x="1"/>
        <item h="1" x="6"/>
        <item h="1" x="8"/>
        <item h="1" x="4"/>
        <item h="1" x="11"/>
        <item x="19"/>
        <item x="18"/>
        <item h="1" x="22"/>
        <item h="1" x="14"/>
        <item h="1" x="5"/>
        <item h="1" x="17"/>
        <item h="1" x="15"/>
        <item h="1" x="16"/>
        <item h="1" x="10"/>
        <item h="1" x="2"/>
        <item h="1" x="13"/>
        <item h="1" x="12"/>
        <item h="1" x="21"/>
        <item h="1" x="23"/>
        <item h="1" x="0"/>
        <item t="default"/>
      </items>
    </pivotField>
    <pivotField dataField="1" showAll="0">
      <items count="6">
        <item x="0"/>
        <item x="2"/>
        <item x="1"/>
        <item x="4"/>
        <item x="3"/>
        <item t="default"/>
      </items>
    </pivotField>
    <pivotField dataField="1" showAll="0">
      <items count="22">
        <item x="0"/>
        <item x="19"/>
        <item x="11"/>
        <item x="14"/>
        <item x="13"/>
        <item x="15"/>
        <item x="18"/>
        <item x="12"/>
        <item x="2"/>
        <item x="9"/>
        <item x="10"/>
        <item x="1"/>
        <item x="8"/>
        <item x="17"/>
        <item x="3"/>
        <item x="16"/>
        <item x="20"/>
        <item x="4"/>
        <item x="5"/>
        <item x="6"/>
        <item x="7"/>
        <item t="default"/>
      </items>
    </pivotField>
    <pivotField dataField="1" showAll="0">
      <items count="22">
        <item x="0"/>
        <item x="19"/>
        <item x="11"/>
        <item x="15"/>
        <item x="14"/>
        <item x="18"/>
        <item x="13"/>
        <item x="10"/>
        <item x="12"/>
        <item x="2"/>
        <item x="9"/>
        <item x="1"/>
        <item x="8"/>
        <item x="17"/>
        <item x="16"/>
        <item x="3"/>
        <item x="20"/>
        <item x="4"/>
        <item x="5"/>
        <item x="6"/>
        <item x="7"/>
        <item t="default"/>
      </items>
    </pivotField>
    <pivotField dataField="1" showAll="0">
      <items count="23">
        <item x="0"/>
        <item x="19"/>
        <item x="11"/>
        <item x="15"/>
        <item x="13"/>
        <item x="14"/>
        <item x="18"/>
        <item x="21"/>
        <item x="10"/>
        <item x="12"/>
        <item x="2"/>
        <item x="9"/>
        <item x="1"/>
        <item x="8"/>
        <item x="17"/>
        <item x="16"/>
        <item x="3"/>
        <item x="20"/>
        <item x="4"/>
        <item x="5"/>
        <item x="6"/>
        <item x="7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2"/>
    </i>
    <i>
      <x v="4"/>
    </i>
    <i>
      <x v="9"/>
    </i>
    <i>
      <x v="10"/>
    </i>
    <i t="grand">
      <x/>
    </i>
  </colItems>
  <dataFields count="4">
    <dataField name="2019A" fld="4" baseField="0" baseItem="0"/>
    <dataField name="2018A" fld="3" baseField="0" baseItem="0"/>
    <dataField name="2017A" fld="2" baseField="0" baseItem="0"/>
    <dataField name="A2016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9A93-8D5E-4CBB-BBB1-A39CE4B742BB}" name="PivotTable6" cacheId="0" dataOnRows="1" applyNumberFormats="0" applyBorderFormats="0" applyFontFormats="0" applyPatternFormats="0" applyAlignmentFormats="0" applyWidthHeightFormats="1" dataCaption="Commonsized Balance Sheet" updatedVersion="6" minRefreshableVersion="3" useAutoFormatting="1" itemPrintTitles="1" createdVersion="6" indent="0" outline="1" outlineData="1" multipleFieldFilters="0" chartFormat="5">
  <location ref="A3:F8" firstHeaderRow="1" firstDataRow="2" firstDataCol="1"/>
  <pivotFields count="5">
    <pivotField axis="axisCol" showAll="0">
      <items count="25">
        <item h="1" x="10"/>
        <item h="1" x="2"/>
        <item h="1" x="21"/>
        <item h="1" x="0"/>
        <item h="1" x="18"/>
        <item h="1" x="6"/>
        <item h="1" x="7"/>
        <item h="1" x="1"/>
        <item x="13"/>
        <item h="1" x="22"/>
        <item h="1" x="8"/>
        <item h="1" x="11"/>
        <item h="1" x="14"/>
        <item h="1" x="17"/>
        <item h="1" x="3"/>
        <item x="5"/>
        <item h="1" x="19"/>
        <item h="1" x="9"/>
        <item x="4"/>
        <item x="12"/>
        <item h="1" x="23"/>
        <item h="1" x="16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8"/>
    </i>
    <i>
      <x v="15"/>
    </i>
    <i>
      <x v="18"/>
    </i>
    <i>
      <x v="19"/>
    </i>
    <i t="grand">
      <x/>
    </i>
  </colItems>
  <dataFields count="4">
    <dataField name="2019A" fld="4" subtotal="product" baseField="0" baseItem="0"/>
    <dataField name="2018A" fld="3" subtotal="average" baseField="0" baseItem="0"/>
    <dataField name="2017A" fld="2" baseField="0" baseItem="0"/>
    <dataField name="2016A" fld="1" subtotal="max" baseField="0" baseItem="0"/>
  </dataFields>
  <formats count="1">
    <format dxfId="10">
      <pivotArea outline="0" collapsedLevelsAreSubtotals="1" fieldPosition="0"/>
    </format>
  </formats>
  <chartFormats count="6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09A1D-A604-4DDC-A3C5-5C0FA55D5081}" name="PivotTable9" cacheId="1" dataOnRows="1" applyNumberFormats="0" applyBorderFormats="0" applyFontFormats="0" applyPatternFormats="0" applyAlignmentFormats="0" applyWidthHeightFormats="1" dataCaption="Trend Analysis Balance Sheet" updatedVersion="6" minRefreshableVersion="3" useAutoFormatting="1" itemPrintTitles="1" createdVersion="6" indent="0" outline="1" outlineData="1" multipleFieldFilters="0" chartFormat="4">
  <location ref="A12:C17" firstHeaderRow="1" firstDataRow="2" firstDataCol="1"/>
  <pivotFields count="5">
    <pivotField axis="axisCol" showAll="0">
      <items count="26">
        <item h="1" x="10"/>
        <item h="1" x="2"/>
        <item h="1" x="21"/>
        <item x="0"/>
        <item h="1" x="18"/>
        <item h="1" x="6"/>
        <item h="1" x="7"/>
        <item h="1" x="1"/>
        <item h="1" x="13"/>
        <item h="1" x="22"/>
        <item h="1" x="8"/>
        <item h="1" x="11"/>
        <item h="1" x="14"/>
        <item h="1" x="17"/>
        <item h="1" x="3"/>
        <item h="1" x="5"/>
        <item h="1" x="19"/>
        <item h="1" x="9"/>
        <item h="1" x="4"/>
        <item h="1" x="12"/>
        <item h="1" x="23"/>
        <item h="1" x="16"/>
        <item h="1" x="24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">
    <i>
      <x v="3"/>
    </i>
    <i t="grand">
      <x/>
    </i>
  </colItems>
  <dataFields count="4">
    <dataField name="2016A" fld="1" baseField="2" baseItem="0"/>
    <dataField name="2017A" fld="2" baseField="0" baseItem="0"/>
    <dataField name="2018A" fld="3" baseField="0" baseItem="0"/>
    <dataField name="2019A" fld="4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9B2E-50FD-41A1-8314-E76B0238AEBE}" name="BalanceSheet" displayName="BalanceSheet" ref="B4:F29" totalsRowShown="0" headerRowDxfId="62" dataDxfId="60" headerRowBorderDxfId="61" tableBorderDxfId="59" dataCellStyle="Currency">
  <autoFilter ref="B4:F29" xr:uid="{0FF0ECFF-090C-4267-A00D-CAB475C39DB9}"/>
  <tableColumns count="5">
    <tableColumn id="1" xr3:uid="{76DBCE9C-BE72-49B4-A80B-DB2733CDA75B}" name="$ in Millions" dataDxfId="58"/>
    <tableColumn id="2" xr3:uid="{9CDE8BFB-8C6D-461A-A022-1534DD5FBF0F}" name="2016" dataDxfId="57" dataCellStyle="Currency"/>
    <tableColumn id="3" xr3:uid="{5526BE2B-9EB4-4269-A198-E6B12B1196CC}" name="2017" dataDxfId="56" dataCellStyle="Currency"/>
    <tableColumn id="4" xr3:uid="{225E8D95-A436-481B-88D1-1C2C9F91E9D8}" name="2018" dataDxfId="55" dataCellStyle="Currency"/>
    <tableColumn id="5" xr3:uid="{CC19083A-9489-4AF3-A3E5-118DC0CE2E01}" name="2019" dataDxfId="5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4BD5A-A163-4D12-B8C0-C86DDAC2D068}" name="IncomeStatement" displayName="IncomeStatement" ref="H4:K19" totalsRowShown="0" headerRowDxfId="53" headerRowBorderDxfId="52" tableBorderDxfId="51">
  <autoFilter ref="H4:K19" xr:uid="{79E2C455-8D61-4AD8-BD0A-BC6F1252C186}"/>
  <tableColumns count="4">
    <tableColumn id="1" xr3:uid="{A53753B2-A787-4D30-8FE5-3761A064AAD2}" name="$ in Millions"/>
    <tableColumn id="2" xr3:uid="{425427C0-6A5F-4487-B14D-79EF028C7DA0}" name="2017"/>
    <tableColumn id="3" xr3:uid="{0C84158F-E9CC-4E1D-AB95-60391F24541E}" name="2018"/>
    <tableColumn id="4" xr3:uid="{3277B2AB-28DE-4FF3-BCE3-261A8A5840C2}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8F4F1-DB40-4498-8B6B-BCADDFE44B6A}" name="CashFlows" displayName="CashFlows" ref="M4:P10" totalsRowShown="0" headerRowDxfId="50" headerRowBorderDxfId="49" tableBorderDxfId="48" totalsRowBorderDxfId="47">
  <autoFilter ref="M4:P10" xr:uid="{699F3EE0-E79E-495A-BFB1-27F6C042F0B5}"/>
  <tableColumns count="4">
    <tableColumn id="1" xr3:uid="{084911F1-61D5-4584-86A8-75EA17BC516C}" name="$ in Millions" dataDxfId="46"/>
    <tableColumn id="2" xr3:uid="{67F70E60-8AC4-4596-ACEA-2635357A5D97}" name="2017" dataDxfId="45" dataCellStyle="Currency"/>
    <tableColumn id="3" xr3:uid="{B800C273-0B62-4968-A64D-D67408D53C0B}" name="2018" dataDxfId="44" dataCellStyle="Currency"/>
    <tableColumn id="4" xr3:uid="{DB545EBC-48BC-45EA-B593-F75CFE3116AA}" name="2019" dataDxfId="43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6A386-4543-407E-A29D-DF7E9E8EB059}" name="CommonSizedBS" displayName="CommonSizedBS" ref="B34:F58" totalsRowShown="0" headerRowDxfId="42" dataDxfId="40" headerRowBorderDxfId="41" tableBorderDxfId="39" dataCellStyle="Percent">
  <autoFilter ref="B34:F58" xr:uid="{6E8C7FA7-EF44-4F32-9FE9-525BF1807AA4}"/>
  <tableColumns count="5">
    <tableColumn id="1" xr3:uid="{AACF0B8F-9E1E-4BAB-8400-C1A05F4BE20A}" name="$ in Millions" dataDxfId="38"/>
    <tableColumn id="2" xr3:uid="{6559254D-1097-4DE5-9E8C-1DDFFDB4A913}" name="2016" dataDxfId="37" dataCellStyle="Percent">
      <calculatedColumnFormula>IFERROR(IF(ABS(C5/C$28) &gt;  0, C5/C$28, NA()), NA())</calculatedColumnFormula>
    </tableColumn>
    <tableColumn id="3" xr3:uid="{57F6BDF5-478B-42FE-BA4C-7E4265520EFC}" name="2017" dataDxfId="36" dataCellStyle="Percent">
      <calculatedColumnFormula>IFERROR(IF(ABS(D5/D$28) &gt;  0, D5/D$28, NA()), NA())</calculatedColumnFormula>
    </tableColumn>
    <tableColumn id="4" xr3:uid="{63FAD019-7163-4172-B2B2-A0EC1075F9A5}" name="2018" dataDxfId="35" dataCellStyle="Percent">
      <calculatedColumnFormula>IFERROR(IF(ABS(E5/E$28) &gt;  0, E5/E$28, NA()), NA())</calculatedColumnFormula>
    </tableColumn>
    <tableColumn id="5" xr3:uid="{A1216156-7324-434C-8F48-B8FB5BEF7325}" name="2019" dataDxfId="34" dataCellStyle="Percent">
      <calculatedColumnFormula>IFERROR(IF(ABS(F5/F$28) &gt;  0, F5/F$28, NA()), NA())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79201-6A88-48A5-A7AE-AEF721362EA6}" name="TrendAnalysisBS" displayName="TrendAnalysisBS" ref="B64:F89" totalsRowShown="0" headerRowDxfId="33" dataDxfId="31" headerRowBorderDxfId="32" tableBorderDxfId="30" dataCellStyle="Currency">
  <autoFilter ref="B64:F89" xr:uid="{DC0A3A45-E3F4-459A-8CAE-3E808A17B49F}"/>
  <tableColumns count="5">
    <tableColumn id="1" xr3:uid="{7FC225F1-18F0-4475-9C95-A9DC1A134491}" name="$ in Millions" dataDxfId="29"/>
    <tableColumn id="2" xr3:uid="{C9456BEE-F84D-4694-B53C-7E581D7AFC42}" name="2016" dataDxfId="28" dataCellStyle="Currency">
      <calculatedColumnFormula>IFERROR(IF(ABS((C5/$C5)*100) &gt;  0,(C5/$C5)*100, NA()), NA())</calculatedColumnFormula>
    </tableColumn>
    <tableColumn id="3" xr3:uid="{48984423-1131-4398-81EE-CF60D6BA4D6B}" name="2017" dataDxfId="27" dataCellStyle="Currency">
      <calculatedColumnFormula>IFERROR(IF(ABS((D5/$C5)*100) &gt;  0,(D5/$C5)*100, NA()), NA())</calculatedColumnFormula>
    </tableColumn>
    <tableColumn id="4" xr3:uid="{13705006-2C75-437D-99B2-66387D5363C4}" name="2018" dataDxfId="26" dataCellStyle="Currency">
      <calculatedColumnFormula>IFERROR(IF(ABS((E5/$C5)*100) &gt;  0,(E5/$C5)*100, NA()), NA())</calculatedColumnFormula>
    </tableColumn>
    <tableColumn id="5" xr3:uid="{2839225C-667C-44EF-9E0A-256B6E2429DA}" name="2019" dataDxfId="25" dataCellStyle="Currency">
      <calculatedColumnFormula>IFERROR(IF(ABS((F5/$C5)*100) &gt;  0,(F5/$C5)*100, NA()), NA())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6F37EC-01DE-45D2-978F-D91E1CAB3BAF}" name="TrendAnalysisIS" displayName="TrendAnalysisIS" ref="H64:K79" totalsRowShown="0" headerRowDxfId="24" headerRowBorderDxfId="23" tableBorderDxfId="22">
  <autoFilter ref="H64:K79" xr:uid="{1583356A-807F-4425-82A5-2F595CA8AE45}"/>
  <tableColumns count="4">
    <tableColumn id="1" xr3:uid="{9C12AF67-C704-45A4-9CF6-FC63C1C6089A}" name="$ in Millions"/>
    <tableColumn id="2" xr3:uid="{8DB70F19-96A8-4960-A379-FA027F289814}" name="2017">
      <calculatedColumnFormula>IFERROR(IF(ABS((I5/$I5)*100) &gt;  0,(I5/$I5)*100, NA()), NA())</calculatedColumnFormula>
    </tableColumn>
    <tableColumn id="3" xr3:uid="{787E4A0D-B38B-4F71-94E6-216274058132}" name="2018">
      <calculatedColumnFormula>IFERROR(IF(ABS((J5/$I5)*100) &gt;  0,(J5/$I5)*100, NA()), NA())</calculatedColumnFormula>
    </tableColumn>
    <tableColumn id="4" xr3:uid="{9B290363-6A7D-494D-9995-19F789AF1AFC}" name="2019">
      <calculatedColumnFormula>IFERROR(IF(ABS((K5/$I5)*100) &gt;  0,(K5/$I5)*100, NA()), NA())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AB957-A6DA-44D5-A00F-AA6D422D6E77}" name="TrendAnalysisCF" displayName="TrendAnalysisCF" ref="M64:P70" totalsRowShown="0" headerRowDxfId="21" headerRowBorderDxfId="20" tableBorderDxfId="19" totalsRowBorderDxfId="18">
  <autoFilter ref="M64:P70" xr:uid="{CB6F492B-F0A5-4AA6-9E33-2F0237F1998C}"/>
  <tableColumns count="4">
    <tableColumn id="1" xr3:uid="{134C3817-5272-4431-8737-8977769F9502}" name="$ in Millions" dataDxfId="17"/>
    <tableColumn id="2" xr3:uid="{A2326057-F525-4C56-8795-649157734230}" name="2017" dataDxfId="16">
      <calculatedColumnFormula>IFERROR(IF(ABS((N5/$N5)*100) &gt;  0,ABS((N5/$N5)*100), NA()), NA())</calculatedColumnFormula>
    </tableColumn>
    <tableColumn id="3" xr3:uid="{19F5047F-CEAF-481E-AFA3-2CF3D8EE01A9}" name="2018" dataDxfId="15">
      <calculatedColumnFormula>IFERROR(IF(ABS((O5/$N5)*100) &gt;  0,ABS((O5/$N5)*100), NA()), NA())</calculatedColumnFormula>
    </tableColumn>
    <tableColumn id="4" xr3:uid="{6A110DE8-252C-4D22-9F76-2398792B1AC6}" name="2019" dataDxfId="14">
      <calculatedColumnFormula>IFERROR(IF(ABS((P5/$N5)*100) &gt;  0,ABS((P5/$N5)*100), NA()), NA())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7549D6-67C3-4EA4-ABE1-706AF037709B}" name="CommonSizedIS" displayName="CommonSizedIS" ref="H34:K47" totalsRowShown="0" headerRowDxfId="13" headerRowBorderDxfId="12" tableBorderDxfId="11">
  <autoFilter ref="H34:K47" xr:uid="{C4A3F025-063D-4B67-AC8C-E6970A1E3F48}"/>
  <tableColumns count="4">
    <tableColumn id="1" xr3:uid="{F62B0EE8-D841-41DF-A5A7-6ACF2254B5EA}" name="$ in Millions"/>
    <tableColumn id="2" xr3:uid="{BC95CFBF-8109-400E-B62D-D470E88F0548}" name="2017">
      <calculatedColumnFormula>IFERROR(IF(ABS(I5/RevenueY1) &gt;  0, I5/RevenueY1, NA()), NA())</calculatedColumnFormula>
    </tableColumn>
    <tableColumn id="3" xr3:uid="{76223633-5332-4C84-9EF6-8DA2E7141261}" name="2018">
      <calculatedColumnFormula>IFERROR(IF(ABS(J5/RevenueY2) &gt;  0, J5/RevenueY2, NA()), NA())</calculatedColumnFormula>
    </tableColumn>
    <tableColumn id="4" xr3:uid="{F25C8DD7-2E90-4EA8-8762-FB7FCB1CC435}" name="2019">
      <calculatedColumnFormula>IFERROR(IF(ABS(K5/RevenueY3) &gt;  0, K5/RevenueY3, NA()), NA())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1BEB4-F57E-48BA-BB2A-07865D762AE7}" name="Ratios" displayName="Ratios" ref="B92:F116" totalsRowShown="0" headerRowDxfId="0" dataDxfId="1" headerRowBorderDxfId="8" tableBorderDxfId="9" totalsRowBorderDxfId="7">
  <autoFilter ref="B92:F116" xr:uid="{4AC246CB-1B8B-4074-B7A8-72CB43500BB3}"/>
  <tableColumns count="5">
    <tableColumn id="1" xr3:uid="{A868839B-2AD6-4F91-A8AB-34953C47ED7E}" name="Ratios" dataDxfId="6"/>
    <tableColumn id="2" xr3:uid="{0EB71E22-E538-4C39-96E7-AB082023E69F}" name="2016" dataDxfId="5"/>
    <tableColumn id="3" xr3:uid="{7724D99C-FE3C-4A19-8D46-AC3227CE314C}" name="2017" dataDxfId="4"/>
    <tableColumn id="4" xr3:uid="{9D38E68A-1C29-4B65-A586-2F042473F665}" name="2018" dataDxfId="3"/>
    <tableColumn id="5" xr3:uid="{9788D129-700F-46BE-B46C-55AF3A23585F}" name="201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D5E-E30A-49FE-AF3D-C4B640654F45}">
  <dimension ref="A1:G14"/>
  <sheetViews>
    <sheetView tabSelected="1" zoomScale="80" zoomScaleNormal="80" workbookViewId="0">
      <selection activeCell="E21" sqref="E21"/>
    </sheetView>
  </sheetViews>
  <sheetFormatPr defaultRowHeight="15"/>
  <cols>
    <col min="1" max="14" width="9.140625" style="118"/>
    <col min="15" max="15" width="4.28515625" style="118" customWidth="1"/>
    <col min="16" max="16384" width="9.140625" style="118"/>
  </cols>
  <sheetData>
    <row r="1" spans="1:7" ht="15" customHeight="1">
      <c r="A1" s="305" t="s">
        <v>220</v>
      </c>
      <c r="B1" s="305"/>
      <c r="C1" s="305"/>
      <c r="D1" s="305"/>
      <c r="E1" s="305"/>
      <c r="F1" s="305"/>
      <c r="G1" s="263"/>
    </row>
    <row r="2" spans="1:7" ht="15" customHeight="1">
      <c r="A2" s="305"/>
      <c r="B2" s="305"/>
      <c r="C2" s="305"/>
      <c r="D2" s="305"/>
      <c r="E2" s="305"/>
      <c r="F2" s="305"/>
      <c r="G2" s="263"/>
    </row>
    <row r="3" spans="1:7" ht="15" customHeight="1">
      <c r="A3" s="306" t="s">
        <v>221</v>
      </c>
      <c r="B3" s="306"/>
      <c r="C3" s="306"/>
      <c r="D3" s="298" t="s">
        <v>227</v>
      </c>
      <c r="E3" s="298"/>
      <c r="F3" s="263"/>
      <c r="G3" s="263"/>
    </row>
    <row r="4" spans="1:7" ht="17.25" customHeight="1">
      <c r="A4" s="306" t="s">
        <v>222</v>
      </c>
      <c r="B4" s="306"/>
      <c r="C4" s="306"/>
      <c r="D4" s="298" t="s">
        <v>228</v>
      </c>
      <c r="E4" s="298"/>
    </row>
    <row r="5" spans="1:7" ht="17.25" customHeight="1">
      <c r="A5" s="299" t="s">
        <v>223</v>
      </c>
      <c r="B5" s="299"/>
      <c r="C5" s="299"/>
      <c r="D5" s="301">
        <v>61.5</v>
      </c>
      <c r="E5" s="301"/>
    </row>
    <row r="6" spans="1:7" ht="17.25" customHeight="1">
      <c r="A6" s="299" t="s">
        <v>224</v>
      </c>
      <c r="B6" s="299"/>
      <c r="C6" s="299"/>
      <c r="D6" s="302">
        <f>DCF!H1</f>
        <v>-43.570493844620025</v>
      </c>
      <c r="E6" s="303"/>
    </row>
    <row r="7" spans="1:7" ht="17.25" customHeight="1">
      <c r="A7" s="299" t="s">
        <v>225</v>
      </c>
      <c r="B7" s="299"/>
      <c r="C7" s="299"/>
      <c r="D7" s="304">
        <f>DCF!H2</f>
        <v>-1.708463314546667</v>
      </c>
      <c r="E7" s="298"/>
    </row>
    <row r="8" spans="1:7" ht="17.25" customHeight="1">
      <c r="A8" s="299" t="s">
        <v>226</v>
      </c>
      <c r="B8" s="299"/>
      <c r="C8" s="299"/>
      <c r="D8" s="298">
        <v>3</v>
      </c>
      <c r="E8" s="298"/>
    </row>
    <row r="9" spans="1:7">
      <c r="A9" s="300" t="str">
        <f>DCF!B5</f>
        <v>(1-Above Avg., 2-Slightly Above Avg., 3-Base, 4-Slightly Below Avg., 5-Below Average)</v>
      </c>
      <c r="B9" s="300"/>
      <c r="C9" s="300"/>
    </row>
    <row r="10" spans="1:7">
      <c r="A10" s="300"/>
      <c r="B10" s="300"/>
      <c r="C10" s="300"/>
    </row>
    <row r="11" spans="1:7">
      <c r="A11" s="300"/>
      <c r="B11" s="300"/>
      <c r="C11" s="300"/>
    </row>
    <row r="12" spans="1:7">
      <c r="A12" s="138" t="s">
        <v>238</v>
      </c>
      <c r="B12" s="138"/>
      <c r="C12" s="138"/>
    </row>
    <row r="13" spans="1:7">
      <c r="A13" s="149" t="s">
        <v>178</v>
      </c>
      <c r="B13" s="150"/>
      <c r="C13" s="138">
        <v>1.7500000000000002E-2</v>
      </c>
    </row>
    <row r="14" spans="1:7">
      <c r="A14" s="149" t="s">
        <v>187</v>
      </c>
      <c r="B14" s="150"/>
      <c r="C14" s="137">
        <v>0.12</v>
      </c>
    </row>
  </sheetData>
  <scenarios current="1" show="0" sqref="D7">
    <scenario name="Base" locked="1" count="1" user="Daniel Encarnacao" comment="Created by Daniel Encarnacao on 12/8/2020_x000a_Modified by Daniel Encarnacao on 12/12/2020">
      <inputCells r="D8" val="3"/>
    </scenario>
    <scenario name="Slightly Below Average" locked="1" count="1" user="Daniel Encarnacao" comment="Created by Daniel Encarnacao on 12/8/2020_x000a_Modified by Daniel Encarnacao on 12/18/2020">
      <inputCells r="D8" val="4"/>
    </scenario>
    <scenario name="Below Average" locked="1" count="1" user="Daniel Encarnacao" comment="Created by Daniel Encarnacao on 12/8/2020_x000a_Modified by Daniel Encarnacao on 12/18/2020">
      <inputCells r="D8" val="5"/>
    </scenario>
    <scenario name="Slightly Above Average" locked="1" count="1" user="Daniel Encarnacao" comment="Created by Daniel Encarnacao on 12/8/2020_x000a_Modified by Daniel Encarnacao on 12/18/2020">
      <inputCells r="D8" val="2"/>
    </scenario>
    <scenario name="Above Average" locked="1" count="1" user="Daniel Encarnacao" comment="Created by Daniel Encarnacao on 12/8/2020_x000a_Modified by Daniel Encarnacao on 12/18/2020">
      <inputCells r="D8" val="1"/>
    </scenario>
  </scenarios>
  <mergeCells count="14">
    <mergeCell ref="A1:F2"/>
    <mergeCell ref="A3:C3"/>
    <mergeCell ref="A4:C4"/>
    <mergeCell ref="A5:C5"/>
    <mergeCell ref="A6:C6"/>
    <mergeCell ref="D8:E8"/>
    <mergeCell ref="A7:C7"/>
    <mergeCell ref="A8:C8"/>
    <mergeCell ref="A9:C11"/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E3F-FD5D-41FF-80D9-682EF99159B7}">
  <dimension ref="A1:S92"/>
  <sheetViews>
    <sheetView zoomScale="85" zoomScaleNormal="85" workbookViewId="0">
      <selection activeCell="G5" sqref="G5"/>
    </sheetView>
  </sheetViews>
  <sheetFormatPr defaultRowHeight="15"/>
  <cols>
    <col min="1" max="1" width="24.140625" style="72" customWidth="1"/>
    <col min="2" max="2" width="14.7109375" style="72" customWidth="1"/>
    <col min="3" max="3" width="13.140625" style="72" customWidth="1"/>
    <col min="4" max="4" width="12.5703125" style="72" bestFit="1" customWidth="1"/>
    <col min="5" max="5" width="12.42578125" style="72" customWidth="1"/>
    <col min="6" max="10" width="12.5703125" style="72" bestFit="1" customWidth="1"/>
    <col min="11" max="11" width="9.140625" style="72"/>
    <col min="12" max="12" width="30.28515625" style="72" bestFit="1" customWidth="1"/>
    <col min="13" max="13" width="4.140625" style="72" customWidth="1"/>
    <col min="14" max="14" width="12.5703125" style="72" bestFit="1" customWidth="1"/>
    <col min="15" max="17" width="11.5703125" style="72" bestFit="1" customWidth="1"/>
    <col min="18" max="16384" width="9.140625" style="72"/>
  </cols>
  <sheetData>
    <row r="1" spans="1:19">
      <c r="A1" s="309" t="s">
        <v>149</v>
      </c>
      <c r="B1" s="309"/>
      <c r="C1" s="152">
        <f>Dashboard!D5</f>
        <v>61.5</v>
      </c>
      <c r="D1" s="15"/>
      <c r="E1" s="15"/>
      <c r="F1" s="312" t="s">
        <v>147</v>
      </c>
      <c r="G1" s="312"/>
      <c r="H1" s="116">
        <f>Target_Price</f>
        <v>-43.570493844620025</v>
      </c>
      <c r="I1" s="15"/>
      <c r="J1" s="124"/>
      <c r="K1" s="13"/>
      <c r="L1" s="125"/>
      <c r="M1" s="126"/>
      <c r="N1" s="15"/>
      <c r="O1" s="15"/>
      <c r="P1" s="15"/>
      <c r="Q1" s="15"/>
      <c r="R1" s="15"/>
      <c r="S1" s="13"/>
    </row>
    <row r="2" spans="1:19">
      <c r="A2" s="309" t="s">
        <v>150</v>
      </c>
      <c r="B2" s="309"/>
      <c r="C2" s="154">
        <f>'Consolidated Financials'!P18</f>
        <v>4140</v>
      </c>
      <c r="D2" s="15"/>
      <c r="E2" s="15"/>
      <c r="F2" s="312" t="s">
        <v>148</v>
      </c>
      <c r="G2" s="312"/>
      <c r="H2" s="117">
        <f>(H1-C1)/C1</f>
        <v>-1.708463314546667</v>
      </c>
      <c r="I2" s="15"/>
      <c r="J2" s="124"/>
      <c r="K2" s="13"/>
      <c r="L2" s="125"/>
      <c r="M2" s="126"/>
      <c r="N2" s="15"/>
      <c r="O2" s="15"/>
      <c r="P2" s="15"/>
      <c r="Q2" s="15"/>
      <c r="R2" s="15"/>
      <c r="S2" s="13"/>
    </row>
    <row r="3" spans="1:19">
      <c r="A3" s="309" t="s">
        <v>151</v>
      </c>
      <c r="B3" s="309"/>
      <c r="C3" s="120">
        <f>N29</f>
        <v>8.2784699519411836E-2</v>
      </c>
      <c r="D3" s="15"/>
      <c r="E3" s="15"/>
      <c r="F3" s="15"/>
      <c r="G3" s="15"/>
      <c r="H3" s="15"/>
      <c r="I3" s="15"/>
      <c r="J3" s="124"/>
      <c r="K3" s="13"/>
      <c r="L3" s="125"/>
      <c r="M3" s="126"/>
      <c r="N3" s="15"/>
      <c r="O3" s="15"/>
      <c r="P3" s="15"/>
      <c r="Q3" s="15"/>
      <c r="R3" s="15"/>
      <c r="S3" s="13"/>
    </row>
    <row r="4" spans="1:19">
      <c r="A4" s="309" t="s">
        <v>152</v>
      </c>
      <c r="B4" s="309"/>
      <c r="C4" s="121">
        <f>N20</f>
        <v>9.8672464583656166E-2</v>
      </c>
      <c r="D4" s="15"/>
      <c r="E4" s="15"/>
      <c r="F4" s="15"/>
      <c r="G4" s="153">
        <f>Dashboard!$D$8</f>
        <v>3</v>
      </c>
      <c r="H4" s="15"/>
      <c r="I4" s="15"/>
      <c r="J4" s="124"/>
      <c r="K4" s="13"/>
      <c r="L4" s="125"/>
      <c r="M4" s="126"/>
      <c r="N4" s="15"/>
      <c r="O4" s="15"/>
      <c r="P4" s="15"/>
      <c r="Q4" s="15"/>
      <c r="R4" s="15"/>
      <c r="S4" s="13"/>
    </row>
    <row r="5" spans="1:19">
      <c r="A5" s="15" t="s">
        <v>215</v>
      </c>
      <c r="B5" s="151" t="s">
        <v>239</v>
      </c>
      <c r="C5" s="15"/>
      <c r="D5" s="15"/>
      <c r="E5" s="15"/>
      <c r="F5" s="15"/>
      <c r="G5" s="155">
        <v>3</v>
      </c>
      <c r="H5" s="120"/>
      <c r="I5" s="15"/>
      <c r="J5" s="124"/>
      <c r="K5" s="13"/>
      <c r="L5" s="125"/>
      <c r="M5" s="126"/>
      <c r="N5" s="15"/>
      <c r="O5" s="15"/>
      <c r="P5" s="15"/>
      <c r="Q5" s="15"/>
      <c r="R5" s="15"/>
      <c r="S5" s="13"/>
    </row>
    <row r="6" spans="1:19">
      <c r="A6" s="217" t="s">
        <v>153</v>
      </c>
      <c r="B6" s="218"/>
      <c r="C6" s="219" t="s">
        <v>154</v>
      </c>
      <c r="D6" s="219" t="s">
        <v>155</v>
      </c>
      <c r="E6" s="219" t="s">
        <v>156</v>
      </c>
      <c r="F6" s="219" t="s">
        <v>157</v>
      </c>
      <c r="G6" s="219" t="s">
        <v>158</v>
      </c>
      <c r="H6" s="219" t="s">
        <v>159</v>
      </c>
      <c r="I6" s="219" t="s">
        <v>160</v>
      </c>
      <c r="J6" s="220" t="s">
        <v>161</v>
      </c>
      <c r="K6" s="13"/>
      <c r="L6" s="310" t="s">
        <v>153</v>
      </c>
      <c r="M6" s="311"/>
      <c r="N6" s="15" t="s">
        <v>154</v>
      </c>
      <c r="O6" s="15" t="s">
        <v>155</v>
      </c>
      <c r="P6" s="15" t="s">
        <v>156</v>
      </c>
      <c r="Q6" s="15" t="s">
        <v>157</v>
      </c>
      <c r="R6" s="15"/>
      <c r="S6" s="13"/>
    </row>
    <row r="7" spans="1:19">
      <c r="A7" s="221" t="s">
        <v>107</v>
      </c>
      <c r="B7" s="222"/>
      <c r="C7" s="223"/>
      <c r="D7" s="224" t="e">
        <f>RevenueY1</f>
        <v>#NAME?</v>
      </c>
      <c r="E7" s="224" t="e">
        <f>RevenueY2</f>
        <v>#NAME?</v>
      </c>
      <c r="F7" s="224" t="e">
        <f>RevenueY3</f>
        <v>#NAME?</v>
      </c>
      <c r="G7" s="225">
        <f>IFERROR(F7*(1+G8), 0)</f>
        <v>0</v>
      </c>
      <c r="H7" s="225">
        <f>IFERROR(G7*(1+H8), 0)</f>
        <v>0</v>
      </c>
      <c r="I7" s="225">
        <f>IFERROR(H7*(1+I8), 0)</f>
        <v>0</v>
      </c>
      <c r="J7" s="226">
        <f>IFERROR(I7*(1+J8), 0)</f>
        <v>0</v>
      </c>
      <c r="K7" s="13"/>
      <c r="L7" s="310" t="s">
        <v>107</v>
      </c>
      <c r="M7" s="311"/>
      <c r="N7" s="122">
        <f>C7</f>
        <v>0</v>
      </c>
      <c r="O7" s="146" t="e">
        <f>D7</f>
        <v>#NAME?</v>
      </c>
      <c r="P7" s="146" t="e">
        <f>E7</f>
        <v>#NAME?</v>
      </c>
      <c r="Q7" s="146" t="e">
        <f>F7</f>
        <v>#NAME?</v>
      </c>
      <c r="R7" s="15"/>
      <c r="S7" s="13"/>
    </row>
    <row r="8" spans="1:19">
      <c r="A8" s="227"/>
      <c r="B8" s="228" t="s">
        <v>162</v>
      </c>
      <c r="C8" s="229"/>
      <c r="D8" s="230"/>
      <c r="E8" s="230">
        <f>IFERROR((E7-D7)/D7,0)</f>
        <v>0</v>
      </c>
      <c r="F8" s="230">
        <f>IFERROR((F7-E7)/E7,0)</f>
        <v>0</v>
      </c>
      <c r="G8" s="231">
        <f>+CHOOSE($G$4,(IFERROR(SUM(E8:F8)/2, 0))*1.25,(IFERROR(SUM(E8:F8)/2, 0))*1.1,(IFERROR(SUM(E8:F8)/2, 0)),(IFERROR(SUM(E8:F8)/2, 0))*0.9, (IFERROR(SUM(E8:F8)/2, 0))*0.75)</f>
        <v>0</v>
      </c>
      <c r="H8" s="231">
        <f>+CHOOSE($G$4,(IFERROR(SUM(F8:G8)/2, 0))*1.25,(IFERROR(SUM(F8:G8)/2, 0))*1.1,(IFERROR(SUM(F8:G8)/2, 0)),(IFERROR(SUM(F8:G8)/2, 0))*0.9, (IFERROR(SUM(F8:G8)/2, 0))*0.75)</f>
        <v>0</v>
      </c>
      <c r="I8" s="231">
        <f>+CHOOSE($G$4,(IFERROR(SUM(G8:H8)/2, 0))*1.25,(IFERROR(SUM(G8:H8)/2, 0))*1.1,(IFERROR(SUM(G8:H8)/2, 0)),(IFERROR(SUM(G8:H8)/2, 0))*0.9, (IFERROR(SUM(G8:H8)/2, 0))*0.75)</f>
        <v>0</v>
      </c>
      <c r="J8" s="232">
        <f>+CHOOSE($G$4,(IFERROR(SUM(H8:I8)/2, 0))*1.25,(IFERROR(SUM(H8:I8)/2, 0))*1.1,(IFERROR(SUM(H8:I8)/2, 0)),(IFERROR(SUM(H8:I8)/2, 0))*0.9, (IFERROR(SUM(H8:I8)/2, 0))*0.75)</f>
        <v>0</v>
      </c>
      <c r="K8" s="13"/>
      <c r="L8" s="307" t="s">
        <v>17</v>
      </c>
      <c r="M8" s="308"/>
      <c r="N8" s="122"/>
      <c r="O8" s="122">
        <f>'Consolidated Financials'!I17</f>
        <v>30550</v>
      </c>
      <c r="P8" s="122">
        <f>'Consolidated Financials'!J17</f>
        <v>16039</v>
      </c>
      <c r="Q8" s="122">
        <f>'Consolidated Financials'!K17</f>
        <v>19788</v>
      </c>
      <c r="R8" s="15"/>
      <c r="S8" s="13"/>
    </row>
    <row r="9" spans="1:19">
      <c r="A9" s="221" t="s">
        <v>163</v>
      </c>
      <c r="B9" s="222"/>
      <c r="C9" s="233"/>
      <c r="D9" s="234">
        <f>SUM(O8:O11)</f>
        <v>32815</v>
      </c>
      <c r="E9" s="234">
        <f>SUM(P8:P11)</f>
        <v>32193</v>
      </c>
      <c r="F9" s="234">
        <f>SUM(Q8:Q11)</f>
        <v>34685</v>
      </c>
      <c r="G9" s="235">
        <f>IFERROR(G$7*G10, 0)</f>
        <v>0</v>
      </c>
      <c r="H9" s="235">
        <f>IFERROR(H7*H10, 0)</f>
        <v>0</v>
      </c>
      <c r="I9" s="235">
        <f>IFERROR(I7*I10, 0)</f>
        <v>0</v>
      </c>
      <c r="J9" s="236">
        <f>IFERROR(J7*J10, 0)</f>
        <v>0</v>
      </c>
      <c r="K9" s="13"/>
      <c r="L9" s="307" t="s">
        <v>164</v>
      </c>
      <c r="M9" s="308"/>
      <c r="N9" s="122"/>
      <c r="O9" s="122">
        <f>'Consolidated Financials'!I14*(-1)</f>
        <v>-9956</v>
      </c>
      <c r="P9" s="122">
        <f>'Consolidated Financials'!J14*(-1)</f>
        <v>3584</v>
      </c>
      <c r="Q9" s="122">
        <f>'Consolidated Financials'!K14*(-1)</f>
        <v>2945</v>
      </c>
      <c r="R9" s="15"/>
      <c r="S9" s="13"/>
    </row>
    <row r="10" spans="1:19">
      <c r="A10" s="237"/>
      <c r="B10" s="228" t="s">
        <v>165</v>
      </c>
      <c r="C10" s="230"/>
      <c r="D10" s="230" t="e">
        <f>D9/D7</f>
        <v>#NAME?</v>
      </c>
      <c r="E10" s="230" t="e">
        <f>E9/E7</f>
        <v>#NAME?</v>
      </c>
      <c r="F10" s="230" t="e">
        <f>F9/F7</f>
        <v>#NAME?</v>
      </c>
      <c r="G10" s="238" t="e">
        <f>SUM(D10:F10)/3</f>
        <v>#NAME?</v>
      </c>
      <c r="H10" s="238" t="e">
        <f>SUM(E10:G10)/3</f>
        <v>#NAME?</v>
      </c>
      <c r="I10" s="238" t="e">
        <f>SUM(F10:H10)/3</f>
        <v>#NAME?</v>
      </c>
      <c r="J10" s="239" t="e">
        <f>SUM(G10:I10)/3</f>
        <v>#NAME?</v>
      </c>
      <c r="K10" s="13"/>
      <c r="L10" s="307" t="s">
        <v>166</v>
      </c>
      <c r="M10" s="308"/>
      <c r="N10" s="122"/>
      <c r="O10" s="122">
        <f>'Consolidated Financials'!I12</f>
        <v>-4733</v>
      </c>
      <c r="P10" s="122">
        <f>'Consolidated Financials'!J12</f>
        <v>-4833</v>
      </c>
      <c r="Q10" s="122">
        <f>'Consolidated Financials'!K12</f>
        <v>-4730</v>
      </c>
      <c r="R10" s="15"/>
      <c r="S10" s="13"/>
    </row>
    <row r="11" spans="1:19">
      <c r="A11" s="221" t="s">
        <v>167</v>
      </c>
      <c r="B11" s="222"/>
      <c r="C11" s="233"/>
      <c r="D11" s="234">
        <f>SUM(O8:O10)</f>
        <v>15861</v>
      </c>
      <c r="E11" s="234">
        <f>SUM(P8:P10)</f>
        <v>14790</v>
      </c>
      <c r="F11" s="234">
        <f>SUM(Q8:Q10)</f>
        <v>18003</v>
      </c>
      <c r="G11" s="235">
        <f>IFERROR(G$7*G12, 0)</f>
        <v>0</v>
      </c>
      <c r="H11" s="235">
        <f>IFERROR(H$7*H12, 0)</f>
        <v>0</v>
      </c>
      <c r="I11" s="235">
        <f>IFERROR(I$7*I12, 0)</f>
        <v>0</v>
      </c>
      <c r="J11" s="236">
        <f>IFERROR(J$7*J12, 0)</f>
        <v>0</v>
      </c>
      <c r="K11" s="13"/>
      <c r="L11" s="307" t="s">
        <v>168</v>
      </c>
      <c r="M11" s="308"/>
      <c r="N11" s="122"/>
      <c r="O11" s="122">
        <f>'Consolidated Financials'!I9</f>
        <v>16954</v>
      </c>
      <c r="P11" s="122">
        <f>'Consolidated Financials'!J9</f>
        <v>17403</v>
      </c>
      <c r="Q11" s="122">
        <f>'Consolidated Financials'!K9</f>
        <v>16682</v>
      </c>
      <c r="R11" s="15"/>
      <c r="S11" s="13"/>
    </row>
    <row r="12" spans="1:19">
      <c r="A12" s="227"/>
      <c r="B12" s="228" t="s">
        <v>165</v>
      </c>
      <c r="C12" s="230"/>
      <c r="D12" s="230" t="e">
        <f>D11/D7</f>
        <v>#NAME?</v>
      </c>
      <c r="E12" s="230" t="e">
        <f>E11/E7</f>
        <v>#NAME?</v>
      </c>
      <c r="F12" s="230" t="e">
        <f>F11/F7</f>
        <v>#NAME?</v>
      </c>
      <c r="G12" s="238" t="e">
        <f>SUM(D12:F12)/3</f>
        <v>#NAME?</v>
      </c>
      <c r="H12" s="238" t="e">
        <f>SUM(E12:G12)/3</f>
        <v>#NAME?</v>
      </c>
      <c r="I12" s="238" t="e">
        <f>SUM(F12:H12)/3</f>
        <v>#NAME?</v>
      </c>
      <c r="J12" s="239" t="e">
        <f>SUM(G12:I12)/3</f>
        <v>#NAME?</v>
      </c>
      <c r="K12" s="13"/>
      <c r="L12" s="125"/>
      <c r="M12" s="126"/>
      <c r="N12" s="145">
        <f>N8/SUM($N$8:$Q$8)</f>
        <v>0</v>
      </c>
      <c r="O12" s="147">
        <f t="shared" ref="O12:Q12" si="0">O8/SUM($N$8:$Q$8)</f>
        <v>0.46024978531720323</v>
      </c>
      <c r="P12" s="147">
        <f t="shared" si="0"/>
        <v>0.24163490365638701</v>
      </c>
      <c r="Q12" s="147">
        <f t="shared" si="0"/>
        <v>0.29811531102640976</v>
      </c>
      <c r="R12" s="15"/>
      <c r="S12" s="13"/>
    </row>
    <row r="13" spans="1:19">
      <c r="A13" s="221" t="s">
        <v>169</v>
      </c>
      <c r="B13" s="222"/>
      <c r="C13" s="233"/>
      <c r="D13" s="234">
        <f>O11</f>
        <v>16954</v>
      </c>
      <c r="E13" s="234">
        <f>P11</f>
        <v>17403</v>
      </c>
      <c r="F13" s="234">
        <f>Q11</f>
        <v>16682</v>
      </c>
      <c r="G13" s="235">
        <f>IFERROR(G$7*G14, 0)</f>
        <v>0</v>
      </c>
      <c r="H13" s="235">
        <f>IFERROR(H$7*H14, 0)</f>
        <v>0</v>
      </c>
      <c r="I13" s="235">
        <f>IFERROR(I$7*I14, 0)</f>
        <v>0</v>
      </c>
      <c r="J13" s="236">
        <f>IFERROR(J$7*J14, 0)</f>
        <v>0</v>
      </c>
      <c r="K13" s="13"/>
      <c r="L13" s="307" t="s">
        <v>170</v>
      </c>
      <c r="M13" s="308"/>
      <c r="N13" s="123">
        <f>'Consolidated Financials'!C10</f>
        <v>84751</v>
      </c>
      <c r="O13" s="123">
        <f>'Consolidated Financials'!D10</f>
        <v>88568</v>
      </c>
      <c r="P13" s="123">
        <f>'Consolidated Financials'!E10</f>
        <v>89286</v>
      </c>
      <c r="Q13" s="123">
        <f>'Consolidated Financials'!F10</f>
        <v>91915</v>
      </c>
      <c r="R13" s="15"/>
      <c r="S13" s="13"/>
    </row>
    <row r="14" spans="1:19">
      <c r="A14" s="227"/>
      <c r="B14" s="228" t="s">
        <v>171</v>
      </c>
      <c r="C14" s="230"/>
      <c r="D14" s="230" t="e">
        <f>D13/D7</f>
        <v>#NAME?</v>
      </c>
      <c r="E14" s="230" t="e">
        <f>E13/E7</f>
        <v>#NAME?</v>
      </c>
      <c r="F14" s="230" t="e">
        <f>F13/F7</f>
        <v>#NAME?</v>
      </c>
      <c r="G14" s="238" t="e">
        <f>SUM(D14:F14)/3</f>
        <v>#NAME?</v>
      </c>
      <c r="H14" s="238" t="e">
        <f>SUM(E14:G14)/3</f>
        <v>#NAME?</v>
      </c>
      <c r="I14" s="238" t="e">
        <f>SUM(F14:H14)/3</f>
        <v>#NAME?</v>
      </c>
      <c r="J14" s="239" t="e">
        <f>SUM(G14:I14)/3</f>
        <v>#NAME?</v>
      </c>
      <c r="K14" s="13"/>
      <c r="L14" s="307" t="s">
        <v>185</v>
      </c>
      <c r="M14" s="308"/>
      <c r="N14" s="123"/>
      <c r="O14" s="148">
        <f>ABS(O10/D37)</f>
        <v>4.1648334242621564E-2</v>
      </c>
      <c r="P14" s="148">
        <f t="shared" ref="P14:Q14" si="1">ABS(P10/E37)</f>
        <v>4.5649032331189256E-2</v>
      </c>
      <c r="Q14" s="148">
        <f t="shared" si="1"/>
        <v>4.6965604893160699E-2</v>
      </c>
      <c r="R14" s="15"/>
      <c r="S14" s="13"/>
    </row>
    <row r="15" spans="1:19">
      <c r="A15" s="240"/>
      <c r="B15" s="241"/>
      <c r="C15" s="241"/>
      <c r="D15" s="241"/>
      <c r="E15" s="241"/>
      <c r="F15" s="241"/>
      <c r="G15" s="242"/>
      <c r="H15" s="242"/>
      <c r="I15" s="242"/>
      <c r="J15" s="243"/>
      <c r="K15" s="13"/>
      <c r="L15" s="125"/>
      <c r="M15" s="126"/>
      <c r="N15" s="15"/>
      <c r="O15" s="15"/>
      <c r="P15" s="15"/>
      <c r="Q15" s="15"/>
      <c r="R15" s="15"/>
      <c r="S15" s="13"/>
    </row>
    <row r="16" spans="1:19">
      <c r="A16" s="221" t="s">
        <v>172</v>
      </c>
      <c r="B16" s="222"/>
      <c r="C16" s="241" t="s">
        <v>154</v>
      </c>
      <c r="D16" s="241" t="s">
        <v>155</v>
      </c>
      <c r="E16" s="241" t="s">
        <v>156</v>
      </c>
      <c r="F16" s="241" t="s">
        <v>157</v>
      </c>
      <c r="G16" s="241" t="s">
        <v>158</v>
      </c>
      <c r="H16" s="241" t="s">
        <v>159</v>
      </c>
      <c r="I16" s="241" t="s">
        <v>160</v>
      </c>
      <c r="J16" s="244" t="s">
        <v>161</v>
      </c>
      <c r="K16" s="13"/>
      <c r="L16" s="125"/>
      <c r="M16" s="126"/>
      <c r="N16" s="15"/>
      <c r="O16" s="15"/>
      <c r="P16" s="15"/>
      <c r="Q16" s="15"/>
      <c r="R16" s="15"/>
      <c r="S16" s="13"/>
    </row>
    <row r="17" spans="1:19">
      <c r="A17" s="221" t="s">
        <v>173</v>
      </c>
      <c r="B17" s="222"/>
      <c r="C17" s="245">
        <f>CashY1</f>
        <v>2880</v>
      </c>
      <c r="D17" s="245">
        <f>CashY2</f>
        <v>2079</v>
      </c>
      <c r="E17" s="245">
        <f>CashY3</f>
        <v>2745</v>
      </c>
      <c r="F17" s="245">
        <f>CashY4</f>
        <v>2594</v>
      </c>
      <c r="G17" s="246">
        <f>+CHOOSE($G$5,(IFERROR(F17*(1+G18), 0))*1.15,(IFERROR(F17*(1+G18), 0))*1.05,(IFERROR(F17*(1+G18), 0)),(IFERROR(F17*(1+G18), 0))*0.95, (IFERROR(F17*(1+G18), 0))*0.85)</f>
        <v>2582.9428267353474</v>
      </c>
      <c r="H17" s="246">
        <f t="shared" ref="H17:J17" si="2">+CHOOSE($G$5,(IFERROR(G17*(1+H18), 0))*1.15,(IFERROR(G17*(1+H18), 0))*1.05,(IFERROR(G17*(1+H18), 0)),(IFERROR(G17*(1+H18), 0))*0.95, (IFERROR(G17*(1+H18), 0))*0.85)</f>
        <v>2807.7230966234565</v>
      </c>
      <c r="I17" s="246">
        <f t="shared" si="2"/>
        <v>2833.6975013598644</v>
      </c>
      <c r="J17" s="265">
        <f t="shared" si="2"/>
        <v>2920.6101520476304</v>
      </c>
      <c r="K17" s="13"/>
      <c r="L17" s="125" t="s">
        <v>174</v>
      </c>
      <c r="M17" s="126"/>
      <c r="N17" s="15"/>
      <c r="O17" s="15"/>
      <c r="P17" s="15"/>
      <c r="Q17" s="15"/>
      <c r="R17" s="15"/>
      <c r="S17" s="13"/>
    </row>
    <row r="18" spans="1:19">
      <c r="A18" s="247"/>
      <c r="B18" s="248" t="s">
        <v>175</v>
      </c>
      <c r="C18" s="229"/>
      <c r="D18" s="230">
        <f t="shared" ref="D18" si="3">IFERROR((D17-C17)/C17,0)</f>
        <v>-0.27812500000000001</v>
      </c>
      <c r="E18" s="230">
        <f t="shared" ref="E18" si="4">IFERROR((E17-D17)/D17,0)</f>
        <v>0.32034632034632032</v>
      </c>
      <c r="F18" s="230">
        <f t="shared" ref="F18" si="5">IFERROR((F17-E17)/E17,0)</f>
        <v>-5.5009107468123861E-2</v>
      </c>
      <c r="G18" s="231">
        <f>IFERROR(SUM(D18:F18)/3,0)</f>
        <v>-4.2625957072678494E-3</v>
      </c>
      <c r="H18" s="231">
        <f t="shared" ref="H18:J18" si="6">IFERROR(SUM(E18:G18)/3,0)</f>
        <v>8.7024872390309538E-2</v>
      </c>
      <c r="I18" s="231">
        <f t="shared" si="6"/>
        <v>9.2510564049726098E-3</v>
      </c>
      <c r="J18" s="266">
        <f t="shared" si="6"/>
        <v>3.0671111029338099E-2</v>
      </c>
      <c r="K18" s="13"/>
      <c r="L18" s="125" t="s">
        <v>176</v>
      </c>
      <c r="M18" s="126"/>
      <c r="N18" s="15"/>
      <c r="O18" s="15"/>
      <c r="P18" s="15"/>
      <c r="Q18" s="15"/>
      <c r="R18" s="15"/>
      <c r="S18" s="13"/>
    </row>
    <row r="19" spans="1:19">
      <c r="A19" s="249" t="s">
        <v>177</v>
      </c>
      <c r="B19" s="250"/>
      <c r="C19" s="245">
        <f>'Consolidated Financials'!C7</f>
        <v>17513</v>
      </c>
      <c r="D19" s="245">
        <f>'Consolidated Financials'!D7</f>
        <v>23493</v>
      </c>
      <c r="E19" s="245">
        <f>'Consolidated Financials'!E7</f>
        <v>25102</v>
      </c>
      <c r="F19" s="245">
        <f>'Consolidated Financials'!F7</f>
        <v>25429</v>
      </c>
      <c r="G19" s="246">
        <f>+CHOOSE($G$5,(IFERROR(F19*(1+G20), 0))*1.15,(IFERROR(F19*(1+G20), 0))*1.05,(IFERROR(F19*(1+G20), 0)),(IFERROR(F19*(1+G20), 0))*0.95, (IFERROR(F19*(1+G20), 0))*0.85)</f>
        <v>29014.285276659844</v>
      </c>
      <c r="H19" s="246">
        <f t="shared" ref="H19:J19" si="7">+CHOOSE($G$5,(IFERROR(G19*(1+H20), 0))*1.15,(IFERROR(G19*(1+H20), 0))*1.05,(IFERROR(G19*(1+H20), 0)),(IFERROR(G19*(1+H20), 0))*0.95, (IFERROR(G19*(1+H20), 0))*0.85)</f>
        <v>31166.248943834657</v>
      </c>
      <c r="I19" s="246">
        <f t="shared" si="7"/>
        <v>33536.836401028784</v>
      </c>
      <c r="J19" s="265">
        <f t="shared" si="7"/>
        <v>36792.410775723205</v>
      </c>
      <c r="K19" s="13"/>
      <c r="L19" s="125" t="s">
        <v>178</v>
      </c>
      <c r="M19" s="126"/>
      <c r="N19" s="277">
        <f>Dashboard!C13</f>
        <v>1.7500000000000002E-2</v>
      </c>
      <c r="O19" s="15"/>
      <c r="P19" s="15"/>
      <c r="Q19" s="15"/>
      <c r="R19" s="15"/>
      <c r="S19" s="13"/>
    </row>
    <row r="20" spans="1:19">
      <c r="A20" s="227"/>
      <c r="B20" s="228" t="s">
        <v>175</v>
      </c>
      <c r="C20" s="229"/>
      <c r="D20" s="230">
        <f t="shared" ref="D20" si="8">IFERROR((D19-C19)/C19,0)</f>
        <v>0.34146062924684523</v>
      </c>
      <c r="E20" s="230">
        <f t="shared" ref="E20" si="9">IFERROR((E19-D19)/D19,0)</f>
        <v>6.8488485931979745E-2</v>
      </c>
      <c r="F20" s="230">
        <f t="shared" ref="F20" si="10">IFERROR((F19-E19)/E19,0)</f>
        <v>1.3026850450163333E-2</v>
      </c>
      <c r="G20" s="231">
        <f>IFERROR(SUM(D20:F20)/3, 0)</f>
        <v>0.14099198854299611</v>
      </c>
      <c r="H20" s="231">
        <f t="shared" ref="H20:J20" si="11">IFERROR(SUM(E20:G20)/3, 0)</f>
        <v>7.4169108308379736E-2</v>
      </c>
      <c r="I20" s="231">
        <f t="shared" si="11"/>
        <v>7.6062649100513066E-2</v>
      </c>
      <c r="J20" s="266">
        <f t="shared" si="11"/>
        <v>9.7074581983962974E-2</v>
      </c>
      <c r="K20" s="13"/>
      <c r="L20" s="125" t="s">
        <v>152</v>
      </c>
      <c r="M20" s="126"/>
      <c r="N20" s="135">
        <f>N39</f>
        <v>9.8672464583656166E-2</v>
      </c>
      <c r="O20" s="15"/>
      <c r="P20" s="15"/>
      <c r="Q20" s="15"/>
      <c r="R20" s="15"/>
      <c r="S20" s="13"/>
    </row>
    <row r="21" spans="1:19">
      <c r="A21" s="249" t="s">
        <v>32</v>
      </c>
      <c r="B21" s="250"/>
      <c r="C21" s="245">
        <f>'Consolidated Financials'!C6</f>
        <v>1202</v>
      </c>
      <c r="D21" s="245">
        <f>'Consolidated Financials'!D6</f>
        <v>1034</v>
      </c>
      <c r="E21" s="245">
        <f>'Consolidated Financials'!E6</f>
        <v>1336</v>
      </c>
      <c r="F21" s="245">
        <f>'Consolidated Financials'!F6</f>
        <v>1422</v>
      </c>
      <c r="G21" s="235">
        <f>+CHOOSE($G$5,(IFERROR(F21*(1+G22), 0))*1.15,(IFERROR(F21*(1+G22), 0))*1.05,(IFERROR(F21*(1+G22), 0)),(IFERROR(F21*(1+G22), 0))*0.95, (IFERROR(F21*(1+G22), 0))*0.85)</f>
        <v>1524.7033978239899</v>
      </c>
      <c r="H21" s="235">
        <f t="shared" ref="H21:J21" si="12">+CHOOSE($G$5,(IFERROR(G21*(1+H22), 0))*1.15,(IFERROR(G21*(1+H22), 0))*1.05,(IFERROR(G21*(1+H22), 0)),(IFERROR(G21*(1+H22), 0))*0.95, (IFERROR(G21*(1+H22), 0))*0.85)</f>
        <v>1742.565980133103</v>
      </c>
      <c r="I21" s="235">
        <f t="shared" si="12"/>
        <v>1904.9059650247141</v>
      </c>
      <c r="J21" s="267">
        <f t="shared" si="12"/>
        <v>2100.6506533647671</v>
      </c>
      <c r="K21" s="13"/>
      <c r="L21" s="125" t="s">
        <v>179</v>
      </c>
      <c r="M21" s="126"/>
      <c r="N21" s="131">
        <f>J59*(1-N19)</f>
        <v>-11445.487338294157</v>
      </c>
      <c r="O21" s="15"/>
      <c r="P21" s="15"/>
      <c r="Q21" s="15"/>
      <c r="R21" s="15"/>
      <c r="S21" s="13"/>
    </row>
    <row r="22" spans="1:19">
      <c r="A22" s="227"/>
      <c r="B22" s="228" t="s">
        <v>175</v>
      </c>
      <c r="C22" s="229"/>
      <c r="D22" s="230">
        <f t="shared" ref="D22" si="13">IFERROR((D21-C21)/C21,0)</f>
        <v>-0.13976705490848584</v>
      </c>
      <c r="E22" s="230">
        <f t="shared" ref="E22" si="14">IFERROR((E21-D21)/D21,0)</f>
        <v>0.29206963249516443</v>
      </c>
      <c r="F22" s="230">
        <f t="shared" ref="F22" si="15">IFERROR((F21-E21)/E21,0)</f>
        <v>6.4371257485029934E-2</v>
      </c>
      <c r="G22" s="231">
        <f>IFERROR(SUM(D22:F22)/3, 0)</f>
        <v>7.2224611690569498E-2</v>
      </c>
      <c r="H22" s="231">
        <f t="shared" ref="H22:J22" si="16">IFERROR(SUM(E22:G22)/3, 0)</f>
        <v>0.14288850055692129</v>
      </c>
      <c r="I22" s="231">
        <f t="shared" si="16"/>
        <v>9.3161456577506907E-2</v>
      </c>
      <c r="J22" s="266">
        <f t="shared" si="16"/>
        <v>0.10275818960833256</v>
      </c>
      <c r="K22" s="13"/>
      <c r="L22" s="125" t="s">
        <v>174</v>
      </c>
      <c r="M22" s="126"/>
      <c r="N22" s="131">
        <f>N21/(N20-N19)</f>
        <v>-141002.09223656703</v>
      </c>
      <c r="O22" s="15"/>
      <c r="P22" s="15"/>
      <c r="Q22" s="15"/>
      <c r="R22" s="15"/>
      <c r="S22" s="13"/>
    </row>
    <row r="23" spans="1:19">
      <c r="A23" s="249" t="s">
        <v>180</v>
      </c>
      <c r="B23" s="250"/>
      <c r="C23" s="245">
        <f>'Consolidated Financials'!C8</f>
        <v>4800</v>
      </c>
      <c r="D23" s="245">
        <f>'Consolidated Financials'!D8</f>
        <v>3307</v>
      </c>
      <c r="E23" s="245">
        <f>'Consolidated Financials'!E8</f>
        <v>5453</v>
      </c>
      <c r="F23" s="245">
        <f>'Consolidated Financials'!F8</f>
        <v>8028</v>
      </c>
      <c r="G23" s="235">
        <f>+CHOOSE($G$5,(IFERROR(F23*(1+G24), 0))*1.15,(IFERROR(F23*(1+G24), 0))*1.05,(IFERROR(F23*(1+G24), 0)),(IFERROR(F23*(1+G24), 0))*0.95, (IFERROR(F23*(1+G24), 0))*0.85)</f>
        <v>10195.832901219515</v>
      </c>
      <c r="H23" s="235">
        <f t="shared" ref="H23:J23" si="17">+CHOOSE($G$5,(IFERROR(G23*(1+H24), 0))*1.15,(IFERROR(G23*(1+H24), 0))*1.05,(IFERROR(G23*(1+H24), 0)),(IFERROR(G23*(1+H24), 0))*0.95, (IFERROR(G23*(1+H24), 0))*0.85)</f>
        <v>14923.904490309524</v>
      </c>
      <c r="I23" s="235">
        <f t="shared" si="17"/>
        <v>20923.199690333575</v>
      </c>
      <c r="J23" s="267">
        <f t="shared" si="17"/>
        <v>28844.389774212068</v>
      </c>
      <c r="K23" s="13"/>
      <c r="L23" s="125" t="s">
        <v>181</v>
      </c>
      <c r="M23" s="126"/>
      <c r="N23" s="131">
        <f>N22/((1+N20)^J44)</f>
        <v>-88081.429852433968</v>
      </c>
      <c r="O23" s="15"/>
      <c r="P23" s="15"/>
      <c r="Q23" s="15"/>
      <c r="R23" s="15"/>
      <c r="S23" s="13"/>
    </row>
    <row r="24" spans="1:19">
      <c r="A24" s="227"/>
      <c r="B24" s="228" t="s">
        <v>175</v>
      </c>
      <c r="C24" s="229"/>
      <c r="D24" s="230">
        <f t="shared" ref="D24" si="18">IFERROR((D23-C23)/C23,0)</f>
        <v>-0.31104166666666666</v>
      </c>
      <c r="E24" s="230">
        <f t="shared" ref="E24" si="19">IFERROR((E23-D23)/D23,0)</f>
        <v>0.6489265195040822</v>
      </c>
      <c r="F24" s="230">
        <f t="shared" ref="F24" si="20">IFERROR((F23-E23)/E23,0)</f>
        <v>0.47221712818631945</v>
      </c>
      <c r="G24" s="231">
        <f>IFERROR(SUM(D24:F24)/3, 0)</f>
        <v>0.27003399367457831</v>
      </c>
      <c r="H24" s="231">
        <f t="shared" ref="H24:J24" si="21">IFERROR(SUM(E24:G24)/3, 0)</f>
        <v>0.46372588045499336</v>
      </c>
      <c r="I24" s="231">
        <f t="shared" si="21"/>
        <v>0.40199233410529706</v>
      </c>
      <c r="J24" s="266">
        <f t="shared" si="21"/>
        <v>0.37858406941162293</v>
      </c>
      <c r="K24" s="13"/>
      <c r="L24" s="125"/>
      <c r="M24" s="126"/>
      <c r="N24" s="15"/>
      <c r="O24" s="15"/>
      <c r="P24" s="15"/>
      <c r="Q24" s="15"/>
      <c r="R24" s="15"/>
      <c r="S24" s="13"/>
    </row>
    <row r="25" spans="1:19">
      <c r="A25" s="249" t="s">
        <v>182</v>
      </c>
      <c r="B25" s="250"/>
      <c r="C25" s="251"/>
      <c r="D25" s="251"/>
      <c r="E25" s="251"/>
      <c r="F25" s="251"/>
      <c r="G25" s="252"/>
      <c r="H25" s="253"/>
      <c r="I25" s="253"/>
      <c r="J25" s="279"/>
      <c r="K25" s="13"/>
      <c r="L25" s="127" t="s">
        <v>152</v>
      </c>
      <c r="M25" s="128"/>
      <c r="N25" s="119"/>
      <c r="O25" s="15"/>
      <c r="P25" s="15"/>
      <c r="Q25" s="15"/>
      <c r="R25" s="15"/>
      <c r="S25" s="13"/>
    </row>
    <row r="26" spans="1:19">
      <c r="A26" s="227"/>
      <c r="B26" s="228" t="s">
        <v>175</v>
      </c>
      <c r="C26" s="229"/>
      <c r="D26" s="230"/>
      <c r="E26" s="230"/>
      <c r="F26" s="230"/>
      <c r="G26" s="255"/>
      <c r="H26" s="255"/>
      <c r="I26" s="255"/>
      <c r="J26" s="256"/>
      <c r="K26" s="13"/>
      <c r="L26" s="125" t="s">
        <v>149</v>
      </c>
      <c r="M26" s="126"/>
      <c r="N26" s="131">
        <f>C1</f>
        <v>61.5</v>
      </c>
      <c r="O26" s="15"/>
      <c r="P26" s="15"/>
      <c r="Q26" s="15"/>
      <c r="R26" s="15"/>
      <c r="S26" s="13"/>
    </row>
    <row r="27" spans="1:19">
      <c r="A27" s="249" t="s">
        <v>183</v>
      </c>
      <c r="B27" s="250"/>
      <c r="C27" s="251"/>
      <c r="D27" s="251"/>
      <c r="E27" s="251"/>
      <c r="F27" s="251"/>
      <c r="G27" s="253"/>
      <c r="H27" s="253"/>
      <c r="I27" s="253"/>
      <c r="J27" s="254"/>
      <c r="K27" s="13"/>
      <c r="L27" s="125" t="s">
        <v>184</v>
      </c>
      <c r="M27" s="126"/>
      <c r="N27" s="132">
        <f>C2</f>
        <v>4140</v>
      </c>
      <c r="O27" s="15"/>
      <c r="P27" s="15"/>
      <c r="Q27" s="15"/>
      <c r="R27" s="15"/>
      <c r="S27" s="13"/>
    </row>
    <row r="28" spans="1:19">
      <c r="A28" s="227"/>
      <c r="B28" s="228" t="s">
        <v>175</v>
      </c>
      <c r="C28" s="229"/>
      <c r="D28" s="230"/>
      <c r="E28" s="230"/>
      <c r="F28" s="230"/>
      <c r="G28" s="255"/>
      <c r="H28" s="255"/>
      <c r="I28" s="255"/>
      <c r="J28" s="256"/>
      <c r="K28" s="13"/>
      <c r="L28" s="125" t="s">
        <v>185</v>
      </c>
      <c r="M28" s="126"/>
      <c r="N28" s="264">
        <f>AVERAGE(O14:Q14)</f>
        <v>4.475432382232384E-2</v>
      </c>
      <c r="O28" s="15"/>
      <c r="P28" s="15"/>
      <c r="Q28" s="15"/>
      <c r="R28" s="15"/>
      <c r="S28" s="13"/>
    </row>
    <row r="29" spans="1:19">
      <c r="A29" s="240"/>
      <c r="B29" s="241"/>
      <c r="C29" s="241"/>
      <c r="D29" s="241"/>
      <c r="E29" s="241"/>
      <c r="F29" s="241"/>
      <c r="G29" s="242"/>
      <c r="H29" s="242"/>
      <c r="I29" s="242"/>
      <c r="J29" s="243"/>
      <c r="K29" s="13"/>
      <c r="L29" s="125" t="s">
        <v>151</v>
      </c>
      <c r="M29" s="126"/>
      <c r="N29" s="136">
        <f>AVERAGE(ABS(O9/O8)*O12,ABS(P9/P8)*P12,ABS(Q9/Q8)*Q12)</f>
        <v>8.2784699519411836E-2</v>
      </c>
      <c r="O29" s="15"/>
      <c r="P29" s="15"/>
      <c r="Q29" s="15"/>
      <c r="R29" s="15"/>
      <c r="S29" s="13"/>
    </row>
    <row r="30" spans="1:19">
      <c r="A30" s="249" t="s">
        <v>126</v>
      </c>
      <c r="B30" s="250"/>
      <c r="C30" s="245">
        <f>'Consolidated Financials'!C15</f>
        <v>19593</v>
      </c>
      <c r="D30" s="245">
        <f>'Consolidated Financials'!D15</f>
        <v>21232</v>
      </c>
      <c r="E30" s="245">
        <f>'Consolidated Financials'!E15</f>
        <v>22501</v>
      </c>
      <c r="F30" s="245">
        <f>'Consolidated Financials'!F15</f>
        <v>21806</v>
      </c>
      <c r="G30" s="235">
        <f>+CHOOSE($G$5,(IFERROR(F30*(1+G31), 0))*1.15,(IFERROR(F30*(1+G31), 0))*1.05,(IFERROR(F30*(1+G31), 0)),(IFERROR(F30*(1+G31), 0))*0.95, (IFERROR(F30*(1+G31), 0))*0.85)</f>
        <v>22623.965469316961</v>
      </c>
      <c r="H30" s="235">
        <f t="shared" ref="H30:J30" si="22">+CHOOSE($G$5,(IFERROR(G30*(1+H31), 0))*1.15,(IFERROR(G30*(1+H31), 0))*1.05,(IFERROR(G30*(1+H31), 0)),(IFERROR(G30*(1+H31), 0))*0.95, (IFERROR(G30*(1+H31), 0))*0.85)</f>
        <v>23124.64729289808</v>
      </c>
      <c r="I30" s="235">
        <f t="shared" si="22"/>
        <v>23346.290152559446</v>
      </c>
      <c r="J30" s="267">
        <f t="shared" si="22"/>
        <v>23885.0161109398</v>
      </c>
      <c r="K30" s="13"/>
      <c r="L30" s="125" t="s">
        <v>186</v>
      </c>
      <c r="M30" s="126"/>
      <c r="N30" s="135">
        <f>N28*(1-N29)</f>
        <v>4.1049350572498304E-2</v>
      </c>
      <c r="O30" s="15"/>
      <c r="P30" s="15"/>
      <c r="Q30" s="15"/>
      <c r="R30" s="15"/>
      <c r="S30" s="13"/>
    </row>
    <row r="31" spans="1:19">
      <c r="A31" s="227"/>
      <c r="B31" s="228" t="s">
        <v>175</v>
      </c>
      <c r="C31" s="229"/>
      <c r="D31" s="230">
        <f t="shared" ref="D31:F31" si="23">IFERROR((D30-C30)/C30,0)</f>
        <v>8.3652324809881079E-2</v>
      </c>
      <c r="E31" s="230">
        <f t="shared" si="23"/>
        <v>5.9768274302938962E-2</v>
      </c>
      <c r="F31" s="257">
        <f t="shared" si="23"/>
        <v>-3.0887516110395093E-2</v>
      </c>
      <c r="G31" s="231">
        <f>IFERROR(SUM(D31:F31)/3, 0)</f>
        <v>3.7511027667474987E-2</v>
      </c>
      <c r="H31" s="231">
        <f t="shared" ref="H31:J31" si="24">IFERROR(SUM(E31:G31)/3, 0)</f>
        <v>2.2130595286672952E-2</v>
      </c>
      <c r="I31" s="231">
        <f t="shared" si="24"/>
        <v>9.5847022812509484E-3</v>
      </c>
      <c r="J31" s="231">
        <f t="shared" si="24"/>
        <v>2.3075441745132961E-2</v>
      </c>
      <c r="K31" s="13"/>
      <c r="L31" s="125" t="s">
        <v>187</v>
      </c>
      <c r="M31" s="126"/>
      <c r="N31" s="264">
        <f>Dashboard!C14</f>
        <v>0.12</v>
      </c>
      <c r="O31" s="15"/>
      <c r="P31" s="15"/>
      <c r="Q31" s="15"/>
      <c r="R31" s="15"/>
      <c r="S31" s="13"/>
    </row>
    <row r="32" spans="1:19">
      <c r="A32" s="249" t="s">
        <v>188</v>
      </c>
      <c r="B32" s="250"/>
      <c r="C32" s="245"/>
      <c r="D32" s="245"/>
      <c r="E32" s="245"/>
      <c r="F32" s="284"/>
      <c r="G32" s="280">
        <f>+CHOOSE($G$5,(IFERROR(F32*(1+G33), 0))*1.15,(IFERROR(F32*(1+G33), 0))*1.05,(IFERROR(F32*(1+G33), 0)),(IFERROR(F32*(1+G33), 0))*0.95, (IFERROR(F32*(1+G33), 0))*0.85)</f>
        <v>0</v>
      </c>
      <c r="H32" s="235">
        <f t="shared" ref="H32:J32" si="25">+CHOOSE($G$5,(IFERROR(G32*(1+H33), 0))*1.15,(IFERROR(G32*(1+H33), 0))*1.05,(IFERROR(G32*(1+H33), 0)),(IFERROR(G32*(1+H33), 0))*0.95, (IFERROR(G32*(1+H33), 0))*0.85)</f>
        <v>0</v>
      </c>
      <c r="I32" s="235">
        <f t="shared" si="25"/>
        <v>0</v>
      </c>
      <c r="J32" s="267">
        <f t="shared" si="25"/>
        <v>0</v>
      </c>
      <c r="K32" s="13"/>
      <c r="L32" s="125"/>
      <c r="M32" s="126"/>
      <c r="N32" s="15"/>
      <c r="O32" s="15"/>
      <c r="P32" s="15"/>
      <c r="Q32" s="15"/>
      <c r="R32" s="15"/>
      <c r="S32" s="13"/>
    </row>
    <row r="33" spans="1:19">
      <c r="A33" s="227"/>
      <c r="B33" s="228" t="s">
        <v>175</v>
      </c>
      <c r="C33" s="229"/>
      <c r="D33" s="230">
        <f>IFERROR((D32-C32)/C32,0)</f>
        <v>0</v>
      </c>
      <c r="E33" s="230">
        <f t="shared" ref="E33:F33" si="26">IFERROR((E32-D32)/D32,0)</f>
        <v>0</v>
      </c>
      <c r="F33" s="281">
        <f t="shared" si="26"/>
        <v>0</v>
      </c>
      <c r="G33" s="231">
        <f>IFERROR(SUM(D33:F33)/3, 0)</f>
        <v>0</v>
      </c>
      <c r="H33" s="231">
        <f t="shared" ref="H33:J33" si="27">IFERROR(SUM(E33:G33)/3, 0)</f>
        <v>0</v>
      </c>
      <c r="I33" s="231">
        <f t="shared" si="27"/>
        <v>0</v>
      </c>
      <c r="J33" s="231">
        <f t="shared" si="27"/>
        <v>0</v>
      </c>
      <c r="K33" s="13"/>
      <c r="L33" s="125" t="s">
        <v>189</v>
      </c>
      <c r="M33" s="126"/>
      <c r="N33" s="131">
        <f>F37</f>
        <v>100712</v>
      </c>
      <c r="O33" s="15"/>
      <c r="P33" s="15"/>
      <c r="Q33" s="15"/>
      <c r="R33" s="15"/>
      <c r="S33" s="13"/>
    </row>
    <row r="34" spans="1:19">
      <c r="A34" s="249" t="s">
        <v>190</v>
      </c>
      <c r="B34" s="250"/>
      <c r="C34" s="245">
        <f>'Consolidated Financials'!C16</f>
        <v>10747</v>
      </c>
      <c r="D34" s="245">
        <f>'Consolidated Financials'!D16</f>
        <v>11805</v>
      </c>
      <c r="E34" s="245">
        <f>'Consolidated Financials'!E16</f>
        <v>15429</v>
      </c>
      <c r="F34" s="284">
        <f>'Consolidated Financials'!F16</f>
        <v>23062</v>
      </c>
      <c r="G34" s="280">
        <f>+CHOOSE($G$5,(IFERROR(F34*(1+G35), 0))*1.15,(IFERROR(F34*(1+G35), 0))*1.05,(IFERROR(F34*(1+G35), 0)),(IFERROR(F34*(1+G35), 0))*0.95, (IFERROR(F34*(1+G35), 0))*0.85)</f>
        <v>29981.77140711551</v>
      </c>
      <c r="H34" s="235">
        <f t="shared" ref="H34:J34" si="28">+CHOOSE($G$5,(IFERROR(G34*(1+H35), 0))*1.15,(IFERROR(G34*(1+H35), 0))*1.05,(IFERROR(G34*(1+H35), 0)),(IFERROR(G34*(1+H35), 0))*0.95, (IFERROR(G34*(1+H35), 0))*0.85)</f>
        <v>40992.647886368592</v>
      </c>
      <c r="I34" s="235">
        <f t="shared" si="28"/>
        <v>56870.752401632613</v>
      </c>
      <c r="J34" s="236">
        <f t="shared" si="28"/>
        <v>76863.541415593965</v>
      </c>
      <c r="K34" s="13"/>
      <c r="L34" s="125" t="s">
        <v>191</v>
      </c>
      <c r="M34" s="126"/>
      <c r="N34" s="131">
        <f>N26*N27</f>
        <v>254610</v>
      </c>
      <c r="O34" s="15"/>
      <c r="P34" s="15"/>
      <c r="Q34" s="15"/>
      <c r="R34" s="15"/>
      <c r="S34" s="13"/>
    </row>
    <row r="35" spans="1:19">
      <c r="A35" s="227"/>
      <c r="B35" s="228" t="s">
        <v>175</v>
      </c>
      <c r="C35" s="229"/>
      <c r="D35" s="230">
        <f t="shared" ref="D35:F35" si="29">IFERROR((D34-C34)/C34,0)</f>
        <v>9.8446077975248902E-2</v>
      </c>
      <c r="E35" s="230">
        <f t="shared" si="29"/>
        <v>0.30698856416772552</v>
      </c>
      <c r="F35" s="281">
        <f t="shared" si="29"/>
        <v>0.49471773932205587</v>
      </c>
      <c r="G35" s="231">
        <f>IFERROR(SUM(D35:F35)/3, 0)</f>
        <v>0.30005079382167676</v>
      </c>
      <c r="H35" s="231">
        <f t="shared" ref="H35:J35" si="30">IFERROR(SUM(E35:G35)/3, 0)</f>
        <v>0.36725236577048603</v>
      </c>
      <c r="I35" s="231">
        <f t="shared" si="30"/>
        <v>0.38734029963807287</v>
      </c>
      <c r="J35" s="231">
        <f t="shared" si="30"/>
        <v>0.35154781974341187</v>
      </c>
      <c r="K35" s="13"/>
      <c r="L35" s="125" t="s">
        <v>192</v>
      </c>
      <c r="M35" s="126"/>
      <c r="N35" s="131">
        <f>N34+N33</f>
        <v>355322</v>
      </c>
      <c r="O35" s="15"/>
      <c r="P35" s="15"/>
      <c r="Q35" s="15"/>
      <c r="R35" s="15"/>
      <c r="S35" s="13"/>
    </row>
    <row r="36" spans="1:19">
      <c r="A36" s="240"/>
      <c r="B36" s="241"/>
      <c r="C36" s="241"/>
      <c r="D36" s="241"/>
      <c r="E36" s="241"/>
      <c r="F36" s="282"/>
      <c r="G36" s="242"/>
      <c r="H36" s="242"/>
      <c r="I36" s="242"/>
      <c r="J36" s="243"/>
      <c r="K36" s="13"/>
      <c r="L36" s="125" t="s">
        <v>193</v>
      </c>
      <c r="M36" s="126"/>
      <c r="N36" s="135">
        <f>N33/N35</f>
        <v>0.28343868378541154</v>
      </c>
      <c r="O36" s="15"/>
      <c r="P36" s="15"/>
      <c r="Q36" s="15"/>
      <c r="R36" s="15"/>
      <c r="S36" s="13"/>
    </row>
    <row r="37" spans="1:19">
      <c r="A37" s="221" t="s">
        <v>194</v>
      </c>
      <c r="B37" s="222"/>
      <c r="C37" s="245">
        <f>'Consolidated Financials'!C18</f>
        <v>105433</v>
      </c>
      <c r="D37" s="245">
        <f>'Consolidated Financials'!D18</f>
        <v>113642</v>
      </c>
      <c r="E37" s="245">
        <f>'Consolidated Financials'!E18</f>
        <v>105873</v>
      </c>
      <c r="F37" s="284">
        <f>'Consolidated Financials'!F18</f>
        <v>100712</v>
      </c>
      <c r="G37" s="280">
        <f>+CHOOSE($G$5,(IFERROR(F37*(1+G38), 0))*1.15,(IFERROR(F37*(1+G38), 0))*1.05,(IFERROR(F37*(1+G38), 0)),(IFERROR(F37*(1+G38), 0))*0.95, (IFERROR(F37*(1+G38), 0))*0.85)</f>
        <v>99394.317096944171</v>
      </c>
      <c r="H37" s="235">
        <f t="shared" ref="H37:J37" si="31">+CHOOSE($G$5,(IFERROR(G37*(1+H38), 0))*1.15,(IFERROR(G37*(1+H38), 0))*1.05,(IFERROR(G37*(1+H38), 0)),(IFERROR(G37*(1+H38), 0))*0.95, (IFERROR(G37*(1+H38), 0))*0.85)</f>
        <v>95080.783764481603</v>
      </c>
      <c r="I37" s="235">
        <f t="shared" si="31"/>
        <v>91745.700217958176</v>
      </c>
      <c r="J37" s="236">
        <f t="shared" si="31"/>
        <v>88945.677189816313</v>
      </c>
      <c r="K37" s="13"/>
      <c r="L37" s="125" t="s">
        <v>195</v>
      </c>
      <c r="M37" s="126"/>
      <c r="N37" s="135">
        <f>N34/N35</f>
        <v>0.71656131621458841</v>
      </c>
      <c r="O37" s="15"/>
      <c r="P37" s="15"/>
      <c r="Q37" s="15"/>
      <c r="R37" s="15"/>
      <c r="S37" s="13"/>
    </row>
    <row r="38" spans="1:19">
      <c r="A38" s="258"/>
      <c r="B38" s="248" t="s">
        <v>175</v>
      </c>
      <c r="C38" s="229"/>
      <c r="D38" s="230">
        <f t="shared" ref="D38:F38" si="32">IFERROR((D37-C37)/C37,0)</f>
        <v>7.7859873094761597E-2</v>
      </c>
      <c r="E38" s="230">
        <f t="shared" si="32"/>
        <v>-6.8363809155065902E-2</v>
      </c>
      <c r="F38" s="281">
        <f t="shared" si="32"/>
        <v>-4.8747083770177474E-2</v>
      </c>
      <c r="G38" s="231">
        <f>IFERROR(SUM(D38:F38)/3, 0)</f>
        <v>-1.308367327682726E-2</v>
      </c>
      <c r="H38" s="231">
        <f t="shared" ref="H38:J38" si="33">IFERROR(SUM(E38:G38)/3, 0)</f>
        <v>-4.3398188734023548E-2</v>
      </c>
      <c r="I38" s="231">
        <f t="shared" si="33"/>
        <v>-3.5076315260342765E-2</v>
      </c>
      <c r="J38" s="231">
        <f t="shared" si="33"/>
        <v>-3.0519392423731192E-2</v>
      </c>
      <c r="K38" s="13"/>
      <c r="L38" s="125"/>
      <c r="M38" s="126"/>
      <c r="N38" s="15"/>
      <c r="O38" s="15"/>
      <c r="P38" s="15"/>
      <c r="Q38" s="15"/>
      <c r="R38" s="15"/>
      <c r="S38" s="13"/>
    </row>
    <row r="39" spans="1:19">
      <c r="A39" s="221" t="s">
        <v>196</v>
      </c>
      <c r="B39" s="222"/>
      <c r="C39" s="245">
        <f>'Consolidated Financials'!C19</f>
        <v>84375</v>
      </c>
      <c r="D39" s="245">
        <f>'Consolidated Financials'!D19</f>
        <v>65777</v>
      </c>
      <c r="E39" s="245">
        <f>'Consolidated Financials'!E19</f>
        <v>66316</v>
      </c>
      <c r="F39" s="284">
        <f>'Consolidated Financials'!F19</f>
        <v>83312</v>
      </c>
      <c r="G39" s="280">
        <f>+CHOOSE($G$5,(IFERROR(F39*(1+G40), 0))*1.15,(IFERROR(F39*(1+G40), 0))*1.05,(IFERROR(F39*(1+G40), 0)),(IFERROR(F39*(1+G40), 0))*0.95, (IFERROR(F39*(1+G40), 0))*0.85)</f>
        <v>84535.622455346878</v>
      </c>
      <c r="H39" s="235">
        <f t="shared" ref="H39:J39" si="34">+CHOOSE($G$5,(IFERROR(G39*(1+H40), 0))*1.15,(IFERROR(G39*(1+H40), 0))*1.05,(IFERROR(G39*(1+H40), 0)),(IFERROR(G39*(1+H40), 0))*0.95, (IFERROR(G39*(1+H40), 0))*0.85)</f>
        <v>92402.216067597648</v>
      </c>
      <c r="I39" s="235">
        <f t="shared" si="34"/>
        <v>103614.6661832824</v>
      </c>
      <c r="J39" s="236">
        <f t="shared" si="34"/>
        <v>111526.94923408818</v>
      </c>
      <c r="K39" s="13"/>
      <c r="L39" s="127" t="s">
        <v>152</v>
      </c>
      <c r="M39" s="128"/>
      <c r="N39" s="134">
        <f>(N28*N36)+(N31*N37)</f>
        <v>9.8672464583656166E-2</v>
      </c>
      <c r="O39" s="15"/>
      <c r="P39" s="15"/>
      <c r="Q39" s="15"/>
      <c r="R39" s="15"/>
      <c r="S39" s="13"/>
    </row>
    <row r="40" spans="1:19">
      <c r="A40" s="227"/>
      <c r="B40" s="228" t="s">
        <v>175</v>
      </c>
      <c r="C40" s="229"/>
      <c r="D40" s="230">
        <f t="shared" ref="D40:F40" si="35">IFERROR((D39-C39)/C39,0)</f>
        <v>-0.22042074074074075</v>
      </c>
      <c r="E40" s="230">
        <f t="shared" si="35"/>
        <v>8.1943536494519364E-3</v>
      </c>
      <c r="F40" s="281">
        <f t="shared" si="35"/>
        <v>0.25628807527595149</v>
      </c>
      <c r="G40" s="231">
        <f>IFERROR(SUM(D40:F40)/3, 0)</f>
        <v>1.4687229394887555E-2</v>
      </c>
      <c r="H40" s="231">
        <f t="shared" ref="H40:J40" si="36">IFERROR(SUM(E40:G40)/3, 0)</f>
        <v>9.3056552773430321E-2</v>
      </c>
      <c r="I40" s="231">
        <f t="shared" si="36"/>
        <v>0.12134395248142311</v>
      </c>
      <c r="J40" s="231">
        <f t="shared" si="36"/>
        <v>7.6362578216580324E-2</v>
      </c>
      <c r="K40" s="13"/>
      <c r="L40" s="125"/>
      <c r="M40" s="126"/>
      <c r="N40" s="15"/>
      <c r="O40" s="15"/>
      <c r="P40" s="15"/>
      <c r="Q40" s="15"/>
      <c r="R40" s="15"/>
      <c r="S40" s="13"/>
    </row>
    <row r="41" spans="1:19">
      <c r="A41" s="221" t="s">
        <v>197</v>
      </c>
      <c r="B41" s="222"/>
      <c r="C41" s="234">
        <f>'Consolidated Financials'!C10</f>
        <v>84751</v>
      </c>
      <c r="D41" s="234">
        <f>'Consolidated Financials'!D10</f>
        <v>88568</v>
      </c>
      <c r="E41" s="234">
        <f>'Consolidated Financials'!E10</f>
        <v>89286</v>
      </c>
      <c r="F41" s="285">
        <f>'Consolidated Financials'!F10</f>
        <v>91915</v>
      </c>
      <c r="G41" s="280">
        <f>+CHOOSE($G$5,(IFERROR(F41*(1+G42), 0))*1.15,(IFERROR(F41*(1+G42), 0))*1.05,(IFERROR(F41*(1+G42), 0)),(IFERROR(F41*(1+G42), 0))*0.95, (IFERROR(F41*(1+G42), 0))*0.85)</f>
        <v>94445.398131310736</v>
      </c>
      <c r="H41" s="235">
        <f t="shared" ref="H41:J41" si="37">+CHOOSE($G$5,(IFERROR(G41*(1+H42), 0))*1.15,(IFERROR(G41*(1+H42), 0))*1.05,(IFERROR(G41*(1+H42), 0)),(IFERROR(G41*(1+H42), 0))*0.95, (IFERROR(G41*(1+H42), 0))*0.85)</f>
        <v>96494.272477682112</v>
      </c>
      <c r="I41" s="235">
        <f t="shared" si="37"/>
        <v>99024.616471361151</v>
      </c>
      <c r="J41" s="236">
        <f t="shared" si="37"/>
        <v>101514.96162638448</v>
      </c>
      <c r="K41" s="13"/>
      <c r="L41" s="125"/>
      <c r="M41" s="126"/>
      <c r="N41" s="15"/>
      <c r="O41" s="15"/>
      <c r="P41" s="15"/>
      <c r="Q41" s="15"/>
      <c r="R41" s="15"/>
      <c r="S41" s="13"/>
    </row>
    <row r="42" spans="1:19">
      <c r="A42" s="259"/>
      <c r="B42" s="260" t="s">
        <v>198</v>
      </c>
      <c r="C42" s="261"/>
      <c r="D42" s="262">
        <f t="shared" ref="D42:F42" si="38">IFERROR((D41-C41)/C41,0)</f>
        <v>4.5037816662930233E-2</v>
      </c>
      <c r="E42" s="262">
        <f t="shared" si="38"/>
        <v>8.1067654231776719E-3</v>
      </c>
      <c r="F42" s="283">
        <f t="shared" si="38"/>
        <v>2.9444705776941513E-2</v>
      </c>
      <c r="G42" s="231">
        <f>IFERROR(SUM(D42:F42)/3, 0)</f>
        <v>2.7529762621016474E-2</v>
      </c>
      <c r="H42" s="231">
        <f t="shared" ref="H42:J42" si="39">IFERROR(SUM(E42:G42)/3, 0)</f>
        <v>2.1693744607045221E-2</v>
      </c>
      <c r="I42" s="231">
        <f t="shared" si="39"/>
        <v>2.6222737668334401E-2</v>
      </c>
      <c r="J42" s="231">
        <f t="shared" si="39"/>
        <v>2.5148748298798696E-2</v>
      </c>
      <c r="K42" s="13"/>
      <c r="L42" s="125" t="s">
        <v>199</v>
      </c>
      <c r="M42" s="126"/>
      <c r="N42" s="131">
        <f>N23+F17+C62+F19+F27</f>
        <v>-79669.844516726909</v>
      </c>
      <c r="O42" s="15"/>
      <c r="P42" s="15"/>
      <c r="Q42" s="15"/>
      <c r="R42" s="15"/>
      <c r="S42" s="13"/>
    </row>
    <row r="43" spans="1:19">
      <c r="A43" s="15"/>
      <c r="B43" s="15"/>
      <c r="C43" s="15"/>
      <c r="D43" s="15"/>
      <c r="E43" s="15"/>
      <c r="F43" s="15" t="s">
        <v>200</v>
      </c>
      <c r="G43" s="15" t="s">
        <v>158</v>
      </c>
      <c r="H43" s="15" t="s">
        <v>159</v>
      </c>
      <c r="I43" s="15" t="s">
        <v>160</v>
      </c>
      <c r="J43" s="124" t="s">
        <v>161</v>
      </c>
      <c r="K43" s="13"/>
      <c r="L43" s="125" t="s">
        <v>201</v>
      </c>
      <c r="M43" s="126"/>
      <c r="N43" s="131">
        <f>F37</f>
        <v>100712</v>
      </c>
      <c r="O43" s="15"/>
      <c r="P43" s="15"/>
      <c r="Q43" s="15"/>
      <c r="R43" s="15"/>
      <c r="S43" s="13"/>
    </row>
    <row r="44" spans="1:19">
      <c r="A44" s="314" t="s">
        <v>202</v>
      </c>
      <c r="B44" s="314"/>
      <c r="C44" s="15"/>
      <c r="D44" s="15"/>
      <c r="E44" s="15"/>
      <c r="F44" s="15">
        <v>1</v>
      </c>
      <c r="G44" s="15">
        <v>2</v>
      </c>
      <c r="H44" s="15">
        <v>3</v>
      </c>
      <c r="I44" s="15">
        <v>4</v>
      </c>
      <c r="J44" s="124">
        <v>5</v>
      </c>
      <c r="K44" s="13"/>
      <c r="L44" s="125" t="s">
        <v>203</v>
      </c>
      <c r="M44" s="126"/>
      <c r="N44" s="131">
        <f>N42-N43</f>
        <v>-180381.84451672691</v>
      </c>
      <c r="O44" s="15"/>
      <c r="P44" s="15"/>
      <c r="Q44" s="15"/>
      <c r="R44" s="15"/>
      <c r="S44" s="13"/>
    </row>
    <row r="45" spans="1:19">
      <c r="A45" s="313" t="s">
        <v>204</v>
      </c>
      <c r="B45" s="313"/>
      <c r="C45" s="15"/>
      <c r="D45" s="15"/>
      <c r="E45" s="15"/>
      <c r="F45" s="139" t="e">
        <f>F7</f>
        <v>#NAME?</v>
      </c>
      <c r="G45" s="139">
        <f>G7</f>
        <v>0</v>
      </c>
      <c r="H45" s="139">
        <f>H7</f>
        <v>0</v>
      </c>
      <c r="I45" s="139">
        <f>I7</f>
        <v>0</v>
      </c>
      <c r="J45" s="140">
        <f>J7</f>
        <v>0</v>
      </c>
      <c r="K45" s="13"/>
      <c r="L45" s="125" t="s">
        <v>205</v>
      </c>
      <c r="M45" s="126"/>
      <c r="N45" s="132">
        <f>C2</f>
        <v>4140</v>
      </c>
      <c r="O45" s="15"/>
      <c r="P45" s="15"/>
      <c r="Q45" s="15"/>
      <c r="R45" s="15"/>
      <c r="S45" s="13"/>
    </row>
    <row r="46" spans="1:19">
      <c r="A46" s="313" t="s">
        <v>163</v>
      </c>
      <c r="B46" s="313"/>
      <c r="C46" s="15"/>
      <c r="D46" s="15"/>
      <c r="E46" s="15"/>
      <c r="F46" s="139">
        <f>F9</f>
        <v>34685</v>
      </c>
      <c r="G46" s="139">
        <f>G9</f>
        <v>0</v>
      </c>
      <c r="H46" s="139">
        <f>H9</f>
        <v>0</v>
      </c>
      <c r="I46" s="139">
        <f>I9</f>
        <v>0</v>
      </c>
      <c r="J46" s="140">
        <f>J9</f>
        <v>0</v>
      </c>
      <c r="K46" s="13"/>
      <c r="L46" s="127" t="s">
        <v>147</v>
      </c>
      <c r="M46" s="128"/>
      <c r="N46" s="133">
        <f>IFERROR(N44/N45,0)</f>
        <v>-43.570493844620025</v>
      </c>
      <c r="O46" s="15"/>
      <c r="P46" s="15"/>
      <c r="Q46" s="15"/>
      <c r="R46" s="15"/>
      <c r="S46" s="13"/>
    </row>
    <row r="47" spans="1:19">
      <c r="A47" s="313" t="s">
        <v>167</v>
      </c>
      <c r="B47" s="313"/>
      <c r="C47" s="15"/>
      <c r="D47" s="15"/>
      <c r="E47" s="15"/>
      <c r="F47" s="139">
        <f>F11</f>
        <v>18003</v>
      </c>
      <c r="G47" s="139">
        <f>G11</f>
        <v>0</v>
      </c>
      <c r="H47" s="139">
        <f>H11</f>
        <v>0</v>
      </c>
      <c r="I47" s="139">
        <f>I11</f>
        <v>0</v>
      </c>
      <c r="J47" s="140">
        <f>J11</f>
        <v>0</v>
      </c>
      <c r="K47" s="13"/>
      <c r="L47" s="125"/>
      <c r="M47" s="126"/>
      <c r="N47" s="15"/>
      <c r="O47" s="15"/>
      <c r="P47" s="15"/>
      <c r="Q47" s="15"/>
      <c r="R47" s="15"/>
      <c r="S47" s="13"/>
    </row>
    <row r="48" spans="1:19">
      <c r="A48" s="313" t="s">
        <v>151</v>
      </c>
      <c r="B48" s="313"/>
      <c r="C48" s="15"/>
      <c r="D48" s="15"/>
      <c r="E48" s="15"/>
      <c r="F48" s="108">
        <f>$C$3</f>
        <v>8.2784699519411836E-2</v>
      </c>
      <c r="G48" s="108">
        <f t="shared" ref="G48:J48" si="40">$C$3</f>
        <v>8.2784699519411836E-2</v>
      </c>
      <c r="H48" s="108">
        <f t="shared" si="40"/>
        <v>8.2784699519411836E-2</v>
      </c>
      <c r="I48" s="108">
        <f t="shared" si="40"/>
        <v>8.2784699519411836E-2</v>
      </c>
      <c r="J48" s="141">
        <f t="shared" si="40"/>
        <v>8.2784699519411836E-2</v>
      </c>
      <c r="K48" s="13"/>
      <c r="L48" s="129"/>
      <c r="M48" s="130"/>
      <c r="N48" s="130"/>
      <c r="O48" s="130"/>
      <c r="P48" s="130"/>
      <c r="Q48" s="130"/>
      <c r="R48" s="130"/>
      <c r="S48" s="13"/>
    </row>
    <row r="49" spans="1:19">
      <c r="A49" s="313" t="s">
        <v>206</v>
      </c>
      <c r="B49" s="313"/>
      <c r="C49" s="15"/>
      <c r="D49" s="15"/>
      <c r="E49" s="15"/>
      <c r="F49" s="109">
        <f>F47*(1-F48)</f>
        <v>16512.627054552027</v>
      </c>
      <c r="G49" s="109">
        <f t="shared" ref="G49:J49" si="41">G47*(1-G48)</f>
        <v>0</v>
      </c>
      <c r="H49" s="109">
        <f t="shared" si="41"/>
        <v>0</v>
      </c>
      <c r="I49" s="109">
        <f t="shared" si="41"/>
        <v>0</v>
      </c>
      <c r="J49" s="142">
        <f t="shared" si="41"/>
        <v>0</v>
      </c>
      <c r="K49" s="13"/>
      <c r="L49" s="13"/>
      <c r="M49" s="13"/>
      <c r="N49" s="13"/>
      <c r="O49" s="13"/>
      <c r="P49" s="13"/>
      <c r="Q49" s="13"/>
      <c r="R49" s="13"/>
      <c r="S49" s="13"/>
    </row>
    <row r="50" spans="1:19">
      <c r="A50" s="313" t="s">
        <v>169</v>
      </c>
      <c r="B50" s="313"/>
      <c r="C50" s="15"/>
      <c r="D50" s="15"/>
      <c r="E50" s="15"/>
      <c r="F50" s="139">
        <f>F13</f>
        <v>16682</v>
      </c>
      <c r="G50" s="139">
        <f>G13</f>
        <v>0</v>
      </c>
      <c r="H50" s="139">
        <f>H13</f>
        <v>0</v>
      </c>
      <c r="I50" s="139">
        <f>I13</f>
        <v>0</v>
      </c>
      <c r="J50" s="140">
        <f>J13</f>
        <v>0</v>
      </c>
      <c r="K50" s="13"/>
      <c r="L50" s="13"/>
      <c r="M50" s="13"/>
      <c r="N50" s="13"/>
      <c r="O50" s="13"/>
      <c r="P50" s="13"/>
      <c r="Q50" s="13"/>
      <c r="R50" s="13"/>
      <c r="S50" s="13"/>
    </row>
    <row r="51" spans="1:19">
      <c r="A51" s="313" t="s">
        <v>207</v>
      </c>
      <c r="B51" s="313"/>
      <c r="C51" s="15"/>
      <c r="D51" s="15"/>
      <c r="E51" s="15"/>
      <c r="F51" s="139">
        <f>F19-E19</f>
        <v>327</v>
      </c>
      <c r="G51" s="139">
        <f t="shared" ref="G51:J51" si="42">G19-F19</f>
        <v>3585.2852766598444</v>
      </c>
      <c r="H51" s="139">
        <f t="shared" si="42"/>
        <v>2151.9636671748121</v>
      </c>
      <c r="I51" s="139">
        <f t="shared" si="42"/>
        <v>2370.5874571941276</v>
      </c>
      <c r="J51" s="140">
        <f t="shared" si="42"/>
        <v>3255.5743746944208</v>
      </c>
      <c r="K51" s="13"/>
      <c r="L51" s="13"/>
      <c r="M51" s="13"/>
      <c r="N51" s="13"/>
      <c r="O51" s="13"/>
      <c r="P51" s="13"/>
      <c r="Q51" s="13"/>
      <c r="R51" s="13"/>
      <c r="S51" s="13"/>
    </row>
    <row r="52" spans="1:19">
      <c r="A52" s="313" t="s">
        <v>32</v>
      </c>
      <c r="B52" s="313"/>
      <c r="C52" s="15"/>
      <c r="D52" s="15"/>
      <c r="E52" s="15"/>
      <c r="F52" s="139">
        <f>F21-E21</f>
        <v>86</v>
      </c>
      <c r="G52" s="139">
        <f t="shared" ref="G52:J52" si="43">G21-F21</f>
        <v>102.70339782398992</v>
      </c>
      <c r="H52" s="139">
        <f t="shared" si="43"/>
        <v>217.86258230911312</v>
      </c>
      <c r="I52" s="139">
        <f t="shared" si="43"/>
        <v>162.33998489161104</v>
      </c>
      <c r="J52" s="140">
        <f t="shared" si="43"/>
        <v>195.74468834005302</v>
      </c>
      <c r="K52" s="13"/>
      <c r="L52" s="13"/>
      <c r="M52" s="13"/>
      <c r="N52" s="13"/>
      <c r="O52" s="13"/>
      <c r="P52" s="13"/>
      <c r="Q52" s="13"/>
      <c r="R52" s="13"/>
      <c r="S52" s="13"/>
    </row>
    <row r="53" spans="1:19">
      <c r="A53" s="313" t="s">
        <v>180</v>
      </c>
      <c r="B53" s="313"/>
      <c r="C53" s="15"/>
      <c r="D53" s="15"/>
      <c r="E53" s="15"/>
      <c r="F53" s="139">
        <f>F23-E23</f>
        <v>2575</v>
      </c>
      <c r="G53" s="139">
        <f t="shared" ref="G53:J53" si="44">G23-F23</f>
        <v>2167.8329012195154</v>
      </c>
      <c r="H53" s="139">
        <f t="shared" si="44"/>
        <v>4728.0715890900083</v>
      </c>
      <c r="I53" s="139">
        <f t="shared" si="44"/>
        <v>5999.2952000240512</v>
      </c>
      <c r="J53" s="140">
        <f t="shared" si="44"/>
        <v>7921.1900838784932</v>
      </c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A54" s="313" t="s">
        <v>208</v>
      </c>
      <c r="B54" s="313"/>
      <c r="C54" s="15"/>
      <c r="D54" s="15"/>
      <c r="E54" s="15"/>
      <c r="F54" s="139">
        <f>(F25+F27)-(E25+E27)</f>
        <v>0</v>
      </c>
      <c r="G54" s="139">
        <f t="shared" ref="G54:J54" si="45">(G25+G27)-(F25+F27)</f>
        <v>0</v>
      </c>
      <c r="H54" s="139">
        <f t="shared" si="45"/>
        <v>0</v>
      </c>
      <c r="I54" s="139">
        <f t="shared" si="45"/>
        <v>0</v>
      </c>
      <c r="J54" s="140">
        <f t="shared" si="45"/>
        <v>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A55" s="313" t="s">
        <v>126</v>
      </c>
      <c r="B55" s="313"/>
      <c r="C55" s="15"/>
      <c r="D55" s="15"/>
      <c r="E55" s="15"/>
      <c r="F55" s="139">
        <f>E30-F30</f>
        <v>695</v>
      </c>
      <c r="G55" s="139">
        <f t="shared" ref="G55:J55" si="46">F30-G30</f>
        <v>-817.96546931696139</v>
      </c>
      <c r="H55" s="139">
        <f t="shared" si="46"/>
        <v>-500.68182358111881</v>
      </c>
      <c r="I55" s="139">
        <f t="shared" si="46"/>
        <v>-221.64285966136595</v>
      </c>
      <c r="J55" s="140">
        <f t="shared" si="46"/>
        <v>-538.7259583803534</v>
      </c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A56" s="313" t="s">
        <v>188</v>
      </c>
      <c r="B56" s="313"/>
      <c r="C56" s="15"/>
      <c r="D56" s="15"/>
      <c r="E56" s="15"/>
      <c r="F56" s="139">
        <f>E32-F32</f>
        <v>0</v>
      </c>
      <c r="G56" s="139">
        <f>F32-G32</f>
        <v>0</v>
      </c>
      <c r="H56" s="139">
        <f t="shared" ref="H56:J56" si="47">G32-H32</f>
        <v>0</v>
      </c>
      <c r="I56" s="139">
        <f t="shared" si="47"/>
        <v>0</v>
      </c>
      <c r="J56" s="140">
        <f t="shared" si="47"/>
        <v>0</v>
      </c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A57" s="313" t="s">
        <v>209</v>
      </c>
      <c r="B57" s="313"/>
      <c r="C57" s="15"/>
      <c r="D57" s="15"/>
      <c r="E57" s="15"/>
      <c r="F57" s="139">
        <f>E34-F34</f>
        <v>-7633</v>
      </c>
      <c r="G57" s="139">
        <f t="shared" ref="G57:J57" si="48">F34-G34</f>
        <v>-6919.7714071155096</v>
      </c>
      <c r="H57" s="139">
        <f t="shared" si="48"/>
        <v>-11010.876479253082</v>
      </c>
      <c r="I57" s="139">
        <f t="shared" si="48"/>
        <v>-15878.104515264022</v>
      </c>
      <c r="J57" s="140">
        <f t="shared" si="48"/>
        <v>-19992.789013961352</v>
      </c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A58" s="313" t="s">
        <v>210</v>
      </c>
      <c r="B58" s="313"/>
      <c r="C58" s="15"/>
      <c r="D58" s="15"/>
      <c r="E58" s="15"/>
      <c r="F58" s="139">
        <f>E41-F41</f>
        <v>-2629</v>
      </c>
      <c r="G58" s="139">
        <f t="shared" ref="G58:J58" si="49">F41-G41</f>
        <v>-2530.3981313107361</v>
      </c>
      <c r="H58" s="139">
        <f t="shared" si="49"/>
        <v>-2048.8743463713763</v>
      </c>
      <c r="I58" s="139">
        <f t="shared" si="49"/>
        <v>-2530.3439936790382</v>
      </c>
      <c r="J58" s="140">
        <f t="shared" si="49"/>
        <v>-2490.3451550233294</v>
      </c>
      <c r="K58" s="13"/>
      <c r="L58" s="13"/>
      <c r="M58" s="13"/>
      <c r="N58" s="13"/>
      <c r="O58" s="13"/>
      <c r="P58" s="13"/>
      <c r="Q58" s="13"/>
      <c r="R58" s="13"/>
      <c r="S58" s="13"/>
    </row>
    <row r="59" spans="1:19">
      <c r="A59" s="315" t="s">
        <v>211</v>
      </c>
      <c r="B59" s="315"/>
      <c r="C59" s="119"/>
      <c r="D59" s="119"/>
      <c r="E59" s="119"/>
      <c r="F59" s="143">
        <f>SUM(F49:F58)</f>
        <v>26615.627054552024</v>
      </c>
      <c r="G59" s="143">
        <f>SUM(G49:G58)</f>
        <v>-4412.3134320398576</v>
      </c>
      <c r="H59" s="143">
        <f t="shared" ref="H59:I59" si="50">SUM(H49:H58)</f>
        <v>-6462.5348106316433</v>
      </c>
      <c r="I59" s="143">
        <f t="shared" si="50"/>
        <v>-10097.868726494637</v>
      </c>
      <c r="J59" s="144">
        <f>SUM(J49:J58)</f>
        <v>-11649.350980452067</v>
      </c>
      <c r="K59" s="13"/>
      <c r="L59" s="13"/>
      <c r="M59" s="13"/>
      <c r="N59" s="13"/>
      <c r="O59" s="13"/>
      <c r="P59" s="13"/>
      <c r="Q59" s="13"/>
      <c r="R59" s="13"/>
      <c r="S59" s="13"/>
    </row>
    <row r="60" spans="1:19">
      <c r="A60" s="313" t="s">
        <v>212</v>
      </c>
      <c r="B60" s="313"/>
      <c r="C60" s="15"/>
      <c r="D60" s="15"/>
      <c r="E60" s="15"/>
      <c r="F60" s="108">
        <f>$N$39</f>
        <v>9.8672464583656166E-2</v>
      </c>
      <c r="G60" s="108">
        <f t="shared" ref="G60:J60" si="51">$N$39</f>
        <v>9.8672464583656166E-2</v>
      </c>
      <c r="H60" s="108">
        <f t="shared" si="51"/>
        <v>9.8672464583656166E-2</v>
      </c>
      <c r="I60" s="108">
        <f t="shared" si="51"/>
        <v>9.8672464583656166E-2</v>
      </c>
      <c r="J60" s="141">
        <f t="shared" si="51"/>
        <v>9.8672464583656166E-2</v>
      </c>
      <c r="K60" s="13"/>
      <c r="L60" s="13"/>
      <c r="M60" s="13"/>
      <c r="N60" s="13"/>
      <c r="O60" s="13"/>
      <c r="P60" s="13"/>
      <c r="Q60" s="13"/>
      <c r="R60" s="13"/>
      <c r="S60" s="13"/>
    </row>
    <row r="61" spans="1:19">
      <c r="A61" s="313" t="s">
        <v>213</v>
      </c>
      <c r="B61" s="313"/>
      <c r="C61" s="15"/>
      <c r="D61" s="15"/>
      <c r="E61" s="15"/>
      <c r="F61" s="139">
        <f>F59/(1-F60)^F44</f>
        <v>29529.361978559387</v>
      </c>
      <c r="G61" s="139">
        <f t="shared" ref="G61:J61" si="52">G59/(1-G60)^G44</f>
        <v>-5431.2660540375555</v>
      </c>
      <c r="H61" s="139">
        <f t="shared" si="52"/>
        <v>-8825.8182291277462</v>
      </c>
      <c r="I61" s="139">
        <f t="shared" si="52"/>
        <v>-15300.272471496692</v>
      </c>
      <c r="J61" s="140">
        <f t="shared" si="52"/>
        <v>-19583.419888190332</v>
      </c>
      <c r="K61" s="13"/>
      <c r="L61" s="13"/>
      <c r="M61" s="13"/>
      <c r="N61" s="13"/>
      <c r="O61" s="13"/>
      <c r="P61" s="13"/>
      <c r="Q61" s="13"/>
      <c r="R61" s="13"/>
      <c r="S61" s="13"/>
    </row>
    <row r="62" spans="1:19">
      <c r="A62" s="317" t="s">
        <v>214</v>
      </c>
      <c r="B62" s="317"/>
      <c r="C62" s="268">
        <f>SUM(F61:J61)</f>
        <v>-19611.414664292937</v>
      </c>
      <c r="D62" s="130"/>
      <c r="E62" s="130"/>
      <c r="F62" s="130"/>
      <c r="G62" s="130"/>
      <c r="H62" s="130"/>
      <c r="I62" s="130"/>
      <c r="J62" s="269"/>
      <c r="L62" s="13"/>
      <c r="M62" s="13"/>
      <c r="N62" s="13"/>
      <c r="O62" s="13"/>
      <c r="P62" s="13"/>
      <c r="Q62" s="13"/>
      <c r="R62" s="13"/>
      <c r="S62" s="13"/>
    </row>
    <row r="63" spans="1:19">
      <c r="A63" s="318"/>
      <c r="B63" s="31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>
      <c r="A64" s="319"/>
      <c r="B64" s="319"/>
    </row>
    <row r="65" spans="1:3">
      <c r="A65" s="319"/>
      <c r="B65" s="319"/>
    </row>
    <row r="66" spans="1:3">
      <c r="A66" s="316"/>
      <c r="B66" s="316"/>
      <c r="C66" s="110"/>
    </row>
    <row r="67" spans="1:3">
      <c r="A67" s="316"/>
      <c r="B67" s="316"/>
      <c r="C67" s="111"/>
    </row>
    <row r="68" spans="1:3">
      <c r="A68" s="316"/>
      <c r="B68" s="316"/>
      <c r="C68" s="112"/>
    </row>
    <row r="69" spans="1:3">
      <c r="A69" s="316"/>
      <c r="B69" s="316"/>
      <c r="C69" s="112"/>
    </row>
    <row r="70" spans="1:3">
      <c r="A70" s="316"/>
      <c r="B70" s="316"/>
      <c r="C70" s="112"/>
    </row>
    <row r="72" spans="1:3">
      <c r="A72" s="319"/>
      <c r="B72" s="319"/>
    </row>
    <row r="73" spans="1:3">
      <c r="A73" s="316"/>
      <c r="B73" s="316"/>
      <c r="C73" s="112"/>
    </row>
    <row r="74" spans="1:3">
      <c r="A74" s="316"/>
      <c r="B74" s="316"/>
    </row>
    <row r="75" spans="1:3">
      <c r="A75" s="316"/>
      <c r="B75" s="316"/>
      <c r="C75" s="111"/>
    </row>
    <row r="76" spans="1:3">
      <c r="A76" s="316"/>
      <c r="B76" s="316"/>
      <c r="C76" s="113"/>
    </row>
    <row r="77" spans="1:3">
      <c r="A77" s="316"/>
      <c r="B77" s="316"/>
      <c r="C77" s="111"/>
    </row>
    <row r="78" spans="1:3">
      <c r="A78" s="316"/>
      <c r="B78" s="316"/>
      <c r="C78" s="111"/>
    </row>
    <row r="80" spans="1:3">
      <c r="A80" s="316"/>
      <c r="B80" s="316"/>
      <c r="C80" s="114"/>
    </row>
    <row r="81" spans="1:4">
      <c r="A81" s="316"/>
      <c r="B81" s="316"/>
      <c r="C81" s="114"/>
    </row>
    <row r="82" spans="1:4">
      <c r="A82" s="320"/>
      <c r="B82" s="320"/>
      <c r="C82" s="114"/>
    </row>
    <row r="83" spans="1:4">
      <c r="A83" s="316"/>
      <c r="B83" s="316"/>
      <c r="C83" s="110"/>
    </row>
    <row r="84" spans="1:4">
      <c r="A84" s="316"/>
      <c r="B84" s="316"/>
      <c r="C84" s="110"/>
    </row>
    <row r="85" spans="1:4">
      <c r="A85" s="316"/>
      <c r="B85" s="316"/>
    </row>
    <row r="86" spans="1:4">
      <c r="A86" s="316"/>
      <c r="B86" s="316"/>
      <c r="C86" s="111"/>
      <c r="D86" s="111"/>
    </row>
    <row r="87" spans="1:4">
      <c r="A87" s="316"/>
      <c r="B87" s="316"/>
    </row>
    <row r="88" spans="1:4">
      <c r="A88" s="319"/>
      <c r="B88" s="319"/>
    </row>
    <row r="89" spans="1:4">
      <c r="A89" s="316"/>
      <c r="B89" s="316"/>
      <c r="C89" s="114"/>
    </row>
    <row r="90" spans="1:4">
      <c r="A90" s="316"/>
      <c r="B90" s="316"/>
      <c r="C90" s="114"/>
    </row>
    <row r="91" spans="1:4">
      <c r="A91" s="320"/>
      <c r="B91" s="320"/>
      <c r="C91" s="115"/>
    </row>
    <row r="92" spans="1:4">
      <c r="A92" s="316"/>
      <c r="B92" s="316"/>
    </row>
  </sheetData>
  <mergeCells count="61">
    <mergeCell ref="A88:B88"/>
    <mergeCell ref="A89:B89"/>
    <mergeCell ref="A90:B90"/>
    <mergeCell ref="A91:B91"/>
    <mergeCell ref="A92:B92"/>
    <mergeCell ref="A87:B87"/>
    <mergeCell ref="A75:B75"/>
    <mergeCell ref="A76:B76"/>
    <mergeCell ref="A77:B77"/>
    <mergeCell ref="A78:B78"/>
    <mergeCell ref="A80:B80"/>
    <mergeCell ref="A81:B81"/>
    <mergeCell ref="A82:B82"/>
    <mergeCell ref="A83:B83"/>
    <mergeCell ref="A84:B84"/>
    <mergeCell ref="A85:B85"/>
    <mergeCell ref="A86:B86"/>
    <mergeCell ref="A74:B74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2:B72"/>
    <mergeCell ref="A73:B73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L11:M11"/>
    <mergeCell ref="L13:M13"/>
    <mergeCell ref="L14:M14"/>
    <mergeCell ref="A49:B49"/>
    <mergeCell ref="A44:B44"/>
    <mergeCell ref="A45:B45"/>
    <mergeCell ref="A46:B46"/>
    <mergeCell ref="A47:B47"/>
    <mergeCell ref="A48:B48"/>
    <mergeCell ref="L10:M10"/>
    <mergeCell ref="A1:B1"/>
    <mergeCell ref="A2:B2"/>
    <mergeCell ref="A3:B3"/>
    <mergeCell ref="A4:B4"/>
    <mergeCell ref="L6:M6"/>
    <mergeCell ref="F1:G1"/>
    <mergeCell ref="F2:G2"/>
    <mergeCell ref="L7:M7"/>
    <mergeCell ref="L8:M8"/>
    <mergeCell ref="L9:M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AA1-AE59-4B49-86BC-C8B3BF8E138F}">
  <dimension ref="A1:BM454"/>
  <sheetViews>
    <sheetView topLeftCell="A86" zoomScale="60" zoomScaleNormal="60" workbookViewId="0">
      <selection activeCell="B92" sqref="B92"/>
    </sheetView>
  </sheetViews>
  <sheetFormatPr defaultRowHeight="15"/>
  <cols>
    <col min="1" max="1" width="2.28515625" style="13" customWidth="1"/>
    <col min="2" max="2" width="52.5703125" bestFit="1" customWidth="1"/>
    <col min="3" max="4" width="16.28515625" bestFit="1" customWidth="1"/>
    <col min="5" max="6" width="16.85546875" bestFit="1" customWidth="1"/>
    <col min="7" max="7" width="2.28515625" customWidth="1"/>
    <col min="8" max="8" width="43.42578125" bestFit="1" customWidth="1"/>
    <col min="9" max="10" width="17" bestFit="1" customWidth="1"/>
    <col min="11" max="11" width="16.5703125" bestFit="1" customWidth="1"/>
    <col min="12" max="12" width="2.28515625" customWidth="1"/>
    <col min="13" max="13" width="39.7109375" bestFit="1" customWidth="1"/>
    <col min="14" max="16" width="12.7109375" customWidth="1"/>
  </cols>
  <sheetData>
    <row r="1" spans="1:65" s="13" customFormat="1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65" ht="18.75" thickBot="1">
      <c r="A2" s="15"/>
      <c r="B2" s="23" t="s">
        <v>118</v>
      </c>
      <c r="C2" s="328"/>
      <c r="D2" s="326"/>
      <c r="E2" s="326"/>
      <c r="F2" s="327"/>
      <c r="G2" s="15"/>
      <c r="H2" s="23" t="s">
        <v>119</v>
      </c>
      <c r="I2" s="324"/>
      <c r="J2" s="324"/>
      <c r="K2" s="325"/>
      <c r="L2" s="15"/>
      <c r="M2" s="23" t="s">
        <v>120</v>
      </c>
      <c r="N2" s="324"/>
      <c r="O2" s="324"/>
      <c r="P2" s="325"/>
      <c r="Q2" s="15"/>
      <c r="R2" s="15"/>
      <c r="S2" s="15"/>
      <c r="T2" s="15"/>
      <c r="U2" s="15"/>
      <c r="V2" s="15"/>
      <c r="W2" s="15"/>
      <c r="X2" s="15"/>
      <c r="Y2" s="15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ht="16.5" thickBot="1">
      <c r="A3" s="15"/>
      <c r="B3" s="25"/>
      <c r="C3" s="18"/>
      <c r="D3" s="18"/>
      <c r="E3" s="18"/>
      <c r="F3" s="19"/>
      <c r="G3" s="15"/>
      <c r="H3" s="22"/>
      <c r="I3" s="24"/>
      <c r="J3" s="24"/>
      <c r="K3" s="51"/>
      <c r="L3" s="15"/>
      <c r="M3" s="22"/>
      <c r="N3" s="20"/>
      <c r="O3" s="20"/>
      <c r="P3" s="21"/>
      <c r="Q3" s="15"/>
      <c r="R3" s="15"/>
      <c r="S3" s="15"/>
      <c r="T3" s="15"/>
      <c r="U3" s="15"/>
      <c r="V3" s="15"/>
      <c r="W3" s="15"/>
      <c r="X3" s="15"/>
      <c r="Y3" s="15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15.75">
      <c r="A4" s="15"/>
      <c r="B4" s="178" t="s">
        <v>97</v>
      </c>
      <c r="C4" s="179" t="s">
        <v>216</v>
      </c>
      <c r="D4" s="179" t="s">
        <v>217</v>
      </c>
      <c r="E4" s="179" t="s">
        <v>218</v>
      </c>
      <c r="F4" s="180" t="s">
        <v>219</v>
      </c>
      <c r="G4" s="15"/>
      <c r="H4" s="178" t="s">
        <v>97</v>
      </c>
      <c r="I4" s="179" t="s">
        <v>217</v>
      </c>
      <c r="J4" s="179" t="s">
        <v>218</v>
      </c>
      <c r="K4" s="179" t="s">
        <v>219</v>
      </c>
      <c r="L4" s="15"/>
      <c r="M4" s="178" t="s">
        <v>97</v>
      </c>
      <c r="N4" s="179" t="s">
        <v>217</v>
      </c>
      <c r="O4" s="179" t="s">
        <v>218</v>
      </c>
      <c r="P4" s="180" t="s">
        <v>219</v>
      </c>
      <c r="Q4" s="15"/>
      <c r="R4" s="15"/>
      <c r="S4" s="15"/>
      <c r="T4" s="15"/>
      <c r="U4" s="15"/>
      <c r="V4" s="15"/>
      <c r="W4" s="15"/>
      <c r="X4" s="15"/>
      <c r="Y4" s="1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5" ht="15.75">
      <c r="A5" s="15"/>
      <c r="B5" s="167" t="s">
        <v>122</v>
      </c>
      <c r="C5" s="52">
        <f>'Balance Sheets'!B3</f>
        <v>2880</v>
      </c>
      <c r="D5" s="52">
        <f>'Balance Sheets'!C3</f>
        <v>2079</v>
      </c>
      <c r="E5" s="52">
        <f>'Balance Sheets'!D3</f>
        <v>2745</v>
      </c>
      <c r="F5" s="156">
        <f>'Balance Sheets'!E3</f>
        <v>2594</v>
      </c>
      <c r="G5" s="15"/>
      <c r="H5" s="181"/>
      <c r="I5" s="29"/>
      <c r="J5" s="29"/>
      <c r="K5" s="29"/>
      <c r="L5" s="15"/>
      <c r="M5" s="191" t="s">
        <v>111</v>
      </c>
      <c r="N5" s="70">
        <f>'Statements of Cash Flows'!B20</f>
        <v>24318</v>
      </c>
      <c r="O5" s="70">
        <f>'Statements of Cash Flows'!C20</f>
        <v>34339</v>
      </c>
      <c r="P5" s="195">
        <f>'Statements of Cash Flows'!D20</f>
        <v>35746</v>
      </c>
      <c r="Q5" s="15"/>
      <c r="R5" s="15"/>
      <c r="S5" s="15"/>
      <c r="T5" s="15"/>
      <c r="U5" s="15"/>
      <c r="V5" s="15"/>
      <c r="W5" s="15"/>
      <c r="X5" s="15"/>
      <c r="Y5" s="1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ht="15.75">
      <c r="A6" s="15"/>
      <c r="B6" s="168" t="s">
        <v>121</v>
      </c>
      <c r="C6" s="55">
        <f>'Balance Sheets'!B5</f>
        <v>1202</v>
      </c>
      <c r="D6" s="55">
        <f>'Balance Sheets'!C5</f>
        <v>1034</v>
      </c>
      <c r="E6" s="55">
        <f>'Balance Sheets'!D5</f>
        <v>1336</v>
      </c>
      <c r="F6" s="157">
        <f>'Balance Sheets'!E5</f>
        <v>1422</v>
      </c>
      <c r="G6" s="15"/>
      <c r="H6" s="167" t="s">
        <v>107</v>
      </c>
      <c r="I6" s="30">
        <f>'Statements of Income'!B4</f>
        <v>126034</v>
      </c>
      <c r="J6" s="30">
        <f>'Statements of Income'!C4</f>
        <v>130863</v>
      </c>
      <c r="K6" s="30">
        <f>'Statements of Income'!D4</f>
        <v>131868</v>
      </c>
      <c r="L6" s="15"/>
      <c r="M6" s="184" t="s">
        <v>112</v>
      </c>
      <c r="N6" s="71">
        <f>'Statements of Cash Flows'!B27</f>
        <v>-18456</v>
      </c>
      <c r="O6" s="71">
        <f>'Statements of Cash Flows'!C27</f>
        <v>-17934</v>
      </c>
      <c r="P6" s="196">
        <f>'Statements of Cash Flows'!D27</f>
        <v>-17581</v>
      </c>
      <c r="Q6" s="15"/>
      <c r="R6" s="15"/>
      <c r="S6" s="15"/>
      <c r="T6" s="15"/>
      <c r="U6" s="15"/>
      <c r="V6" s="15"/>
      <c r="W6" s="15"/>
      <c r="X6" s="15"/>
      <c r="Y6" s="1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15.75">
      <c r="A7" s="15"/>
      <c r="B7" s="168" t="s">
        <v>123</v>
      </c>
      <c r="C7" s="55">
        <f>'Balance Sheets'!B4</f>
        <v>17513</v>
      </c>
      <c r="D7" s="55">
        <f>'Balance Sheets'!C4</f>
        <v>23493</v>
      </c>
      <c r="E7" s="55">
        <f>'Balance Sheets'!D4</f>
        <v>25102</v>
      </c>
      <c r="F7" s="157">
        <f>'Balance Sheets'!E4</f>
        <v>25429</v>
      </c>
      <c r="G7" s="15"/>
      <c r="H7" s="182" t="s">
        <v>136</v>
      </c>
      <c r="I7" s="64">
        <f>'Statements of Income'!B9-(I9+I10)</f>
        <v>53063</v>
      </c>
      <c r="J7" s="64">
        <f>'Statements of Income'!C9-(J9+J10)</f>
        <v>55508</v>
      </c>
      <c r="K7" s="64">
        <f>'Statements of Income'!D9-(K9+K10)</f>
        <v>54726</v>
      </c>
      <c r="L7" s="15"/>
      <c r="M7" s="194" t="s">
        <v>113</v>
      </c>
      <c r="N7" s="71">
        <f>'Statements of Cash Flows'!B35</f>
        <v>-6151</v>
      </c>
      <c r="O7" s="71">
        <f>'Statements of Cash Flows'!C35</f>
        <v>-15377</v>
      </c>
      <c r="P7" s="196">
        <f>'Statements of Cash Flows'!D35</f>
        <v>-18164</v>
      </c>
      <c r="Q7" s="15"/>
      <c r="R7" s="15"/>
      <c r="S7" s="15"/>
      <c r="T7" s="15"/>
      <c r="U7" s="15"/>
      <c r="V7" s="15"/>
      <c r="W7" s="15"/>
      <c r="X7" s="15"/>
      <c r="Y7" s="1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ht="15.75">
      <c r="A8" s="15"/>
      <c r="B8" s="169" t="s">
        <v>124</v>
      </c>
      <c r="C8" s="56">
        <f>'Balance Sheets'!B6</f>
        <v>4800</v>
      </c>
      <c r="D8" s="56">
        <f>'Balance Sheets'!C6</f>
        <v>3307</v>
      </c>
      <c r="E8" s="56">
        <f>'Balance Sheets'!D6</f>
        <v>5453</v>
      </c>
      <c r="F8" s="158">
        <f>'Balance Sheets'!E6</f>
        <v>8028</v>
      </c>
      <c r="G8" s="15"/>
      <c r="H8" s="167" t="s">
        <v>108</v>
      </c>
      <c r="I8" s="66">
        <f>I6-I7</f>
        <v>72971</v>
      </c>
      <c r="J8" s="66">
        <f t="shared" ref="J8:K8" si="0">J6-J7</f>
        <v>75355</v>
      </c>
      <c r="K8" s="66">
        <f t="shared" si="0"/>
        <v>77142</v>
      </c>
      <c r="L8" s="15"/>
      <c r="M8" s="194" t="s">
        <v>143</v>
      </c>
      <c r="N8" s="71">
        <f>'Statements of Cash Flows'!B37</f>
        <v>3177</v>
      </c>
      <c r="O8" s="71">
        <f>'Statements of Cash Flows'!C37</f>
        <v>2888</v>
      </c>
      <c r="P8" s="196">
        <f>'Statements of Cash Flows'!D37</f>
        <v>3916</v>
      </c>
      <c r="Q8" s="15"/>
      <c r="R8" s="15"/>
      <c r="S8" s="15"/>
      <c r="T8" s="15"/>
      <c r="U8" s="15"/>
      <c r="V8" s="15"/>
      <c r="W8" s="15"/>
      <c r="X8" s="15"/>
      <c r="Y8" s="1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ht="15.75">
      <c r="A9" s="15"/>
      <c r="B9" s="167" t="s">
        <v>125</v>
      </c>
      <c r="C9" s="57">
        <f>IF(SUM(C5:C8)='Balance Sheets'!B7, 'Balance Sheets'!B7, 0)</f>
        <v>26395</v>
      </c>
      <c r="D9" s="57">
        <f>IF(SUM(D5:D8)='Balance Sheets'!C7, 'Balance Sheets'!C7, 0)</f>
        <v>29913</v>
      </c>
      <c r="E9" s="57">
        <f>IF(SUM(E5:E8)='Balance Sheets'!D7, 'Balance Sheets'!D7, 0)</f>
        <v>34636</v>
      </c>
      <c r="F9" s="159">
        <f>IF(SUM(F5:F8)='Balance Sheets'!E7, 'Balance Sheets'!E7, 0)</f>
        <v>37473</v>
      </c>
      <c r="G9" s="15"/>
      <c r="H9" s="183" t="s">
        <v>168</v>
      </c>
      <c r="I9" s="65">
        <f>'Statements of Income'!B7</f>
        <v>16954</v>
      </c>
      <c r="J9" s="65">
        <f>'Statements of Income'!C7</f>
        <v>17403</v>
      </c>
      <c r="K9" s="65">
        <f>'Statements of Income'!D7</f>
        <v>16682</v>
      </c>
      <c r="L9" s="15"/>
      <c r="M9" s="184" t="s">
        <v>114</v>
      </c>
      <c r="N9" s="71">
        <f>IF(SUM(N5:N7)='Statements of Cash Flows'!B36,'Statements of Cash Flows'!B36,0)</f>
        <v>-289</v>
      </c>
      <c r="O9" s="71">
        <f>IF(SUM(O5:O7)='Statements of Cash Flows'!C36,'Statements of Cash Flows'!C36,0)</f>
        <v>1028</v>
      </c>
      <c r="P9" s="196">
        <f>IF(SUM(P5:P7)='Statements of Cash Flows'!D36,'Statements of Cash Flows'!D36,0)</f>
        <v>1</v>
      </c>
      <c r="Q9" s="15"/>
      <c r="R9" s="15"/>
      <c r="S9" s="15"/>
      <c r="T9" s="15"/>
      <c r="U9" s="15"/>
      <c r="V9" s="15"/>
      <c r="W9" s="15"/>
      <c r="X9" s="15"/>
      <c r="Y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15.75">
      <c r="A10" s="15"/>
      <c r="B10" s="170" t="s">
        <v>98</v>
      </c>
      <c r="C10" s="58">
        <f>'Balance Sheets'!B10</f>
        <v>84751</v>
      </c>
      <c r="D10" s="58">
        <f>'Balance Sheets'!C10</f>
        <v>88568</v>
      </c>
      <c r="E10" s="58">
        <f>'Balance Sheets'!D10</f>
        <v>89286</v>
      </c>
      <c r="F10" s="160">
        <f>'Balance Sheets'!E10</f>
        <v>91915</v>
      </c>
      <c r="G10" s="15"/>
      <c r="H10" s="184" t="s">
        <v>140</v>
      </c>
      <c r="I10" s="65">
        <f>'Statements of Income'!B6+'Statements of Income'!B8</f>
        <v>28592</v>
      </c>
      <c r="J10" s="65">
        <f>'Statements of Income'!C6+'Statements of Income'!C8</f>
        <v>35674</v>
      </c>
      <c r="K10" s="65">
        <f>'Statements of Income'!D6+'Statements of Income'!D8</f>
        <v>30082</v>
      </c>
      <c r="L10" s="15"/>
      <c r="M10" s="194" t="s">
        <v>144</v>
      </c>
      <c r="N10" s="71">
        <f>IF(SUM(N8:N9)='Statements of Cash Flows'!B38,'Statements of Cash Flows'!B38,0)</f>
        <v>2888</v>
      </c>
      <c r="O10" s="71">
        <f>IF(SUM(O8:O9)='Statements of Cash Flows'!C38,'Statements of Cash Flows'!C38,0)</f>
        <v>3916</v>
      </c>
      <c r="P10" s="196">
        <f>IF(SUM(P8:P9)='Statements of Cash Flows'!D38,'Statements of Cash Flows'!D38,0)</f>
        <v>3917</v>
      </c>
      <c r="Q10" s="15"/>
      <c r="R10" s="15"/>
      <c r="S10" s="15"/>
      <c r="T10" s="15"/>
      <c r="U10" s="15"/>
      <c r="V10" s="15"/>
      <c r="W10" s="15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ht="16.5" thickBot="1">
      <c r="A11" s="15"/>
      <c r="B11" s="171" t="s">
        <v>99</v>
      </c>
      <c r="C11" s="55">
        <f>'Balance Sheets'!B11+'Balance Sheets'!B12+'Balance Sheets'!B15</f>
        <v>88396</v>
      </c>
      <c r="D11" s="55">
        <f>'Balance Sheets'!C11+'Balance Sheets'!C12+'Balance Sheets'!C15</f>
        <v>89456</v>
      </c>
      <c r="E11" s="55">
        <f>'Balance Sheets'!D11+'Balance Sheets'!D12+'Balance Sheets'!D15</f>
        <v>94801</v>
      </c>
      <c r="F11" s="157">
        <f>'Balance Sheets'!E11+'Balance Sheets'!E12+'Balance Sheets'!E15</f>
        <v>118311</v>
      </c>
      <c r="G11" s="15"/>
      <c r="H11" s="167" t="s">
        <v>11</v>
      </c>
      <c r="I11" s="31">
        <f>IF((I8-(I9+I10))='Statements of Income'!B10, 'Statements of Income'!B10,0)</f>
        <v>27425</v>
      </c>
      <c r="J11" s="31">
        <f>IF((J8-(J9+J10))='Statements of Income'!C10, 'Statements of Income'!C10,0)</f>
        <v>22278</v>
      </c>
      <c r="K11" s="31">
        <f>IF((K8-(K9+K10))='Statements of Income'!D10, 'Statements of Income'!D10,0)</f>
        <v>30378</v>
      </c>
      <c r="L11" s="15"/>
      <c r="M11" s="39"/>
      <c r="N11" s="40"/>
      <c r="O11" s="40"/>
      <c r="P11" s="41"/>
      <c r="Q11" s="15"/>
      <c r="R11" s="15"/>
      <c r="S11" s="15"/>
      <c r="T11" s="15"/>
      <c r="U11" s="15"/>
      <c r="V11" s="15"/>
      <c r="W11" s="15"/>
      <c r="X11" s="15"/>
      <c r="Y11" s="1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16.5" thickBot="1">
      <c r="A12" s="15"/>
      <c r="B12" s="172" t="s">
        <v>100</v>
      </c>
      <c r="C12" s="59">
        <f>'Balance Sheets'!B13+'Balance Sheets'!B14</f>
        <v>36102</v>
      </c>
      <c r="D12" s="59">
        <f>'Balance Sheets'!C13+'Balance Sheets'!C14</f>
        <v>39419</v>
      </c>
      <c r="E12" s="59">
        <f>'Balance Sheets'!D13+'Balance Sheets'!D14</f>
        <v>34389</v>
      </c>
      <c r="F12" s="161">
        <f>'Balance Sheets'!E13+'Balance Sheets'!E14</f>
        <v>33887</v>
      </c>
      <c r="G12" s="15"/>
      <c r="H12" s="185" t="s">
        <v>14</v>
      </c>
      <c r="I12" s="65">
        <f>'Statements of Income'!B13</f>
        <v>-4733</v>
      </c>
      <c r="J12" s="65">
        <f>'Statements of Income'!C13</f>
        <v>-4833</v>
      </c>
      <c r="K12" s="65">
        <f>'Statements of Income'!D13</f>
        <v>-4730</v>
      </c>
      <c r="L12" s="15"/>
      <c r="M12" s="42" t="s">
        <v>130</v>
      </c>
      <c r="N12" s="324"/>
      <c r="O12" s="324"/>
      <c r="P12" s="325"/>
      <c r="Q12" s="15"/>
      <c r="R12" s="15"/>
      <c r="S12" s="15"/>
      <c r="T12" s="15"/>
      <c r="U12" s="15"/>
      <c r="V12" s="15"/>
      <c r="W12" s="15"/>
      <c r="X12" s="15"/>
      <c r="Y12" s="1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ht="16.5" thickBot="1">
      <c r="A13" s="15"/>
      <c r="B13" s="172" t="s">
        <v>43</v>
      </c>
      <c r="C13" s="55">
        <f>'Balance Sheets'!B16</f>
        <v>8536</v>
      </c>
      <c r="D13" s="55">
        <f>'Balance Sheets'!C16</f>
        <v>9787</v>
      </c>
      <c r="E13" s="55">
        <f>'Balance Sheets'!D16</f>
        <v>11717</v>
      </c>
      <c r="F13" s="157">
        <f>'Balance Sheets'!E16</f>
        <v>10141</v>
      </c>
      <c r="G13" s="15"/>
      <c r="H13" s="186" t="s">
        <v>137</v>
      </c>
      <c r="I13" s="67">
        <f>'Statements of Income'!B11+'Statements of Income'!B12</f>
        <v>-2098</v>
      </c>
      <c r="J13" s="67">
        <f>'Statements of Income'!C11+'Statements of Income'!C12</f>
        <v>2178</v>
      </c>
      <c r="K13" s="67">
        <f>'Statements of Income'!D11+'Statements of Income'!D12</f>
        <v>-2915</v>
      </c>
      <c r="L13" s="15"/>
      <c r="M13" s="22"/>
      <c r="N13" s="43"/>
      <c r="O13" s="43"/>
      <c r="P13" s="44"/>
      <c r="Q13" s="15"/>
      <c r="R13" s="15"/>
      <c r="S13" s="15"/>
      <c r="T13" s="15"/>
      <c r="U13" s="15"/>
      <c r="V13" s="15"/>
      <c r="W13" s="15"/>
      <c r="X13" s="15"/>
      <c r="Y13" s="15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16.5" thickBot="1">
      <c r="A14" s="15"/>
      <c r="B14" s="173" t="s">
        <v>44</v>
      </c>
      <c r="C14" s="61">
        <f>IF(SUM(C9:C13)='Balance Sheets'!B17,'Balance Sheets'!B17, 0)</f>
        <v>244180</v>
      </c>
      <c r="D14" s="61">
        <f>IF(SUM(D9:D13)='Balance Sheets'!C17,'Balance Sheets'!C17, 0)</f>
        <v>257143</v>
      </c>
      <c r="E14" s="61">
        <f>IF(SUM(E9:E13)='Balance Sheets'!D17,'Balance Sheets'!D17, 0)</f>
        <v>264829</v>
      </c>
      <c r="F14" s="162">
        <f>IF(SUM(F9:F13)='Balance Sheets'!E17,'Balance Sheets'!E17, 0)</f>
        <v>291727</v>
      </c>
      <c r="G14" s="15"/>
      <c r="H14" s="187" t="s">
        <v>141</v>
      </c>
      <c r="I14" s="65">
        <f>'Statements of Income'!B15</f>
        <v>9956</v>
      </c>
      <c r="J14" s="65">
        <f>'Statements of Income'!C15</f>
        <v>-3584</v>
      </c>
      <c r="K14" s="65">
        <f>'Statements of Income'!D15</f>
        <v>-2945</v>
      </c>
      <c r="L14" s="15"/>
      <c r="M14" s="26" t="s">
        <v>97</v>
      </c>
      <c r="N14" s="50" t="str">
        <f>Date2</f>
        <v>2017</v>
      </c>
      <c r="O14" s="50" t="str">
        <f>Date3</f>
        <v>2018</v>
      </c>
      <c r="P14" s="50" t="str">
        <f>Date4</f>
        <v>2019</v>
      </c>
      <c r="Q14" s="15"/>
      <c r="R14" s="15"/>
      <c r="S14" s="15"/>
      <c r="T14" s="15"/>
      <c r="U14" s="15"/>
      <c r="V14" s="15"/>
      <c r="W14" s="15"/>
      <c r="X14" s="15"/>
      <c r="Y14" s="15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17.25" thickTop="1" thickBot="1">
      <c r="A15" s="15"/>
      <c r="B15" s="174" t="s">
        <v>126</v>
      </c>
      <c r="C15" s="58">
        <f>'Balance Sheets'!B20</f>
        <v>19593</v>
      </c>
      <c r="D15" s="58">
        <f>'Balance Sheets'!C20</f>
        <v>21232</v>
      </c>
      <c r="E15" s="58">
        <f>'Balance Sheets'!D20</f>
        <v>22501</v>
      </c>
      <c r="F15" s="160">
        <f>'Balance Sheets'!E20</f>
        <v>21806</v>
      </c>
      <c r="G15" s="15"/>
      <c r="H15" s="188" t="s">
        <v>138</v>
      </c>
      <c r="I15" s="68">
        <f>IF(SUM(I11:I14)='Statements of Income'!B16,'Statements of Income'!B16,0)</f>
        <v>30550</v>
      </c>
      <c r="J15" s="68">
        <f>IF(SUM(J11:J14)='Statements of Income'!C16,'Statements of Income'!C16,0)</f>
        <v>16039</v>
      </c>
      <c r="K15" s="68">
        <f>IF(SUM(K11:K14)='Statements of Income'!D16,'Statements of Income'!D16,0)</f>
        <v>19788</v>
      </c>
      <c r="L15" s="15"/>
      <c r="M15" s="32"/>
      <c r="N15" s="45"/>
      <c r="O15" s="45"/>
      <c r="P15" s="45"/>
      <c r="Q15" s="15"/>
      <c r="R15" s="15"/>
      <c r="S15" s="15"/>
      <c r="T15" s="15"/>
      <c r="U15" s="15"/>
      <c r="V15" s="15"/>
      <c r="W15" s="15"/>
      <c r="X15" s="15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16.5" thickTop="1">
      <c r="A16" s="15"/>
      <c r="B16" s="174" t="s">
        <v>127</v>
      </c>
      <c r="C16" s="59">
        <f>'Balance Sheets'!B19+'Balance Sheets'!B21+'Balance Sheets'!B22</f>
        <v>10747</v>
      </c>
      <c r="D16" s="59">
        <f>'Balance Sheets'!C19+'Balance Sheets'!C21+'Balance Sheets'!C22</f>
        <v>11805</v>
      </c>
      <c r="E16" s="59">
        <f>'Balance Sheets'!D19+'Balance Sheets'!D21+'Balance Sheets'!D22</f>
        <v>15429</v>
      </c>
      <c r="F16" s="161">
        <f>'Balance Sheets'!E19+'Balance Sheets'!E21+'Balance Sheets'!E22</f>
        <v>23062</v>
      </c>
      <c r="G16" s="15"/>
      <c r="H16" s="189" t="s">
        <v>142</v>
      </c>
      <c r="I16" s="65">
        <f>'Statements of Income'!B17</f>
        <v>449</v>
      </c>
      <c r="J16" s="65">
        <f>'Statements of Income'!C17</f>
        <v>511</v>
      </c>
      <c r="K16" s="65">
        <f>'Statements of Income'!D17</f>
        <v>523</v>
      </c>
      <c r="L16" s="15"/>
      <c r="M16" s="46" t="s">
        <v>117</v>
      </c>
      <c r="N16" s="47"/>
      <c r="O16" s="47"/>
      <c r="P16" s="47"/>
      <c r="Q16" s="15"/>
      <c r="R16" s="15"/>
      <c r="S16" s="15"/>
      <c r="T16" s="15"/>
      <c r="U16" s="15"/>
      <c r="V16" s="15"/>
      <c r="W16" s="15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6.5" thickBot="1">
      <c r="A17" s="15"/>
      <c r="B17" s="167" t="s">
        <v>101</v>
      </c>
      <c r="C17" s="57">
        <f>IF(SUM(C15:C16)='Balance Sheets'!B23,'Balance Sheets'!B23, 0)</f>
        <v>30340</v>
      </c>
      <c r="D17" s="57">
        <f>IF(SUM(D15:D16)='Balance Sheets'!C23,'Balance Sheets'!C23, 0)</f>
        <v>33037</v>
      </c>
      <c r="E17" s="57">
        <f>IF(SUM(E15:E16)='Balance Sheets'!D23,'Balance Sheets'!D23, 0)</f>
        <v>37930</v>
      </c>
      <c r="F17" s="159">
        <f>IF(SUM(F15:F16)='Balance Sheets'!E23,'Balance Sheets'!E23, 0)</f>
        <v>44868</v>
      </c>
      <c r="G17" s="15"/>
      <c r="H17" s="173" t="s">
        <v>17</v>
      </c>
      <c r="I17" s="68">
        <f>IF(I15='Statements of Cash Flows'!B4,'Statements of Cash Flows'!B4,0)</f>
        <v>30550</v>
      </c>
      <c r="J17" s="68">
        <f>IF(J15='Statements of Cash Flows'!C4,'Statements of Cash Flows'!C4,0)</f>
        <v>16039</v>
      </c>
      <c r="K17" s="68">
        <f>IF(K15='Statements of Cash Flows'!D4,'Statements of Cash Flows'!D4,0)</f>
        <v>19788</v>
      </c>
      <c r="L17" s="15"/>
      <c r="M17" s="32" t="s">
        <v>92</v>
      </c>
      <c r="N17" s="55">
        <f>'Statements of Cash Flows'!B33</f>
        <v>-9472</v>
      </c>
      <c r="O17" s="55">
        <f>'Statements of Cash Flows'!C33</f>
        <v>-9772</v>
      </c>
      <c r="P17" s="55">
        <f>'Statements of Cash Flows'!D33</f>
        <v>-10016</v>
      </c>
      <c r="Q17" s="15"/>
      <c r="R17" s="15"/>
      <c r="S17" s="15"/>
      <c r="T17" s="15"/>
      <c r="U17" s="15"/>
      <c r="V17" s="15"/>
      <c r="W17" s="15"/>
      <c r="X17" s="15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6.5" thickTop="1">
      <c r="A18" s="15"/>
      <c r="B18" s="168" t="s">
        <v>102</v>
      </c>
      <c r="C18" s="55">
        <f>'Balance Sheets'!B24</f>
        <v>105433</v>
      </c>
      <c r="D18" s="55">
        <f>'Balance Sheets'!C24</f>
        <v>113642</v>
      </c>
      <c r="E18" s="55">
        <f>'Balance Sheets'!D24</f>
        <v>105873</v>
      </c>
      <c r="F18" s="157">
        <f>'Balance Sheets'!E24</f>
        <v>100712</v>
      </c>
      <c r="G18" s="15"/>
      <c r="H18" s="190" t="s">
        <v>109</v>
      </c>
      <c r="I18" s="69">
        <f>'Statements of Income'!B21</f>
        <v>7.37</v>
      </c>
      <c r="J18" s="69">
        <f>'Statements of Income'!C21</f>
        <v>3.76</v>
      </c>
      <c r="K18" s="69">
        <f>'Statements of Income'!D21</f>
        <v>4.66</v>
      </c>
      <c r="L18" s="15"/>
      <c r="M18" s="32" t="s">
        <v>139</v>
      </c>
      <c r="N18" s="27">
        <f>'Statements of Income'!B25</f>
        <v>4089</v>
      </c>
      <c r="O18" s="27">
        <f>'Statements of Income'!C25</f>
        <v>4132</v>
      </c>
      <c r="P18" s="27">
        <f>'Statements of Income'!D25</f>
        <v>4140</v>
      </c>
      <c r="Q18" s="15"/>
      <c r="R18" s="15"/>
      <c r="S18" s="15"/>
      <c r="T18" s="15"/>
      <c r="U18" s="15"/>
      <c r="V18" s="15"/>
      <c r="W18" s="15"/>
      <c r="X18" s="15"/>
      <c r="Y18" s="1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>
      <c r="A19" s="15"/>
      <c r="B19" s="169" t="s">
        <v>103</v>
      </c>
      <c r="C19" s="55">
        <f>'Balance Sheets'!B25+'Balance Sheets'!B26+'Balance Sheets'!B27+'Balance Sheets'!B28</f>
        <v>84375</v>
      </c>
      <c r="D19" s="55">
        <f>'Balance Sheets'!C25+'Balance Sheets'!C26+'Balance Sheets'!C27+'Balance Sheets'!C28</f>
        <v>65777</v>
      </c>
      <c r="E19" s="55">
        <f>'Balance Sheets'!D25+'Balance Sheets'!D26+'Balance Sheets'!D27+'Balance Sheets'!D28</f>
        <v>66316</v>
      </c>
      <c r="F19" s="157">
        <f>'Balance Sheets'!E25+'Balance Sheets'!E26+'Balance Sheets'!E27+'Balance Sheets'!E28</f>
        <v>83312</v>
      </c>
      <c r="G19" s="15"/>
      <c r="H19" s="192" t="s">
        <v>110</v>
      </c>
      <c r="I19" s="193">
        <f>'Statements of Income'!B24</f>
        <v>7.36</v>
      </c>
      <c r="J19" s="193">
        <f>'Statements of Income'!C24</f>
        <v>3.76</v>
      </c>
      <c r="K19" s="193">
        <f>'Statements of Income'!D24</f>
        <v>4.6500000000000004</v>
      </c>
      <c r="L19" s="15"/>
      <c r="M19" s="33" t="s">
        <v>115</v>
      </c>
      <c r="N19" s="36">
        <f>(N17/N18)*-1</f>
        <v>2.3164587918806556</v>
      </c>
      <c r="O19" s="36">
        <f t="shared" ref="O19:P19" si="1">(O17/O18)*-1</f>
        <v>2.3649564375605032</v>
      </c>
      <c r="P19" s="36">
        <f t="shared" si="1"/>
        <v>2.4193236714975845</v>
      </c>
      <c r="Q19" s="15"/>
      <c r="R19" s="15"/>
      <c r="S19" s="15"/>
      <c r="T19" s="15"/>
      <c r="U19" s="15"/>
      <c r="V19" s="15"/>
      <c r="W19" s="15"/>
      <c r="X19" s="15"/>
      <c r="Y19" s="1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6.5" thickBot="1">
      <c r="A20" s="15"/>
      <c r="B20" s="173" t="s">
        <v>132</v>
      </c>
      <c r="C20" s="61">
        <f>IF(SUM(C18:C19)='Balance Sheets'!B29,'Balance Sheets'!B29,0)</f>
        <v>189808</v>
      </c>
      <c r="D20" s="61">
        <f>IF(SUM(D18:D19)='Balance Sheets'!C29,'Balance Sheets'!C29,0)</f>
        <v>179419</v>
      </c>
      <c r="E20" s="61">
        <f>IF(SUM(E18:E19)='Balance Sheets'!D29,'Balance Sheets'!D29,0)</f>
        <v>172189</v>
      </c>
      <c r="F20" s="162">
        <f>IF(SUM(F18:F19)='Balance Sheets'!E29,'Balance Sheets'!E29,0)</f>
        <v>184024</v>
      </c>
      <c r="G20" s="15"/>
      <c r="H20" s="15"/>
      <c r="I20" s="15"/>
      <c r="J20" s="15"/>
      <c r="K20" s="15"/>
      <c r="L20" s="15"/>
      <c r="M20" s="48" t="s">
        <v>116</v>
      </c>
      <c r="N20" s="49"/>
      <c r="O20" s="49"/>
      <c r="P20" s="49"/>
      <c r="Q20" s="15"/>
      <c r="R20" s="15"/>
      <c r="S20" s="15"/>
      <c r="T20" s="15"/>
      <c r="U20" s="15"/>
      <c r="V20" s="15"/>
      <c r="W20" s="15"/>
      <c r="X20" s="15"/>
      <c r="Y20" s="15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7.25" thickTop="1" thickBot="1">
      <c r="A21" s="15"/>
      <c r="B21" s="175" t="s">
        <v>133</v>
      </c>
      <c r="C21" s="62">
        <f>C20+C17</f>
        <v>220148</v>
      </c>
      <c r="D21" s="62">
        <f t="shared" ref="D21:F21" si="2">D20+D17</f>
        <v>212456</v>
      </c>
      <c r="E21" s="62">
        <f t="shared" si="2"/>
        <v>210119</v>
      </c>
      <c r="F21" s="163">
        <f t="shared" si="2"/>
        <v>228892</v>
      </c>
      <c r="G21" s="15"/>
      <c r="H21" s="15"/>
      <c r="I21" s="15"/>
      <c r="J21" s="15"/>
      <c r="K21" s="15"/>
      <c r="L21" s="15"/>
      <c r="M21" s="48"/>
      <c r="N21" s="49"/>
      <c r="O21" s="49"/>
      <c r="P21" s="49"/>
      <c r="Q21" s="15"/>
      <c r="R21" s="15"/>
      <c r="S21" s="15"/>
      <c r="T21" s="15"/>
      <c r="U21" s="15"/>
      <c r="V21" s="15"/>
      <c r="W21" s="15"/>
      <c r="X21" s="15"/>
      <c r="Y21" s="15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6.5" thickTop="1">
      <c r="A22" s="15"/>
      <c r="B22" s="176" t="s">
        <v>104</v>
      </c>
      <c r="C22" s="28">
        <f>'Balance Sheets'!B31</f>
        <v>0</v>
      </c>
      <c r="D22" s="28">
        <f>'Balance Sheets'!C31</f>
        <v>0</v>
      </c>
      <c r="E22" s="28">
        <f>'Balance Sheets'!D31</f>
        <v>0</v>
      </c>
      <c r="F22" s="164">
        <f>'Balance Sheets'!E31</f>
        <v>0</v>
      </c>
      <c r="G22" s="15"/>
      <c r="H22" s="15"/>
      <c r="I22" s="15"/>
      <c r="J22" s="15"/>
      <c r="K22" s="15"/>
      <c r="L22" s="15"/>
      <c r="M22" s="32"/>
      <c r="N22" s="36"/>
      <c r="O22" s="36"/>
      <c r="P22" s="36"/>
      <c r="Q22" s="15"/>
      <c r="R22" s="15"/>
      <c r="S22" s="15"/>
      <c r="T22" s="15"/>
      <c r="U22" s="15"/>
      <c r="V22" s="15"/>
      <c r="W22" s="15"/>
      <c r="X22" s="15"/>
      <c r="Y22" s="1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>
      <c r="A23" s="15"/>
      <c r="B23" s="168" t="s">
        <v>105</v>
      </c>
      <c r="C23" s="27">
        <f>'Balance Sheets'!B32</f>
        <v>424</v>
      </c>
      <c r="D23" s="27">
        <f>'Balance Sheets'!C32</f>
        <v>424</v>
      </c>
      <c r="E23" s="27">
        <f>'Balance Sheets'!D32</f>
        <v>429</v>
      </c>
      <c r="F23" s="165">
        <f>'Balance Sheets'!E32</f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>
      <c r="A24" s="15"/>
      <c r="B24" s="168" t="s">
        <v>134</v>
      </c>
      <c r="C24" s="55">
        <f>'Balance Sheets'!B33+'Balance Sheets'!B34</f>
        <v>26241</v>
      </c>
      <c r="D24" s="55">
        <f>'Balance Sheets'!C33+'Balance Sheets'!C34</f>
        <v>46736</v>
      </c>
      <c r="E24" s="55">
        <f>'Balance Sheets'!D33+'Balance Sheets'!D34</f>
        <v>56979</v>
      </c>
      <c r="F24" s="157">
        <f>'Balance Sheets'!E33+'Balance Sheets'!E34</f>
        <v>66566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>
      <c r="A25" s="15"/>
      <c r="B25" s="168" t="s">
        <v>106</v>
      </c>
      <c r="C25" s="55">
        <f>'Balance Sheets'!B36</f>
        <v>-7263</v>
      </c>
      <c r="D25" s="55">
        <f>'Balance Sheets'!C36</f>
        <v>-7139</v>
      </c>
      <c r="E25" s="55">
        <f>'Balance Sheets'!D36</f>
        <v>-6986</v>
      </c>
      <c r="F25" s="157">
        <f>'Balance Sheets'!E36</f>
        <v>-6820</v>
      </c>
      <c r="G25" s="15"/>
      <c r="H25" s="29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>
      <c r="A26" s="15"/>
      <c r="B26" s="169" t="s">
        <v>128</v>
      </c>
      <c r="C26" s="55">
        <f>'Balance Sheets'!B35+'Balance Sheets'!B37</f>
        <v>3122</v>
      </c>
      <c r="D26" s="55">
        <f>'Balance Sheets'!C35+'Balance Sheets'!C37</f>
        <v>3075</v>
      </c>
      <c r="E26" s="55">
        <f>'Balance Sheets'!D35+'Balance Sheets'!D37</f>
        <v>2723</v>
      </c>
      <c r="F26" s="157">
        <f>'Balance Sheets'!E35+'Balance Sheets'!E37</f>
        <v>1220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>
      <c r="A27" s="15"/>
      <c r="B27" s="168" t="s">
        <v>129</v>
      </c>
      <c r="C27" s="55">
        <f>'Balance Sheets'!B38</f>
        <v>1508</v>
      </c>
      <c r="D27" s="55">
        <f>'Balance Sheets'!C38</f>
        <v>1591</v>
      </c>
      <c r="E27" s="55">
        <f>'Balance Sheets'!D38</f>
        <v>1565</v>
      </c>
      <c r="F27" s="157">
        <f>'Balance Sheets'!E38</f>
        <v>1440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>
      <c r="A28" s="15"/>
      <c r="B28" s="177" t="s">
        <v>66</v>
      </c>
      <c r="C28" s="60">
        <f>IF(SUM(C23:C27)='Balance Sheets'!B39,'Balance Sheets'!B39,0)</f>
        <v>24032</v>
      </c>
      <c r="D28" s="60">
        <f>IF(SUM(D23:D27)='Balance Sheets'!C39,'Balance Sheets'!C39,0)</f>
        <v>44687</v>
      </c>
      <c r="E28" s="60">
        <f>IF(SUM(E23:E27)='Balance Sheets'!D39,'Balance Sheets'!D39,0)</f>
        <v>54710</v>
      </c>
      <c r="F28" s="166">
        <f>IF(SUM(F23:F27)='Balance Sheets'!E39,'Balance Sheets'!E39,0)</f>
        <v>62835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>
      <c r="A29" s="15"/>
      <c r="B29" s="177" t="s">
        <v>135</v>
      </c>
      <c r="C29" s="60">
        <f>IF((C21+C28)=C14,(C21+C28),0)</f>
        <v>244180</v>
      </c>
      <c r="D29" s="60">
        <f t="shared" ref="D29:F29" si="3">IF((D21+D28)=D14,(D21+D28),0)</f>
        <v>257143</v>
      </c>
      <c r="E29" s="60">
        <f t="shared" si="3"/>
        <v>264829</v>
      </c>
      <c r="F29" s="166">
        <f t="shared" si="3"/>
        <v>291727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>
      <c r="A30" s="15"/>
      <c r="B30" s="14"/>
      <c r="C30" s="16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8.75" thickBot="1">
      <c r="A31" s="15"/>
      <c r="B31" s="75" t="s">
        <v>145</v>
      </c>
      <c r="C31" s="73"/>
      <c r="D31" s="73"/>
      <c r="E31" s="73"/>
      <c r="F31" s="73"/>
      <c r="G31" s="74"/>
      <c r="H31" s="74"/>
      <c r="I31" s="74"/>
      <c r="J31" s="74"/>
      <c r="K31" s="74"/>
      <c r="L31" s="74"/>
      <c r="M31" s="74"/>
      <c r="N31" s="74"/>
      <c r="O31" s="74"/>
      <c r="P31" s="76"/>
      <c r="Q31" s="15"/>
      <c r="R31" s="15"/>
      <c r="S31" s="15"/>
      <c r="T31" s="15"/>
      <c r="U31" s="15"/>
      <c r="V31" s="15"/>
      <c r="W31" s="15"/>
      <c r="X31" s="15"/>
      <c r="Y31" s="1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8.75" thickBot="1">
      <c r="A32" s="15"/>
      <c r="B32" s="23" t="s">
        <v>118</v>
      </c>
      <c r="C32" s="326"/>
      <c r="D32" s="326"/>
      <c r="E32" s="326"/>
      <c r="F32" s="327"/>
      <c r="G32" s="15"/>
      <c r="H32" s="23" t="s">
        <v>119</v>
      </c>
      <c r="I32" s="324"/>
      <c r="J32" s="324"/>
      <c r="K32" s="325"/>
      <c r="L32" s="15"/>
      <c r="M32" s="23" t="s">
        <v>120</v>
      </c>
      <c r="N32" s="324"/>
      <c r="O32" s="324"/>
      <c r="P32" s="325"/>
      <c r="Q32" s="15"/>
      <c r="R32" s="15"/>
      <c r="S32" s="15"/>
      <c r="T32" s="15"/>
      <c r="U32" s="15"/>
      <c r="V32" s="15"/>
      <c r="W32" s="15"/>
      <c r="X32" s="15"/>
      <c r="Y32" s="1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6.5" thickBot="1">
      <c r="A33" s="15"/>
      <c r="B33" s="25"/>
      <c r="C33" s="18"/>
      <c r="D33" s="18"/>
      <c r="E33" s="18"/>
      <c r="F33" s="19"/>
      <c r="G33" s="15"/>
      <c r="H33" s="22"/>
      <c r="I33" s="24"/>
      <c r="J33" s="24"/>
      <c r="K33" s="51"/>
      <c r="L33" s="15"/>
      <c r="M33" s="22"/>
      <c r="N33" s="20"/>
      <c r="O33" s="20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>
      <c r="A34" s="15"/>
      <c r="B34" s="178" t="s">
        <v>97</v>
      </c>
      <c r="C34" s="179" t="s">
        <v>216</v>
      </c>
      <c r="D34" s="179" t="s">
        <v>217</v>
      </c>
      <c r="E34" s="179" t="s">
        <v>218</v>
      </c>
      <c r="F34" s="180" t="s">
        <v>219</v>
      </c>
      <c r="G34" s="15"/>
      <c r="H34" s="178" t="s">
        <v>97</v>
      </c>
      <c r="I34" s="179" t="s">
        <v>217</v>
      </c>
      <c r="J34" s="179" t="s">
        <v>218</v>
      </c>
      <c r="K34" s="180" t="s">
        <v>219</v>
      </c>
      <c r="L34" s="15"/>
      <c r="M34" s="26" t="s">
        <v>97</v>
      </c>
      <c r="N34" s="50" t="str">
        <f>Date2</f>
        <v>2017</v>
      </c>
      <c r="O34" s="50" t="str">
        <f>Date3</f>
        <v>2018</v>
      </c>
      <c r="P34" s="50" t="str">
        <f>Date4</f>
        <v>2019</v>
      </c>
      <c r="Q34" s="15"/>
      <c r="R34" s="15"/>
      <c r="S34" s="15"/>
      <c r="T34" s="15"/>
      <c r="U34" s="15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>
      <c r="A35" s="15"/>
      <c r="B35" s="167" t="s">
        <v>122</v>
      </c>
      <c r="C35" s="77">
        <f>IFERROR(IF(ABS(CashY1/TotalAssetsY1) &gt;  0, CashY1/TotalAssetsY1, NA()), NA())</f>
        <v>1.1794577770497174E-2</v>
      </c>
      <c r="D35" s="77">
        <f>IFERROR(IF(ABS(CashY2/TotalAssetsY2) &gt;  0, CashY2/TotalAssetsY2, NA()), NA())</f>
        <v>8.0849955083358294E-3</v>
      </c>
      <c r="E35" s="77">
        <f>IFERROR(IF(ABS(CashY3/TotalAssetsY3) &gt;  0, CashY3/TotalAssetsY3, NA()), NA())</f>
        <v>1.0365179040059812E-2</v>
      </c>
      <c r="F35" s="197">
        <f>IFERROR(IF(ABS(CashY4/TotalAssetsY4) &gt;  0, CashY4/TotalAssetsY4, NA()), NA())</f>
        <v>8.8918749378699945E-3</v>
      </c>
      <c r="G35" s="15"/>
      <c r="H35" s="181"/>
      <c r="I35" s="29"/>
      <c r="J35" s="29"/>
      <c r="K35" s="216"/>
      <c r="L35" s="15"/>
      <c r="M35" s="17" t="s">
        <v>111</v>
      </c>
      <c r="N35" s="37"/>
      <c r="O35" s="37"/>
      <c r="P35" s="37"/>
      <c r="Q35" s="15"/>
      <c r="R35" s="15"/>
      <c r="S35" s="15"/>
      <c r="T35" s="15"/>
      <c r="U35" s="15"/>
      <c r="V35" s="15"/>
      <c r="W35" s="15"/>
      <c r="X35" s="15"/>
      <c r="Y35" s="15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>
      <c r="A36" s="15"/>
      <c r="B36" s="168" t="s">
        <v>121</v>
      </c>
      <c r="C36" s="78">
        <f t="shared" ref="C36:C44" si="4">IFERROR(IF(ABS(C6/TotalAssetsY1) &gt;  0, C6/TotalAssetsY1, NA()), NA())</f>
        <v>4.9225980833811122E-3</v>
      </c>
      <c r="D36" s="78">
        <f t="shared" ref="D36:D44" si="5">IFERROR(IF(ABS(D6/TotalAssetsY2) &gt;  0, D6/TotalAssetsY2, NA()), NA())</f>
        <v>4.0211088771617345E-3</v>
      </c>
      <c r="E36" s="78">
        <f t="shared" ref="E36:E44" si="6">IFERROR(IF(ABS(E6/TotalAssetsY3) &gt;  0, E6/TotalAssetsY3, NA()), NA())</f>
        <v>5.0447647349799304E-3</v>
      </c>
      <c r="F36" s="198">
        <f t="shared" ref="F36:F44" si="7">IFERROR(IF(ABS(F6/TotalAssetsY4) &gt;  0, F6/TotalAssetsY4, NA()), NA())</f>
        <v>4.874420262779928E-3</v>
      </c>
      <c r="G36" s="15"/>
      <c r="H36" s="167" t="s">
        <v>107</v>
      </c>
      <c r="I36" s="84">
        <f>IFERROR(IF(ABS(I6/I$6) &gt;  0, I6/I$6, NA()), NA())</f>
        <v>1</v>
      </c>
      <c r="J36" s="84">
        <f t="shared" ref="J36:K36" si="8">IFERROR(IF(ABS(J6/J$6) &gt;  0, J6/J$6, NA()), NA())</f>
        <v>1</v>
      </c>
      <c r="K36" s="84">
        <f t="shared" si="8"/>
        <v>1</v>
      </c>
      <c r="L36" s="15"/>
      <c r="M36" s="11" t="s">
        <v>112</v>
      </c>
      <c r="N36" s="38"/>
      <c r="O36" s="38"/>
      <c r="P36" s="38"/>
      <c r="Q36" s="15"/>
      <c r="R36" s="15"/>
      <c r="S36" s="15"/>
      <c r="T36" s="15"/>
      <c r="U36" s="15"/>
      <c r="V36" s="15"/>
      <c r="W36" s="15"/>
      <c r="X36" s="15"/>
      <c r="Y36" s="15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>
      <c r="A37" s="15"/>
      <c r="B37" s="168" t="s">
        <v>123</v>
      </c>
      <c r="C37" s="78">
        <f t="shared" si="4"/>
        <v>7.1721680727332301E-2</v>
      </c>
      <c r="D37" s="78">
        <f t="shared" si="5"/>
        <v>9.1361615910213384E-2</v>
      </c>
      <c r="E37" s="78">
        <f t="shared" si="6"/>
        <v>9.4785691899301056E-2</v>
      </c>
      <c r="F37" s="198">
        <f t="shared" si="7"/>
        <v>8.7167111717461873E-2</v>
      </c>
      <c r="G37" s="15"/>
      <c r="H37" s="182" t="s">
        <v>136</v>
      </c>
      <c r="I37" s="85">
        <f>IFERROR(IF(ABS(I7/I$6) &gt;  0, I7/I$6, NA()), NA())</f>
        <v>0.42102131170953871</v>
      </c>
      <c r="J37" s="85">
        <f t="shared" ref="J37:K37" si="9">IFERROR(IF(ABS(J7/J$6) &gt;  0, J7/J$6, NA()), NA())</f>
        <v>0.4241687872049395</v>
      </c>
      <c r="K37" s="85">
        <f t="shared" si="9"/>
        <v>0.41500591500591499</v>
      </c>
      <c r="L37" s="15"/>
      <c r="M37" s="12" t="s">
        <v>113</v>
      </c>
      <c r="N37" s="38"/>
      <c r="O37" s="38"/>
      <c r="P37" s="38"/>
      <c r="Q37" s="15"/>
      <c r="R37" s="15"/>
      <c r="S37" s="15"/>
      <c r="T37" s="15"/>
      <c r="U37" s="15"/>
      <c r="V37" s="15"/>
      <c r="W37" s="15"/>
      <c r="X37" s="15"/>
      <c r="Y37" s="15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>
      <c r="A38" s="15"/>
      <c r="B38" s="169" t="s">
        <v>124</v>
      </c>
      <c r="C38" s="78">
        <f t="shared" si="4"/>
        <v>1.965762961749529E-2</v>
      </c>
      <c r="D38" s="78">
        <f t="shared" si="5"/>
        <v>1.2860548410806439E-2</v>
      </c>
      <c r="E38" s="78">
        <f t="shared" si="6"/>
        <v>2.0590645284315541E-2</v>
      </c>
      <c r="F38" s="198">
        <f t="shared" si="7"/>
        <v>2.7518878951896808E-2</v>
      </c>
      <c r="G38" s="15"/>
      <c r="H38" s="167" t="s">
        <v>108</v>
      </c>
      <c r="I38" s="84">
        <f t="shared" ref="I38:K38" si="10">IFERROR(IF(ABS(I8/I$6) &gt;  0, I8/I$6, NA()), NA())</f>
        <v>0.57897868829046129</v>
      </c>
      <c r="J38" s="84">
        <f t="shared" si="10"/>
        <v>0.57583121279506044</v>
      </c>
      <c r="K38" s="84">
        <f t="shared" si="10"/>
        <v>0.58499408499408501</v>
      </c>
      <c r="L38" s="15"/>
      <c r="M38" s="12" t="s">
        <v>143</v>
      </c>
      <c r="N38" s="38"/>
      <c r="O38" s="38"/>
      <c r="P38" s="38"/>
      <c r="Q38" s="15"/>
      <c r="R38" s="15"/>
      <c r="S38" s="15"/>
      <c r="T38" s="15"/>
      <c r="U38" s="15"/>
      <c r="V38" s="15"/>
      <c r="W38" s="15"/>
      <c r="X38" s="15"/>
      <c r="Y38" s="15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>
      <c r="A39" s="15"/>
      <c r="B39" s="167" t="s">
        <v>125</v>
      </c>
      <c r="C39" s="77">
        <f t="shared" si="4"/>
        <v>0.10809648619870588</v>
      </c>
      <c r="D39" s="77">
        <f t="shared" si="5"/>
        <v>0.11632826870651738</v>
      </c>
      <c r="E39" s="77">
        <f t="shared" si="6"/>
        <v>0.13078628095865635</v>
      </c>
      <c r="F39" s="197">
        <f t="shared" si="7"/>
        <v>0.12845228587000859</v>
      </c>
      <c r="G39" s="15"/>
      <c r="H39" s="183" t="s">
        <v>168</v>
      </c>
      <c r="I39" s="85">
        <f t="shared" ref="I39:K39" si="11">IFERROR(IF(ABS(I9/I$6) &gt;  0, I9/I$6, NA()), NA())</f>
        <v>0.13451925670850723</v>
      </c>
      <c r="J39" s="85">
        <f t="shared" si="11"/>
        <v>0.13298640563031566</v>
      </c>
      <c r="K39" s="85">
        <f t="shared" si="11"/>
        <v>0.12650529317195983</v>
      </c>
      <c r="L39" s="15"/>
      <c r="M39" s="11" t="s">
        <v>114</v>
      </c>
      <c r="N39" s="38"/>
      <c r="O39" s="38"/>
      <c r="P39" s="38"/>
      <c r="Q39" s="15"/>
      <c r="R39" s="15"/>
      <c r="S39" s="15"/>
      <c r="T39" s="15"/>
      <c r="U39" s="15"/>
      <c r="V39" s="15"/>
      <c r="W39" s="15"/>
      <c r="X39" s="15"/>
      <c r="Y39" s="15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>
      <c r="A40" s="15"/>
      <c r="B40" s="170" t="s">
        <v>98</v>
      </c>
      <c r="C40" s="79">
        <f t="shared" si="4"/>
        <v>0.34708411827340485</v>
      </c>
      <c r="D40" s="79">
        <f t="shared" si="5"/>
        <v>0.34443091976060014</v>
      </c>
      <c r="E40" s="79">
        <f t="shared" si="6"/>
        <v>0.33714585638279798</v>
      </c>
      <c r="F40" s="199">
        <f t="shared" si="7"/>
        <v>0.31507196797005421</v>
      </c>
      <c r="G40" s="15"/>
      <c r="H40" s="184" t="s">
        <v>140</v>
      </c>
      <c r="I40" s="85">
        <f t="shared" ref="I40:K40" si="12">IFERROR(IF(ABS(I10/I$6) &gt;  0, I10/I$6, NA()), NA())</f>
        <v>0.22685941888696701</v>
      </c>
      <c r="J40" s="85">
        <f t="shared" si="12"/>
        <v>0.27260570214651964</v>
      </c>
      <c r="K40" s="85">
        <f t="shared" si="12"/>
        <v>0.22812206145539479</v>
      </c>
      <c r="L40" s="15"/>
      <c r="M40" s="12" t="s">
        <v>144</v>
      </c>
      <c r="N40" s="38"/>
      <c r="O40" s="38"/>
      <c r="P40" s="38"/>
      <c r="Q40" s="15"/>
      <c r="R40" s="15"/>
      <c r="S40" s="15"/>
      <c r="T40" s="15"/>
      <c r="U40" s="15"/>
      <c r="V40" s="15"/>
      <c r="W40" s="15"/>
      <c r="X40" s="15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6.5" thickBot="1">
      <c r="A41" s="15"/>
      <c r="B41" s="171" t="s">
        <v>99</v>
      </c>
      <c r="C41" s="79">
        <f t="shared" si="4"/>
        <v>0.36201163076419035</v>
      </c>
      <c r="D41" s="79">
        <f t="shared" si="5"/>
        <v>0.34788425117541599</v>
      </c>
      <c r="E41" s="79">
        <f t="shared" si="6"/>
        <v>0.35797061500062305</v>
      </c>
      <c r="F41" s="199">
        <f t="shared" si="7"/>
        <v>0.40555382258070044</v>
      </c>
      <c r="G41" s="15"/>
      <c r="H41" s="167" t="s">
        <v>11</v>
      </c>
      <c r="I41" s="84">
        <f t="shared" ref="I41:K41" si="13">IFERROR(IF(ABS(I11/I$6) &gt;  0, I11/I$6, NA()), NA())</f>
        <v>0.21760001269498708</v>
      </c>
      <c r="J41" s="84">
        <f t="shared" si="13"/>
        <v>0.17023910501822517</v>
      </c>
      <c r="K41" s="84">
        <f t="shared" si="13"/>
        <v>0.23036673036673036</v>
      </c>
      <c r="L41" s="15"/>
      <c r="M41" s="39"/>
      <c r="N41" s="40"/>
      <c r="O41" s="40"/>
      <c r="P41" s="41"/>
      <c r="Q41" s="15"/>
      <c r="R41" s="15"/>
      <c r="S41" s="15"/>
      <c r="T41" s="15"/>
      <c r="U41" s="15"/>
      <c r="V41" s="15"/>
      <c r="W41" s="15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6.5" thickBot="1">
      <c r="A42" s="15"/>
      <c r="B42" s="172" t="s">
        <v>100</v>
      </c>
      <c r="C42" s="79">
        <f t="shared" si="4"/>
        <v>0.14784994676058646</v>
      </c>
      <c r="D42" s="79">
        <f t="shared" si="5"/>
        <v>0.15329602594665226</v>
      </c>
      <c r="E42" s="79">
        <f t="shared" si="6"/>
        <v>0.12985360364612636</v>
      </c>
      <c r="F42" s="199">
        <f t="shared" si="7"/>
        <v>0.11615997148018524</v>
      </c>
      <c r="G42" s="15"/>
      <c r="H42" s="185" t="s">
        <v>14</v>
      </c>
      <c r="I42" s="85">
        <f t="shared" ref="I42:K42" si="14">IFERROR(IF(ABS(I12/I$6) &gt;  0, I12/I$6, NA()), NA())</f>
        <v>-3.7553358617515908E-2</v>
      </c>
      <c r="J42" s="85">
        <f t="shared" si="14"/>
        <v>-3.693175305472135E-2</v>
      </c>
      <c r="K42" s="85">
        <f t="shared" si="14"/>
        <v>-3.5869202535869206E-2</v>
      </c>
      <c r="L42" s="15"/>
      <c r="M42" s="42" t="s">
        <v>130</v>
      </c>
      <c r="N42" s="324"/>
      <c r="O42" s="324"/>
      <c r="P42" s="325"/>
      <c r="Q42" s="15"/>
      <c r="R42" s="15"/>
      <c r="S42" s="15"/>
      <c r="T42" s="15"/>
      <c r="U42" s="15"/>
      <c r="V42" s="15"/>
      <c r="W42" s="15"/>
      <c r="X42" s="15"/>
      <c r="Y42" s="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6.5" thickBot="1">
      <c r="A43" s="15"/>
      <c r="B43" s="172" t="s">
        <v>43</v>
      </c>
      <c r="C43" s="79">
        <f t="shared" si="4"/>
        <v>3.4957818003112456E-2</v>
      </c>
      <c r="D43" s="79">
        <f t="shared" si="5"/>
        <v>3.8060534410814216E-2</v>
      </c>
      <c r="E43" s="79">
        <f t="shared" si="6"/>
        <v>4.4243644011796292E-2</v>
      </c>
      <c r="F43" s="199">
        <f t="shared" si="7"/>
        <v>3.4761952099051509E-2</v>
      </c>
      <c r="G43" s="15"/>
      <c r="H43" s="186" t="s">
        <v>137</v>
      </c>
      <c r="I43" s="85">
        <f t="shared" ref="I43:K43" si="15">IFERROR(IF(ABS(I13/I$6) &gt;  0, I13/I$6, NA()), NA())</f>
        <v>-1.664630179158005E-2</v>
      </c>
      <c r="J43" s="85">
        <f t="shared" si="15"/>
        <v>1.664335984961372E-2</v>
      </c>
      <c r="K43" s="85">
        <f t="shared" si="15"/>
        <v>-2.210543877210544E-2</v>
      </c>
      <c r="L43" s="15"/>
      <c r="M43" s="22"/>
      <c r="N43" s="43"/>
      <c r="O43" s="43"/>
      <c r="P43" s="44"/>
      <c r="Q43" s="15"/>
      <c r="R43" s="15"/>
      <c r="S43" s="15"/>
      <c r="T43" s="15"/>
      <c r="U43" s="15"/>
      <c r="V43" s="15"/>
      <c r="W43" s="15"/>
      <c r="X43" s="15"/>
      <c r="Y43" s="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6.5" thickBot="1">
      <c r="A44" s="15"/>
      <c r="B44" s="173" t="s">
        <v>44</v>
      </c>
      <c r="C44" s="80">
        <f t="shared" si="4"/>
        <v>1</v>
      </c>
      <c r="D44" s="80">
        <f t="shared" si="5"/>
        <v>1</v>
      </c>
      <c r="E44" s="80">
        <f t="shared" si="6"/>
        <v>1</v>
      </c>
      <c r="F44" s="200">
        <f t="shared" si="7"/>
        <v>1</v>
      </c>
      <c r="G44" s="15"/>
      <c r="H44" s="187" t="s">
        <v>141</v>
      </c>
      <c r="I44" s="85">
        <f t="shared" ref="I44:K44" si="16">IFERROR(IF(ABS(I14/I$6) &gt;  0, I14/I$6, NA()), NA())</f>
        <v>7.8994557024295031E-2</v>
      </c>
      <c r="J44" s="85">
        <f t="shared" si="16"/>
        <v>-2.7387420432054898E-2</v>
      </c>
      <c r="K44" s="85">
        <f t="shared" si="16"/>
        <v>-2.2332938999605666E-2</v>
      </c>
      <c r="L44" s="15"/>
      <c r="M44" s="26" t="s">
        <v>97</v>
      </c>
      <c r="N44" s="50" t="str">
        <f>Date2</f>
        <v>2017</v>
      </c>
      <c r="O44" s="50" t="str">
        <f>Date3</f>
        <v>2018</v>
      </c>
      <c r="P44" s="50" t="str">
        <f>Date4</f>
        <v>2019</v>
      </c>
      <c r="Q44" s="15"/>
      <c r="R44" s="15"/>
      <c r="S44" s="15"/>
      <c r="T44" s="15"/>
      <c r="U44" s="15"/>
      <c r="V44" s="15"/>
      <c r="W44" s="15"/>
      <c r="X44" s="15"/>
      <c r="Y44" s="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7.25" thickTop="1" thickBot="1">
      <c r="A45" s="15"/>
      <c r="B45" s="174" t="s">
        <v>126</v>
      </c>
      <c r="C45" s="79">
        <f>IFERROR(IF(ABS(C$15/TotalLiabilitiesY1) &gt;  0, C$15/TotalLiabilitiesY1, NA()), NA())</f>
        <v>8.8999218707415007E-2</v>
      </c>
      <c r="D45" s="79">
        <f t="shared" ref="D45:D51" si="17">IFERROR(IF(ABS(D15/TotalLiabilitiesY2) &gt;  0, D15/TotalLiabilitiesY2, NA()), NA())</f>
        <v>9.9935986745490826E-2</v>
      </c>
      <c r="E45" s="79">
        <f t="shared" ref="E45:E51" si="18">IFERROR(IF(ABS(E15/TotalLiabilitiesY3) &gt;  0, E15/TotalLiabilitiesY3, NA()), NA())</f>
        <v>0.10708693645029721</v>
      </c>
      <c r="F45" s="199">
        <f t="shared" ref="F45:F51" si="19">IFERROR(IF(ABS(F15/TotalLiabilitiesY4) &gt;  0, F15/TotalLiabilitiesY4, NA()), NA())</f>
        <v>9.5267637138912675E-2</v>
      </c>
      <c r="G45" s="15"/>
      <c r="H45" s="214" t="s">
        <v>138</v>
      </c>
      <c r="I45" s="84">
        <f t="shared" ref="I45:K45" si="20">IFERROR(IF(ABS(I15/I$6) &gt;  0, I15/I$6, NA()), NA())</f>
        <v>0.24239490931018615</v>
      </c>
      <c r="J45" s="87">
        <f t="shared" si="20"/>
        <v>0.12256329138106264</v>
      </c>
      <c r="K45" s="87">
        <f t="shared" si="20"/>
        <v>0.15005915005915005</v>
      </c>
      <c r="L45" s="15"/>
      <c r="M45" s="32"/>
      <c r="N45" s="45"/>
      <c r="O45" s="45"/>
      <c r="P45" s="45"/>
      <c r="Q45" s="15"/>
      <c r="R45" s="15"/>
      <c r="S45" s="15"/>
      <c r="T45" s="15"/>
      <c r="U45" s="15"/>
      <c r="V45" s="15"/>
      <c r="W45" s="15"/>
      <c r="X45" s="15"/>
      <c r="Y45" s="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6.5" thickTop="1">
      <c r="A46" s="15"/>
      <c r="B46" s="174" t="s">
        <v>127</v>
      </c>
      <c r="C46" s="79">
        <f t="shared" ref="C46:C51" si="21">IFERROR(IF(ABS(C16/TotalLiabilitiesY1) &gt;  0, C16/TotalLiabilitiesY1, NA()), NA())</f>
        <v>4.881715936551774E-2</v>
      </c>
      <c r="D46" s="79">
        <f t="shared" si="17"/>
        <v>5.5564446285348498E-2</v>
      </c>
      <c r="E46" s="79">
        <f t="shared" si="18"/>
        <v>7.3429818341035319E-2</v>
      </c>
      <c r="F46" s="199">
        <f t="shared" si="19"/>
        <v>0.10075494119497405</v>
      </c>
      <c r="G46" s="15"/>
      <c r="H46" s="215"/>
      <c r="I46" s="86">
        <f t="shared" ref="I46:K46" si="22">IFERROR(IF(ABS(I16/I$6) &gt;  0, I16/I$6, NA()), NA())</f>
        <v>3.5625307456718029E-3</v>
      </c>
      <c r="J46" s="86">
        <f t="shared" si="22"/>
        <v>3.9048470537890773E-3</v>
      </c>
      <c r="K46" s="86">
        <f t="shared" si="22"/>
        <v>3.9660872994206325E-3</v>
      </c>
      <c r="L46" s="15"/>
      <c r="M46" s="46" t="s">
        <v>117</v>
      </c>
      <c r="N46" s="47"/>
      <c r="O46" s="47"/>
      <c r="P46" s="47"/>
      <c r="Q46" s="15"/>
      <c r="R46" s="15"/>
      <c r="S46" s="15"/>
      <c r="T46" s="15"/>
      <c r="U46" s="15"/>
      <c r="V46" s="15"/>
      <c r="W46" s="15"/>
      <c r="X46" s="15"/>
      <c r="Y46" s="15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6.5" thickBot="1">
      <c r="A47" s="15"/>
      <c r="B47" s="167" t="s">
        <v>101</v>
      </c>
      <c r="C47" s="81">
        <f t="shared" si="21"/>
        <v>0.13781637807293276</v>
      </c>
      <c r="D47" s="81">
        <f t="shared" si="17"/>
        <v>0.15550043303083932</v>
      </c>
      <c r="E47" s="81">
        <f t="shared" si="18"/>
        <v>0.18051675479133253</v>
      </c>
      <c r="F47" s="201">
        <f t="shared" si="19"/>
        <v>0.19602257833388673</v>
      </c>
      <c r="G47" s="15"/>
      <c r="H47" s="173" t="s">
        <v>17</v>
      </c>
      <c r="I47" s="84">
        <f t="shared" ref="I47:K47" si="23">IFERROR(IF(ABS(I17/I$6) &gt;  0, I17/I$6, NA()), NA())</f>
        <v>0.24239490931018615</v>
      </c>
      <c r="J47" s="84">
        <f t="shared" si="23"/>
        <v>0.12256329138106264</v>
      </c>
      <c r="K47" s="87">
        <f t="shared" si="23"/>
        <v>0.15005915005915005</v>
      </c>
      <c r="L47" s="15"/>
      <c r="M47" s="32" t="s">
        <v>92</v>
      </c>
      <c r="N47" s="27"/>
      <c r="O47" s="27"/>
      <c r="P47" s="27"/>
      <c r="Q47" s="15"/>
      <c r="R47" s="15"/>
      <c r="S47" s="15"/>
      <c r="T47" s="15"/>
      <c r="U47" s="15"/>
      <c r="V47" s="15"/>
      <c r="W47" s="15"/>
      <c r="X47" s="15"/>
      <c r="Y47" s="1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6.5" thickTop="1">
      <c r="A48" s="15"/>
      <c r="B48" s="168" t="s">
        <v>102</v>
      </c>
      <c r="C48" s="79">
        <f t="shared" si="21"/>
        <v>0.47891872740156621</v>
      </c>
      <c r="D48" s="79">
        <f t="shared" si="17"/>
        <v>0.53489663742139548</v>
      </c>
      <c r="E48" s="79">
        <f t="shared" si="18"/>
        <v>0.50387161560829818</v>
      </c>
      <c r="F48" s="199">
        <f t="shared" si="19"/>
        <v>0.43999790294112506</v>
      </c>
      <c r="G48" s="15"/>
      <c r="H48" s="34" t="s">
        <v>109</v>
      </c>
      <c r="I48" s="35"/>
      <c r="J48" s="35"/>
      <c r="K48" s="35"/>
      <c r="L48" s="15"/>
      <c r="M48" s="32" t="s">
        <v>139</v>
      </c>
      <c r="N48" s="27"/>
      <c r="O48" s="27"/>
      <c r="P48" s="27"/>
      <c r="Q48" s="15"/>
      <c r="R48" s="15"/>
      <c r="S48" s="15"/>
      <c r="T48" s="15"/>
      <c r="U48" s="15"/>
      <c r="V48" s="15"/>
      <c r="W48" s="15"/>
      <c r="X48" s="15"/>
      <c r="Y48" s="1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>
      <c r="A49" s="15"/>
      <c r="B49" s="169" t="s">
        <v>103</v>
      </c>
      <c r="C49" s="79">
        <f t="shared" si="21"/>
        <v>0.38326489452550105</v>
      </c>
      <c r="D49" s="79">
        <f t="shared" si="17"/>
        <v>0.30960292954776519</v>
      </c>
      <c r="E49" s="79">
        <f t="shared" si="18"/>
        <v>0.31561162960036931</v>
      </c>
      <c r="F49" s="199">
        <f t="shared" si="19"/>
        <v>0.36397951872498818</v>
      </c>
      <c r="G49" s="15"/>
      <c r="H49" s="17" t="s">
        <v>110</v>
      </c>
      <c r="I49" s="36"/>
      <c r="J49" s="36"/>
      <c r="K49" s="36"/>
      <c r="L49" s="15"/>
      <c r="M49" s="33" t="s">
        <v>115</v>
      </c>
      <c r="N49" s="36"/>
      <c r="O49" s="36"/>
      <c r="P49" s="36"/>
      <c r="Q49" s="15"/>
      <c r="R49" s="15"/>
      <c r="S49" s="15"/>
      <c r="T49" s="15"/>
      <c r="U49" s="15"/>
      <c r="V49" s="15"/>
      <c r="W49" s="15"/>
      <c r="X49" s="15"/>
      <c r="Y49" s="1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6.5" thickBot="1">
      <c r="A50" s="15"/>
      <c r="B50" s="173" t="s">
        <v>132</v>
      </c>
      <c r="C50" s="80">
        <f t="shared" si="21"/>
        <v>0.86218362192706721</v>
      </c>
      <c r="D50" s="80">
        <f t="shared" si="17"/>
        <v>0.84449956696916062</v>
      </c>
      <c r="E50" s="80">
        <f t="shared" si="18"/>
        <v>0.81948324520866744</v>
      </c>
      <c r="F50" s="200">
        <f t="shared" si="19"/>
        <v>0.8039774216661133</v>
      </c>
      <c r="G50" s="15"/>
      <c r="H50" s="15"/>
      <c r="I50" s="15"/>
      <c r="J50" s="15"/>
      <c r="K50" s="15"/>
      <c r="L50" s="15"/>
      <c r="M50" s="48" t="s">
        <v>116</v>
      </c>
      <c r="N50" s="49"/>
      <c r="O50" s="49"/>
      <c r="P50" s="49"/>
      <c r="Q50" s="15"/>
      <c r="R50" s="15"/>
      <c r="S50" s="15"/>
      <c r="T50" s="15"/>
      <c r="U50" s="15"/>
      <c r="V50" s="15"/>
      <c r="W50" s="15"/>
      <c r="X50" s="15"/>
      <c r="Y50" s="1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7.25" thickTop="1" thickBot="1">
      <c r="A51" s="15"/>
      <c r="B51" s="175" t="s">
        <v>133</v>
      </c>
      <c r="C51" s="82">
        <f t="shared" si="21"/>
        <v>1</v>
      </c>
      <c r="D51" s="82">
        <f t="shared" si="17"/>
        <v>1</v>
      </c>
      <c r="E51" s="82">
        <f t="shared" si="18"/>
        <v>1</v>
      </c>
      <c r="F51" s="202">
        <f t="shared" si="19"/>
        <v>1</v>
      </c>
      <c r="G51" s="15"/>
      <c r="H51" s="15"/>
      <c r="I51" s="15"/>
      <c r="J51" s="15"/>
      <c r="K51" s="15"/>
      <c r="L51" s="15"/>
      <c r="M51" s="48"/>
      <c r="N51" s="49"/>
      <c r="O51" s="49"/>
      <c r="P51" s="49"/>
      <c r="Q51" s="15"/>
      <c r="R51" s="15"/>
      <c r="S51" s="15"/>
      <c r="T51" s="15"/>
      <c r="U51" s="15"/>
      <c r="V51" s="15"/>
      <c r="W51" s="15"/>
      <c r="X51" s="15"/>
      <c r="Y51" s="15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6.5" thickTop="1">
      <c r="A52" s="15"/>
      <c r="B52" s="176" t="s">
        <v>104</v>
      </c>
      <c r="C52" s="78" t="e">
        <f>IFERROR(IF(ABS(C22/C$28) &gt;  0, C22/C$28, NA()), NA())</f>
        <v>#N/A</v>
      </c>
      <c r="D52" s="78" t="e">
        <f t="shared" ref="D52:F52" si="24">IFERROR(IF(ABS(D22/D$28) &gt;  0, D22/D$28, NA()), NA())</f>
        <v>#N/A</v>
      </c>
      <c r="E52" s="78" t="e">
        <f t="shared" si="24"/>
        <v>#N/A</v>
      </c>
      <c r="F52" s="198" t="e">
        <f t="shared" si="24"/>
        <v>#N/A</v>
      </c>
      <c r="G52" s="15"/>
      <c r="H52" s="15"/>
      <c r="I52" s="15"/>
      <c r="J52" s="15"/>
      <c r="K52" s="15"/>
      <c r="L52" s="15"/>
      <c r="M52" s="32"/>
      <c r="N52" s="36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>
      <c r="A53" s="15"/>
      <c r="B53" s="168" t="s">
        <v>105</v>
      </c>
      <c r="C53" s="78">
        <f t="shared" ref="C53:F58" si="25">IFERROR(IF(ABS(C23/C$28) &gt;  0, C23/C$28, NA()), NA())</f>
        <v>1.7643142476697737E-2</v>
      </c>
      <c r="D53" s="78">
        <f t="shared" si="25"/>
        <v>9.488218049992168E-3</v>
      </c>
      <c r="E53" s="78">
        <f t="shared" si="25"/>
        <v>7.8413452750868209E-3</v>
      </c>
      <c r="F53" s="198">
        <f t="shared" si="25"/>
        <v>6.8274051086178083E-3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>
      <c r="A54" s="15"/>
      <c r="B54" s="168" t="s">
        <v>134</v>
      </c>
      <c r="C54" s="78">
        <f t="shared" si="25"/>
        <v>1.0919191078561918</v>
      </c>
      <c r="D54" s="78">
        <f t="shared" si="25"/>
        <v>1.0458522612840424</v>
      </c>
      <c r="E54" s="78">
        <f t="shared" si="25"/>
        <v>1.0414732224456225</v>
      </c>
      <c r="F54" s="198">
        <f t="shared" si="25"/>
        <v>1.0593777353385851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>
      <c r="A55" s="15"/>
      <c r="B55" s="168" t="s">
        <v>106</v>
      </c>
      <c r="C55" s="78">
        <f t="shared" si="25"/>
        <v>-0.30222203728362185</v>
      </c>
      <c r="D55" s="78">
        <f t="shared" si="25"/>
        <v>-0.15975563362946718</v>
      </c>
      <c r="E55" s="78">
        <f t="shared" si="25"/>
        <v>-0.12769146408334855</v>
      </c>
      <c r="F55" s="198">
        <f t="shared" si="25"/>
        <v>-0.10853823506007798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>
      <c r="A56" s="15"/>
      <c r="B56" s="169" t="s">
        <v>128</v>
      </c>
      <c r="C56" s="78">
        <f t="shared" si="25"/>
        <v>0.12991011984021306</v>
      </c>
      <c r="D56" s="78">
        <f t="shared" si="25"/>
        <v>6.8811958735202627E-2</v>
      </c>
      <c r="E56" s="78">
        <f t="shared" si="25"/>
        <v>4.9771522573569732E-2</v>
      </c>
      <c r="F56" s="198">
        <f t="shared" si="25"/>
        <v>1.941593061192011E-2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>
      <c r="A57" s="15"/>
      <c r="B57" s="168" t="s">
        <v>129</v>
      </c>
      <c r="C57" s="78">
        <f t="shared" si="25"/>
        <v>6.2749667110519311E-2</v>
      </c>
      <c r="D57" s="78">
        <f t="shared" si="25"/>
        <v>3.5603195560230047E-2</v>
      </c>
      <c r="E57" s="78">
        <f t="shared" si="25"/>
        <v>2.8605373789069639E-2</v>
      </c>
      <c r="F57" s="198">
        <f t="shared" si="25"/>
        <v>2.2917164000954882E-2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>
      <c r="A58" s="15"/>
      <c r="B58" s="177" t="s">
        <v>66</v>
      </c>
      <c r="C58" s="83">
        <f t="shared" si="25"/>
        <v>1</v>
      </c>
      <c r="D58" s="83">
        <f t="shared" si="25"/>
        <v>1</v>
      </c>
      <c r="E58" s="83">
        <f t="shared" si="25"/>
        <v>1</v>
      </c>
      <c r="F58" s="84">
        <f t="shared" si="25"/>
        <v>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6.5" thickBot="1">
      <c r="A59" s="15"/>
      <c r="B59" s="203" t="s">
        <v>135</v>
      </c>
      <c r="C59" s="204"/>
      <c r="D59" s="204"/>
      <c r="E59" s="204"/>
      <c r="F59" s="20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>
      <c r="A60" s="15"/>
      <c r="B60" s="14"/>
      <c r="C60" s="16"/>
      <c r="D60" s="16"/>
      <c r="E60" s="16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8.75" thickBot="1">
      <c r="A61" s="15"/>
      <c r="B61" s="75" t="s">
        <v>146</v>
      </c>
      <c r="C61" s="73"/>
      <c r="D61" s="73"/>
      <c r="E61" s="73"/>
      <c r="F61" s="73"/>
      <c r="G61" s="74"/>
      <c r="H61" s="74"/>
      <c r="I61" s="74"/>
      <c r="J61" s="74"/>
      <c r="K61" s="74"/>
      <c r="L61" s="74"/>
      <c r="M61" s="74"/>
      <c r="N61" s="74"/>
      <c r="O61" s="74"/>
      <c r="P61" s="76"/>
      <c r="Q61" s="15"/>
      <c r="R61" s="15"/>
      <c r="S61" s="15"/>
      <c r="T61" s="15"/>
      <c r="U61" s="15"/>
      <c r="V61" s="15"/>
      <c r="W61" s="15"/>
      <c r="X61" s="15"/>
      <c r="Y61" s="15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8.75" thickBot="1">
      <c r="A62" s="15"/>
      <c r="B62" s="23" t="s">
        <v>118</v>
      </c>
      <c r="C62" s="326"/>
      <c r="D62" s="326"/>
      <c r="E62" s="326"/>
      <c r="F62" s="327"/>
      <c r="G62" s="15"/>
      <c r="H62" s="23" t="s">
        <v>119</v>
      </c>
      <c r="I62" s="324"/>
      <c r="J62" s="324"/>
      <c r="K62" s="325"/>
      <c r="L62" s="15"/>
      <c r="M62" s="23" t="s">
        <v>120</v>
      </c>
      <c r="N62" s="324"/>
      <c r="O62" s="324"/>
      <c r="P62" s="325"/>
      <c r="Q62" s="15"/>
      <c r="R62" s="15"/>
      <c r="S62" s="15"/>
      <c r="T62" s="15"/>
      <c r="U62" s="15"/>
      <c r="V62" s="15"/>
      <c r="W62" s="15"/>
      <c r="X62" s="15"/>
      <c r="Y62" s="1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6.5" thickBot="1">
      <c r="A63" s="15"/>
      <c r="B63" s="25"/>
      <c r="C63" s="18"/>
      <c r="D63" s="18"/>
      <c r="E63" s="18"/>
      <c r="F63" s="19"/>
      <c r="G63" s="15"/>
      <c r="H63" s="22"/>
      <c r="I63" s="24"/>
      <c r="J63" s="24"/>
      <c r="K63" s="51"/>
      <c r="L63" s="15"/>
      <c r="M63" s="22"/>
      <c r="N63" s="20"/>
      <c r="O63" s="20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>
      <c r="A64" s="15"/>
      <c r="B64" s="178" t="s">
        <v>97</v>
      </c>
      <c r="C64" s="179" t="s">
        <v>216</v>
      </c>
      <c r="D64" s="179" t="s">
        <v>217</v>
      </c>
      <c r="E64" s="179" t="s">
        <v>218</v>
      </c>
      <c r="F64" s="180" t="s">
        <v>219</v>
      </c>
      <c r="G64" s="15"/>
      <c r="H64" s="178" t="s">
        <v>97</v>
      </c>
      <c r="I64" s="179" t="s">
        <v>217</v>
      </c>
      <c r="J64" s="179" t="s">
        <v>218</v>
      </c>
      <c r="K64" s="179" t="s">
        <v>219</v>
      </c>
      <c r="L64" s="15"/>
      <c r="M64" s="178" t="s">
        <v>97</v>
      </c>
      <c r="N64" s="179" t="s">
        <v>217</v>
      </c>
      <c r="O64" s="179" t="s">
        <v>218</v>
      </c>
      <c r="P64" s="180" t="s">
        <v>219</v>
      </c>
      <c r="Q64" s="15"/>
      <c r="R64" s="15"/>
      <c r="S64" s="15"/>
      <c r="T64" s="15"/>
      <c r="U64" s="15"/>
      <c r="V64" s="15"/>
      <c r="W64" s="15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>
      <c r="A65" s="15"/>
      <c r="B65" s="167" t="s">
        <v>122</v>
      </c>
      <c r="C65" s="89">
        <f>IFERROR(IF(ABS((C5/$C5)*100) &gt;  0,(C5/$C5)*100, NA()), NA())</f>
        <v>100</v>
      </c>
      <c r="D65" s="89">
        <f t="shared" ref="D65:F65" si="26">IFERROR(IF(ABS((D5/$C5)*100) &gt;  0,(D5/$C5)*100, NA()), NA())</f>
        <v>72.1875</v>
      </c>
      <c r="E65" s="89">
        <f>IFERROR(IF(ABS((E5/$C5)*100) &gt;  0,(E5/$C5)*100, NA()), NA())</f>
        <v>95.3125</v>
      </c>
      <c r="F65" s="93">
        <f t="shared" si="26"/>
        <v>90.069444444444443</v>
      </c>
      <c r="G65" s="15"/>
      <c r="H65" s="181"/>
      <c r="I65" s="29"/>
      <c r="J65" s="29"/>
      <c r="K65" s="29"/>
      <c r="L65" s="15"/>
      <c r="M65" s="191" t="s">
        <v>111</v>
      </c>
      <c r="N65" s="37">
        <f>IFERROR(IF(ABS((N5/$N5)*100) &gt;  0,ABS((N5/$N5)*100), NA()), NA())</f>
        <v>100</v>
      </c>
      <c r="O65" s="37">
        <f t="shared" ref="O65:P65" si="27">IFERROR(IF(ABS((O5/$N5)*100) &gt;  0,ABS((O5/$N5)*100), NA()), NA())</f>
        <v>141.20815856567154</v>
      </c>
      <c r="P65" s="212">
        <f t="shared" si="27"/>
        <v>146.99399621679413</v>
      </c>
      <c r="Q65" s="15"/>
      <c r="R65" s="15"/>
      <c r="S65" s="15"/>
      <c r="T65" s="15"/>
      <c r="U65" s="15"/>
      <c r="V65" s="15"/>
      <c r="W65" s="15"/>
      <c r="X65" s="15"/>
      <c r="Y65" s="1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>
      <c r="A66" s="15"/>
      <c r="B66" s="168" t="s">
        <v>121</v>
      </c>
      <c r="C66" s="88">
        <f>IFERROR(IF(ABS((C6/$C6)*100) &gt;  0,(C6/$C6)*100, NA()), NA())</f>
        <v>100</v>
      </c>
      <c r="D66" s="88">
        <f t="shared" ref="D66:F66" si="28">IFERROR(IF(ABS((D6/$C6)*100) &gt;  0,(D6/$C6)*100, NA()), NA())</f>
        <v>86.023294509151413</v>
      </c>
      <c r="E66" s="88">
        <f t="shared" si="28"/>
        <v>111.14808652246255</v>
      </c>
      <c r="F66" s="205">
        <f t="shared" si="28"/>
        <v>118.30282861896839</v>
      </c>
      <c r="G66" s="15"/>
      <c r="H66" s="167" t="s">
        <v>107</v>
      </c>
      <c r="I66" s="93">
        <f t="shared" ref="I66:K72" si="29">IFERROR(IF(ABS((I6/$I6)*100) &gt;  0,(I6/$I6)*100, NA()), NA())</f>
        <v>100</v>
      </c>
      <c r="J66" s="93">
        <f t="shared" si="29"/>
        <v>103.83150578415348</v>
      </c>
      <c r="K66" s="93">
        <f t="shared" si="29"/>
        <v>104.62890965929827</v>
      </c>
      <c r="L66" s="15"/>
      <c r="M66" s="184" t="s">
        <v>112</v>
      </c>
      <c r="N66" s="38">
        <f t="shared" ref="N66:P66" si="30">IFERROR(IF(ABS((N6/$N6)*100) &gt;  0,ABS((N6/$N6)*100), NA()), NA())</f>
        <v>100</v>
      </c>
      <c r="O66" s="38">
        <f t="shared" si="30"/>
        <v>97.171651495448629</v>
      </c>
      <c r="P66" s="213">
        <f t="shared" si="30"/>
        <v>95.258994364976161</v>
      </c>
      <c r="Q66" s="15"/>
      <c r="R66" s="15"/>
      <c r="S66" s="15"/>
      <c r="T66" s="15"/>
      <c r="U66" s="15"/>
      <c r="V66" s="15"/>
      <c r="W66" s="15"/>
      <c r="X66" s="15"/>
      <c r="Y66" s="1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>
      <c r="A67" s="15"/>
      <c r="B67" s="168" t="s">
        <v>123</v>
      </c>
      <c r="C67" s="88">
        <f t="shared" ref="C67:F89" si="31">IFERROR(IF(ABS((C7/$C7)*100) &gt;  0,(C7/$C7)*100, NA()), NA())</f>
        <v>100</v>
      </c>
      <c r="D67" s="88">
        <f t="shared" si="31"/>
        <v>134.14606292468451</v>
      </c>
      <c r="E67" s="88">
        <f t="shared" si="31"/>
        <v>143.33352366813224</v>
      </c>
      <c r="F67" s="205">
        <f t="shared" si="31"/>
        <v>145.20070804545196</v>
      </c>
      <c r="G67" s="15"/>
      <c r="H67" s="182" t="s">
        <v>136</v>
      </c>
      <c r="I67" s="94">
        <f t="shared" si="29"/>
        <v>100</v>
      </c>
      <c r="J67" s="94">
        <f t="shared" si="29"/>
        <v>104.6077304336355</v>
      </c>
      <c r="K67" s="94">
        <f t="shared" si="29"/>
        <v>103.13401051580198</v>
      </c>
      <c r="L67" s="15"/>
      <c r="M67" s="194" t="s">
        <v>113</v>
      </c>
      <c r="N67" s="38">
        <f t="shared" ref="N67:P67" si="32">IFERROR(IF(ABS((N7/$N7)*100) &gt;  0,ABS((N7/$N7)*100), NA()), NA())</f>
        <v>100</v>
      </c>
      <c r="O67" s="38">
        <f t="shared" si="32"/>
        <v>249.99187124044872</v>
      </c>
      <c r="P67" s="213">
        <f t="shared" si="32"/>
        <v>295.30157697935294</v>
      </c>
      <c r="Q67" s="15"/>
      <c r="R67" s="15"/>
      <c r="S67" s="15"/>
      <c r="T67" s="15"/>
      <c r="U67" s="15"/>
      <c r="V67" s="15"/>
      <c r="W67" s="15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>
      <c r="A68" s="15"/>
      <c r="B68" s="169" t="s">
        <v>124</v>
      </c>
      <c r="C68" s="88">
        <f t="shared" si="31"/>
        <v>100</v>
      </c>
      <c r="D68" s="88">
        <f t="shared" si="31"/>
        <v>68.895833333333329</v>
      </c>
      <c r="E68" s="88">
        <f t="shared" si="31"/>
        <v>113.60416666666666</v>
      </c>
      <c r="F68" s="205">
        <f t="shared" si="31"/>
        <v>167.25</v>
      </c>
      <c r="G68" s="15"/>
      <c r="H68" s="167" t="s">
        <v>108</v>
      </c>
      <c r="I68" s="95">
        <f t="shared" si="29"/>
        <v>100</v>
      </c>
      <c r="J68" s="95">
        <f t="shared" si="29"/>
        <v>103.26705129434981</v>
      </c>
      <c r="K68" s="95">
        <f t="shared" si="29"/>
        <v>105.71596935769003</v>
      </c>
      <c r="L68" s="15"/>
      <c r="M68" s="194" t="s">
        <v>143</v>
      </c>
      <c r="N68" s="38">
        <f t="shared" ref="N68:P68" si="33">IFERROR(IF(ABS((N8/$N8)*100) &gt;  0,ABS((N8/$N8)*100), NA()), NA())</f>
        <v>100</v>
      </c>
      <c r="O68" s="38">
        <f t="shared" si="33"/>
        <v>90.903367957192316</v>
      </c>
      <c r="P68" s="213">
        <f t="shared" si="33"/>
        <v>123.26093799181619</v>
      </c>
      <c r="Q68" s="15"/>
      <c r="R68" s="15"/>
      <c r="S68" s="15"/>
      <c r="T68" s="15"/>
      <c r="U68" s="15"/>
      <c r="V68" s="15"/>
      <c r="W68" s="15"/>
      <c r="X68" s="15"/>
      <c r="Y68" s="1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>
      <c r="A69" s="15"/>
      <c r="B69" s="167" t="s">
        <v>125</v>
      </c>
      <c r="C69" s="90">
        <f t="shared" si="31"/>
        <v>100</v>
      </c>
      <c r="D69" s="90">
        <f t="shared" si="31"/>
        <v>113.32828187156659</v>
      </c>
      <c r="E69" s="90">
        <f t="shared" si="31"/>
        <v>131.22182231483234</v>
      </c>
      <c r="F69" s="206">
        <f t="shared" si="31"/>
        <v>141.97007008903202</v>
      </c>
      <c r="G69" s="15"/>
      <c r="H69" s="183" t="s">
        <v>168</v>
      </c>
      <c r="I69" s="96">
        <f t="shared" si="29"/>
        <v>100</v>
      </c>
      <c r="J69" s="96">
        <f t="shared" si="29"/>
        <v>102.64834257402381</v>
      </c>
      <c r="K69" s="96">
        <f t="shared" si="29"/>
        <v>98.395658841571304</v>
      </c>
      <c r="L69" s="15"/>
      <c r="M69" s="184" t="s">
        <v>114</v>
      </c>
      <c r="N69" s="38">
        <f t="shared" ref="N69:P69" si="34">IFERROR(IF(ABS((N9/$N9)*100) &gt;  0,ABS((N9/$N9)*100), NA()), NA())</f>
        <v>100</v>
      </c>
      <c r="O69" s="38">
        <f t="shared" si="34"/>
        <v>355.70934256055364</v>
      </c>
      <c r="P69" s="213">
        <f t="shared" si="34"/>
        <v>0.34602076124567477</v>
      </c>
      <c r="Q69" s="15"/>
      <c r="R69" s="15"/>
      <c r="S69" s="15"/>
      <c r="T69" s="15"/>
      <c r="U69" s="15"/>
      <c r="V69" s="15"/>
      <c r="W69" s="15"/>
      <c r="X69" s="15"/>
      <c r="Y69" s="1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>
      <c r="A70" s="15"/>
      <c r="B70" s="170" t="s">
        <v>98</v>
      </c>
      <c r="C70" s="88">
        <f t="shared" si="31"/>
        <v>100</v>
      </c>
      <c r="D70" s="88">
        <f t="shared" si="31"/>
        <v>104.50378166629302</v>
      </c>
      <c r="E70" s="88">
        <f t="shared" si="31"/>
        <v>105.35096931009664</v>
      </c>
      <c r="F70" s="205">
        <f t="shared" si="31"/>
        <v>108.45299760474802</v>
      </c>
      <c r="G70" s="15"/>
      <c r="H70" s="184" t="s">
        <v>140</v>
      </c>
      <c r="I70" s="96">
        <f t="shared" si="29"/>
        <v>100</v>
      </c>
      <c r="J70" s="96">
        <f t="shared" si="29"/>
        <v>124.76916620033576</v>
      </c>
      <c r="K70" s="96">
        <f t="shared" si="29"/>
        <v>105.2112479015109</v>
      </c>
      <c r="L70" s="15"/>
      <c r="M70" s="194" t="s">
        <v>144</v>
      </c>
      <c r="N70" s="38">
        <f t="shared" ref="N70:P70" si="35">IFERROR(IF(ABS((N10/$N10)*100) &gt;  0,ABS((N10/$N10)*100), NA()), NA())</f>
        <v>100</v>
      </c>
      <c r="O70" s="38">
        <f t="shared" si="35"/>
        <v>135.59556786703601</v>
      </c>
      <c r="P70" s="213">
        <f t="shared" si="35"/>
        <v>135.63019390581715</v>
      </c>
      <c r="Q70" s="15"/>
      <c r="R70" s="15"/>
      <c r="S70" s="15"/>
      <c r="T70" s="15"/>
      <c r="U70" s="15"/>
      <c r="V70" s="15"/>
      <c r="W70" s="15"/>
      <c r="X70" s="15"/>
      <c r="Y70" s="1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6.5" thickBot="1">
      <c r="A71" s="15"/>
      <c r="B71" s="171" t="s">
        <v>99</v>
      </c>
      <c r="C71" s="88">
        <f t="shared" si="31"/>
        <v>100</v>
      </c>
      <c r="D71" s="88">
        <f t="shared" si="31"/>
        <v>101.19914928277298</v>
      </c>
      <c r="E71" s="88">
        <f t="shared" si="31"/>
        <v>107.24580297751029</v>
      </c>
      <c r="F71" s="205">
        <f t="shared" si="31"/>
        <v>133.84202905108828</v>
      </c>
      <c r="G71" s="15"/>
      <c r="H71" s="167" t="s">
        <v>11</v>
      </c>
      <c r="I71" s="97">
        <f t="shared" si="29"/>
        <v>100</v>
      </c>
      <c r="J71" s="97">
        <f t="shared" si="29"/>
        <v>81.232452142206014</v>
      </c>
      <c r="K71" s="97">
        <f t="shared" si="29"/>
        <v>110.76754785779399</v>
      </c>
      <c r="L71" s="15"/>
      <c r="M71" s="39"/>
      <c r="N71" s="40"/>
      <c r="O71" s="40"/>
      <c r="P71" s="41"/>
      <c r="Q71" s="15"/>
      <c r="R71" s="15"/>
      <c r="S71" s="15"/>
      <c r="T71" s="15"/>
      <c r="U71" s="15"/>
      <c r="V71" s="15"/>
      <c r="W71" s="15"/>
      <c r="X71" s="15"/>
      <c r="Y71" s="15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6.5" thickBot="1">
      <c r="A72" s="15"/>
      <c r="B72" s="172" t="s">
        <v>100</v>
      </c>
      <c r="C72" s="88">
        <f t="shared" si="31"/>
        <v>100</v>
      </c>
      <c r="D72" s="88">
        <f t="shared" si="31"/>
        <v>109.18785662844164</v>
      </c>
      <c r="E72" s="88">
        <f t="shared" si="31"/>
        <v>95.255110520192787</v>
      </c>
      <c r="F72" s="205">
        <f t="shared" si="31"/>
        <v>93.864605839011688</v>
      </c>
      <c r="G72" s="15"/>
      <c r="H72" s="185" t="s">
        <v>14</v>
      </c>
      <c r="I72" s="98">
        <f t="shared" si="29"/>
        <v>100</v>
      </c>
      <c r="J72" s="98">
        <f t="shared" si="29"/>
        <v>102.1128248468202</v>
      </c>
      <c r="K72" s="98">
        <f t="shared" si="29"/>
        <v>99.936615254595395</v>
      </c>
      <c r="L72" s="15"/>
      <c r="M72" s="42" t="s">
        <v>130</v>
      </c>
      <c r="N72" s="324"/>
      <c r="O72" s="324"/>
      <c r="P72" s="325"/>
      <c r="Q72" s="15"/>
      <c r="R72" s="15"/>
      <c r="S72" s="15"/>
      <c r="T72" s="15"/>
      <c r="U72" s="15"/>
      <c r="V72" s="15"/>
      <c r="W72" s="15"/>
      <c r="X72" s="15"/>
      <c r="Y72" s="15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6.5" thickBot="1">
      <c r="A73" s="15"/>
      <c r="B73" s="172" t="s">
        <v>43</v>
      </c>
      <c r="C73" s="88">
        <f t="shared" si="31"/>
        <v>100</v>
      </c>
      <c r="D73" s="88">
        <f t="shared" si="31"/>
        <v>114.6555763823805</v>
      </c>
      <c r="E73" s="88">
        <f t="shared" si="31"/>
        <v>137.26569821930647</v>
      </c>
      <c r="F73" s="205">
        <f t="shared" si="31"/>
        <v>118.80271790065603</v>
      </c>
      <c r="G73" s="15"/>
      <c r="H73" s="186" t="s">
        <v>137</v>
      </c>
      <c r="I73" s="99">
        <f t="shared" ref="I73:K74" si="36">IFERROR(IF(ABS((I13/$I13)*100) &gt;  0,ABS((I13/$I13)*100), NA()), NA())</f>
        <v>100</v>
      </c>
      <c r="J73" s="99">
        <f t="shared" si="36"/>
        <v>103.81315538608197</v>
      </c>
      <c r="K73" s="99">
        <f t="shared" si="36"/>
        <v>138.94184938036224</v>
      </c>
      <c r="L73" s="15"/>
      <c r="M73" s="22"/>
      <c r="N73" s="43"/>
      <c r="O73" s="43"/>
      <c r="P73" s="44"/>
      <c r="Q73" s="15"/>
      <c r="R73" s="15"/>
      <c r="S73" s="15"/>
      <c r="T73" s="15"/>
      <c r="U73" s="15"/>
      <c r="V73" s="15"/>
      <c r="W73" s="15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6.5" thickBot="1">
      <c r="A74" s="15"/>
      <c r="B74" s="173" t="s">
        <v>44</v>
      </c>
      <c r="C74" s="92">
        <f t="shared" si="31"/>
        <v>100</v>
      </c>
      <c r="D74" s="92">
        <f t="shared" si="31"/>
        <v>105.30878859857482</v>
      </c>
      <c r="E74" s="92">
        <f t="shared" si="31"/>
        <v>108.45646654107625</v>
      </c>
      <c r="F74" s="207">
        <f t="shared" si="31"/>
        <v>119.47211073798019</v>
      </c>
      <c r="G74" s="15"/>
      <c r="H74" s="187" t="s">
        <v>141</v>
      </c>
      <c r="I74" s="99">
        <f t="shared" si="36"/>
        <v>100</v>
      </c>
      <c r="J74" s="99">
        <f t="shared" si="36"/>
        <v>35.9983929288871</v>
      </c>
      <c r="K74" s="99">
        <f t="shared" si="36"/>
        <v>29.580152671755727</v>
      </c>
      <c r="L74" s="15"/>
      <c r="M74" s="26" t="s">
        <v>97</v>
      </c>
      <c r="N74" s="50" t="str">
        <f>Date2</f>
        <v>2017</v>
      </c>
      <c r="O74" s="50" t="str">
        <f>Date3</f>
        <v>2018</v>
      </c>
      <c r="P74" s="50" t="str">
        <f>Date4</f>
        <v>2019</v>
      </c>
      <c r="Q74" s="15"/>
      <c r="R74" s="15"/>
      <c r="S74" s="15"/>
      <c r="T74" s="15"/>
      <c r="U74" s="15"/>
      <c r="V74" s="15"/>
      <c r="W74" s="15"/>
      <c r="X74" s="15"/>
      <c r="Y74" s="1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7.25" thickTop="1" thickBot="1">
      <c r="A75" s="15"/>
      <c r="B75" s="174" t="s">
        <v>126</v>
      </c>
      <c r="C75" s="91">
        <f t="shared" si="31"/>
        <v>100</v>
      </c>
      <c r="D75" s="91">
        <f t="shared" si="31"/>
        <v>108.36523248098811</v>
      </c>
      <c r="E75" s="91">
        <f t="shared" si="31"/>
        <v>114.84203542081354</v>
      </c>
      <c r="F75" s="208">
        <f t="shared" si="31"/>
        <v>111.29485020160261</v>
      </c>
      <c r="G75" s="15"/>
      <c r="H75" s="188" t="s">
        <v>138</v>
      </c>
      <c r="I75" s="101">
        <f t="shared" ref="I75:K79" si="37">IFERROR(IF(ABS((I15/$I15)*100) &gt;  0,(I15/$I15)*100, NA()), NA())</f>
        <v>100</v>
      </c>
      <c r="J75" s="101">
        <f t="shared" si="37"/>
        <v>52.500818330605568</v>
      </c>
      <c r="K75" s="102">
        <f t="shared" si="37"/>
        <v>64.772504091653033</v>
      </c>
      <c r="L75" s="15"/>
      <c r="M75" s="32"/>
      <c r="N75" s="45"/>
      <c r="O75" s="45"/>
      <c r="P75" s="45"/>
      <c r="Q75" s="15"/>
      <c r="R75" s="15"/>
      <c r="S75" s="15"/>
      <c r="T75" s="15"/>
      <c r="U75" s="15"/>
      <c r="V75" s="15"/>
      <c r="W75" s="15"/>
      <c r="X75" s="15"/>
      <c r="Y75" s="15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6.5" thickTop="1">
      <c r="A76" s="15"/>
      <c r="B76" s="174" t="s">
        <v>127</v>
      </c>
      <c r="C76" s="88">
        <f t="shared" si="31"/>
        <v>100</v>
      </c>
      <c r="D76" s="88">
        <f t="shared" si="31"/>
        <v>109.8446077975249</v>
      </c>
      <c r="E76" s="88">
        <f t="shared" si="31"/>
        <v>143.56564622685403</v>
      </c>
      <c r="F76" s="205">
        <f t="shared" si="31"/>
        <v>214.59011817251326</v>
      </c>
      <c r="G76" s="15"/>
      <c r="H76" s="189"/>
      <c r="I76" s="98">
        <f t="shared" si="37"/>
        <v>100</v>
      </c>
      <c r="J76" s="98">
        <f t="shared" si="37"/>
        <v>113.80846325167037</v>
      </c>
      <c r="K76" s="100">
        <f t="shared" si="37"/>
        <v>116.48106904231625</v>
      </c>
      <c r="L76" s="15"/>
      <c r="M76" s="46" t="s">
        <v>117</v>
      </c>
      <c r="N76" s="47" t="e">
        <f t="shared" ref="N76:P76" si="38">IFERROR(IF(ABS((N16/$N16)*100) &gt;  0,ABS((N16/$N16)*100), NA()), NA())</f>
        <v>#N/A</v>
      </c>
      <c r="O76" s="47" t="e">
        <f t="shared" si="38"/>
        <v>#N/A</v>
      </c>
      <c r="P76" s="47" t="e">
        <f t="shared" si="38"/>
        <v>#N/A</v>
      </c>
      <c r="Q76" s="15"/>
      <c r="R76" s="15"/>
      <c r="S76" s="15"/>
      <c r="T76" s="15"/>
      <c r="U76" s="15"/>
      <c r="V76" s="15"/>
      <c r="W76" s="15"/>
      <c r="X76" s="15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6.5" thickBot="1">
      <c r="A77" s="15"/>
      <c r="B77" s="167" t="s">
        <v>101</v>
      </c>
      <c r="C77" s="90">
        <f t="shared" si="31"/>
        <v>100</v>
      </c>
      <c r="D77" s="90">
        <f t="shared" si="31"/>
        <v>108.8892551087673</v>
      </c>
      <c r="E77" s="90">
        <f t="shared" si="31"/>
        <v>125.01647989452866</v>
      </c>
      <c r="F77" s="206">
        <f t="shared" si="31"/>
        <v>147.88398154251811</v>
      </c>
      <c r="G77" s="15"/>
      <c r="H77" s="173" t="s">
        <v>17</v>
      </c>
      <c r="I77" s="101">
        <f t="shared" si="37"/>
        <v>100</v>
      </c>
      <c r="J77" s="101">
        <f t="shared" si="37"/>
        <v>52.500818330605568</v>
      </c>
      <c r="K77" s="102">
        <f t="shared" si="37"/>
        <v>64.772504091653033</v>
      </c>
      <c r="L77" s="15"/>
      <c r="M77" s="104" t="s">
        <v>92</v>
      </c>
      <c r="N77" s="107">
        <f t="shared" ref="N77:P77" si="39">IFERROR(IF(ABS((N17/$N17)*100) &gt;  0,ABS((N17/$N17)*100), NA()), NA())</f>
        <v>100</v>
      </c>
      <c r="O77" s="107">
        <f t="shared" si="39"/>
        <v>103.16722972972974</v>
      </c>
      <c r="P77" s="107">
        <f t="shared" si="39"/>
        <v>105.74324324324324</v>
      </c>
      <c r="Q77" s="15"/>
      <c r="R77" s="15"/>
      <c r="S77" s="15"/>
      <c r="T77" s="15"/>
      <c r="U77" s="15"/>
      <c r="V77" s="15"/>
      <c r="W77" s="15"/>
      <c r="X77" s="15"/>
      <c r="Y77" s="15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6.5" thickTop="1">
      <c r="A78" s="15"/>
      <c r="B78" s="168" t="s">
        <v>102</v>
      </c>
      <c r="C78" s="88">
        <f t="shared" si="31"/>
        <v>100</v>
      </c>
      <c r="D78" s="88">
        <f t="shared" si="31"/>
        <v>107.78598730947616</v>
      </c>
      <c r="E78" s="88">
        <f t="shared" si="31"/>
        <v>100.41732664346077</v>
      </c>
      <c r="F78" s="205">
        <f t="shared" si="31"/>
        <v>95.52227480959472</v>
      </c>
      <c r="G78" s="15"/>
      <c r="H78" s="190" t="s">
        <v>109</v>
      </c>
      <c r="I78" s="103">
        <f t="shared" si="37"/>
        <v>100</v>
      </c>
      <c r="J78" s="103">
        <f t="shared" si="37"/>
        <v>51.017639077340569</v>
      </c>
      <c r="K78" s="103">
        <f t="shared" si="37"/>
        <v>63.229308005427413</v>
      </c>
      <c r="L78" s="15"/>
      <c r="M78" s="104" t="s">
        <v>139</v>
      </c>
      <c r="N78" s="107">
        <f t="shared" ref="N78:P78" si="40">IFERROR(IF(ABS((N18/$N18)*100) &gt;  0,ABS((N18/$N18)*100), NA()), NA())</f>
        <v>100</v>
      </c>
      <c r="O78" s="107">
        <f t="shared" si="40"/>
        <v>101.05160185864514</v>
      </c>
      <c r="P78" s="107">
        <f t="shared" si="40"/>
        <v>101.24724871606749</v>
      </c>
      <c r="Q78" s="15"/>
      <c r="R78" s="15"/>
      <c r="S78" s="15"/>
      <c r="T78" s="15"/>
      <c r="U78" s="15"/>
      <c r="V78" s="15"/>
      <c r="W78" s="15"/>
      <c r="X78" s="15"/>
      <c r="Y78" s="1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>
      <c r="A79" s="15"/>
      <c r="B79" s="169" t="s">
        <v>103</v>
      </c>
      <c r="C79" s="88">
        <f t="shared" si="31"/>
        <v>100</v>
      </c>
      <c r="D79" s="88">
        <f t="shared" si="31"/>
        <v>77.957925925925935</v>
      </c>
      <c r="E79" s="88">
        <f t="shared" si="31"/>
        <v>78.596740740740742</v>
      </c>
      <c r="F79" s="205">
        <f t="shared" si="31"/>
        <v>98.740148148148137</v>
      </c>
      <c r="G79" s="15"/>
      <c r="H79" s="192" t="s">
        <v>110</v>
      </c>
      <c r="I79" s="211">
        <f t="shared" si="37"/>
        <v>100</v>
      </c>
      <c r="J79" s="211">
        <f t="shared" si="37"/>
        <v>51.086956521739125</v>
      </c>
      <c r="K79" s="211">
        <f t="shared" si="37"/>
        <v>63.179347826086961</v>
      </c>
      <c r="L79" s="15"/>
      <c r="M79" s="105" t="s">
        <v>115</v>
      </c>
      <c r="N79" s="106">
        <f t="shared" ref="N79:P79" si="41">IFERROR(IF(ABS((N19/$N19)*100) &gt;  0,ABS((N19/$N19)*100), NA()), NA())</f>
        <v>100</v>
      </c>
      <c r="O79" s="106">
        <f t="shared" si="41"/>
        <v>102.0936114145365</v>
      </c>
      <c r="P79" s="106">
        <f t="shared" si="41"/>
        <v>104.44060908734821</v>
      </c>
      <c r="Q79" s="15"/>
      <c r="R79" s="15"/>
      <c r="S79" s="15"/>
      <c r="T79" s="15"/>
      <c r="U79" s="15"/>
      <c r="V79" s="15"/>
      <c r="W79" s="15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6.5" thickBot="1">
      <c r="A80" s="15"/>
      <c r="B80" s="173" t="s">
        <v>132</v>
      </c>
      <c r="C80" s="92">
        <f t="shared" si="31"/>
        <v>100</v>
      </c>
      <c r="D80" s="92">
        <f t="shared" si="31"/>
        <v>94.526574222372091</v>
      </c>
      <c r="E80" s="92">
        <f t="shared" si="31"/>
        <v>90.71746185619152</v>
      </c>
      <c r="F80" s="207">
        <f t="shared" si="31"/>
        <v>96.952710107055552</v>
      </c>
      <c r="G80" s="15"/>
      <c r="H80" s="15"/>
      <c r="I80" s="15"/>
      <c r="J80" s="15"/>
      <c r="K80" s="15"/>
      <c r="L80" s="15"/>
      <c r="M80" s="48" t="s">
        <v>116</v>
      </c>
      <c r="N80" s="49" t="e">
        <f t="shared" ref="N80:P80" si="42">IFERROR(IF(ABS((N20/$N20)*100) &gt;  0,ABS((N20/$N20)*100), NA()), NA())</f>
        <v>#N/A</v>
      </c>
      <c r="O80" s="49" t="e">
        <f t="shared" si="42"/>
        <v>#N/A</v>
      </c>
      <c r="P80" s="49" t="e">
        <f t="shared" si="42"/>
        <v>#N/A</v>
      </c>
      <c r="Q80" s="15"/>
      <c r="R80" s="15"/>
      <c r="S80" s="15"/>
      <c r="T80" s="15"/>
      <c r="U80" s="15"/>
      <c r="V80" s="15"/>
      <c r="W80" s="15"/>
      <c r="X80" s="15"/>
      <c r="Y80" s="15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7.25" thickTop="1" thickBot="1">
      <c r="A81" s="15"/>
      <c r="B81" s="175" t="s">
        <v>133</v>
      </c>
      <c r="C81" s="92">
        <f t="shared" si="31"/>
        <v>100</v>
      </c>
      <c r="D81" s="92">
        <f t="shared" si="31"/>
        <v>96.505986881552403</v>
      </c>
      <c r="E81" s="92">
        <f t="shared" si="31"/>
        <v>95.444428293693335</v>
      </c>
      <c r="F81" s="207">
        <f t="shared" si="31"/>
        <v>103.97187346694041</v>
      </c>
      <c r="G81" s="15"/>
      <c r="H81" s="15"/>
      <c r="I81" s="15"/>
      <c r="J81" s="15"/>
      <c r="K81" s="15"/>
      <c r="L81" s="15"/>
      <c r="M81" s="48"/>
      <c r="N81" s="49"/>
      <c r="O81" s="49"/>
      <c r="P81" s="49"/>
      <c r="Q81" s="15"/>
      <c r="R81" s="15"/>
      <c r="S81" s="15"/>
      <c r="T81" s="15"/>
      <c r="U81" s="15"/>
      <c r="V81" s="15"/>
      <c r="W81" s="15"/>
      <c r="X81" s="15"/>
      <c r="Y81" s="1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6.5" thickTop="1">
      <c r="A82" s="15"/>
      <c r="B82" s="176" t="s">
        <v>104</v>
      </c>
      <c r="C82" s="91" t="e">
        <f t="shared" si="31"/>
        <v>#N/A</v>
      </c>
      <c r="D82" s="91" t="e">
        <f t="shared" si="31"/>
        <v>#N/A</v>
      </c>
      <c r="E82" s="91" t="e">
        <f t="shared" si="31"/>
        <v>#N/A</v>
      </c>
      <c r="F82" s="208" t="e">
        <f t="shared" si="31"/>
        <v>#N/A</v>
      </c>
      <c r="G82" s="15"/>
      <c r="H82" s="15"/>
      <c r="I82" s="15"/>
      <c r="J82" s="15"/>
      <c r="K82" s="15"/>
      <c r="L82" s="15"/>
      <c r="M82" s="32"/>
      <c r="N82" s="36"/>
      <c r="O82" s="36"/>
      <c r="P82" s="36"/>
      <c r="Q82" s="15"/>
      <c r="R82" s="15"/>
      <c r="S82" s="15"/>
      <c r="T82" s="15"/>
      <c r="U82" s="15"/>
      <c r="V82" s="15"/>
      <c r="W82" s="15"/>
      <c r="X82" s="15"/>
      <c r="Y82" s="1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>
      <c r="A83" s="15"/>
      <c r="B83" s="168" t="s">
        <v>105</v>
      </c>
      <c r="C83" s="88">
        <f t="shared" si="31"/>
        <v>100</v>
      </c>
      <c r="D83" s="88">
        <f t="shared" si="31"/>
        <v>100</v>
      </c>
      <c r="E83" s="88">
        <f t="shared" si="31"/>
        <v>101.17924528301887</v>
      </c>
      <c r="F83" s="205">
        <f t="shared" si="31"/>
        <v>101.17924528301887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>
      <c r="A84" s="15"/>
      <c r="B84" s="168" t="s">
        <v>134</v>
      </c>
      <c r="C84" s="88">
        <f t="shared" si="31"/>
        <v>100</v>
      </c>
      <c r="D84" s="88">
        <f t="shared" si="31"/>
        <v>178.10296863686597</v>
      </c>
      <c r="E84" s="88">
        <f t="shared" si="31"/>
        <v>217.13730421858921</v>
      </c>
      <c r="F84" s="205">
        <f t="shared" si="31"/>
        <v>253.67173507107199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>
      <c r="A85" s="15"/>
      <c r="B85" s="168" t="s">
        <v>106</v>
      </c>
      <c r="C85" s="88">
        <f t="shared" si="31"/>
        <v>100</v>
      </c>
      <c r="D85" s="88">
        <f t="shared" si="31"/>
        <v>98.292716508329889</v>
      </c>
      <c r="E85" s="88">
        <f t="shared" si="31"/>
        <v>96.186148974253058</v>
      </c>
      <c r="F85" s="205">
        <f t="shared" si="31"/>
        <v>93.900592041855973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>
      <c r="A86" s="15"/>
      <c r="B86" s="169" t="s">
        <v>128</v>
      </c>
      <c r="C86" s="88">
        <f t="shared" si="31"/>
        <v>100</v>
      </c>
      <c r="D86" s="88">
        <f t="shared" si="31"/>
        <v>98.494554772581679</v>
      </c>
      <c r="E86" s="88">
        <f t="shared" si="31"/>
        <v>87.219730941704029</v>
      </c>
      <c r="F86" s="205">
        <f t="shared" si="31"/>
        <v>39.077514413837285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>
      <c r="A87" s="15"/>
      <c r="B87" s="168" t="s">
        <v>129</v>
      </c>
      <c r="C87" s="88">
        <f t="shared" si="31"/>
        <v>100</v>
      </c>
      <c r="D87" s="88">
        <f t="shared" si="31"/>
        <v>105.50397877984085</v>
      </c>
      <c r="E87" s="88">
        <f t="shared" si="31"/>
        <v>103.77984084880636</v>
      </c>
      <c r="F87" s="205">
        <f t="shared" si="31"/>
        <v>95.490716180371351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>
      <c r="A88" s="15"/>
      <c r="B88" s="177" t="s">
        <v>66</v>
      </c>
      <c r="C88" s="90">
        <f t="shared" si="31"/>
        <v>100</v>
      </c>
      <c r="D88" s="90">
        <f t="shared" si="31"/>
        <v>185.94790279627165</v>
      </c>
      <c r="E88" s="90">
        <f t="shared" si="31"/>
        <v>227.654793608522</v>
      </c>
      <c r="F88" s="206">
        <f t="shared" si="31"/>
        <v>261.46388149134486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>
      <c r="A89" s="15"/>
      <c r="B89" s="177" t="s">
        <v>135</v>
      </c>
      <c r="C89" s="209">
        <f t="shared" si="31"/>
        <v>100</v>
      </c>
      <c r="D89" s="209">
        <f t="shared" si="31"/>
        <v>105.30878859857482</v>
      </c>
      <c r="E89" s="209">
        <f t="shared" si="31"/>
        <v>108.45646654107625</v>
      </c>
      <c r="F89" s="210">
        <f t="shared" si="31"/>
        <v>119.47211073798019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15.75" thickBot="1">
      <c r="A90" s="15"/>
      <c r="B90" s="14"/>
      <c r="C90" s="16"/>
      <c r="D90" s="16"/>
      <c r="E90" s="16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8.75" thickBot="1">
      <c r="A91" s="15"/>
      <c r="B91" s="23"/>
      <c r="C91" s="321"/>
      <c r="D91" s="322"/>
      <c r="E91" s="322"/>
      <c r="F91" s="32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8">
      <c r="A92" s="15"/>
      <c r="B92" s="334" t="s">
        <v>240</v>
      </c>
      <c r="C92" s="179" t="s">
        <v>216</v>
      </c>
      <c r="D92" s="179" t="s">
        <v>217</v>
      </c>
      <c r="E92" s="179" t="s">
        <v>218</v>
      </c>
      <c r="F92" s="180" t="s">
        <v>219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15.75">
      <c r="A93" s="15"/>
      <c r="B93" s="294" t="s">
        <v>241</v>
      </c>
      <c r="C93" s="295">
        <f>C9-C17</f>
        <v>-3945</v>
      </c>
      <c r="D93" s="295">
        <f t="shared" ref="D93:F93" si="43">D9-D17</f>
        <v>-3124</v>
      </c>
      <c r="E93" s="295">
        <f t="shared" si="43"/>
        <v>-3294</v>
      </c>
      <c r="F93" s="331">
        <f t="shared" si="43"/>
        <v>-7395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ht="15.75">
      <c r="A94" s="15"/>
      <c r="B94" s="294" t="s">
        <v>242</v>
      </c>
      <c r="C94" s="293">
        <f>C9/C17</f>
        <v>0.86997363216875412</v>
      </c>
      <c r="D94" s="293">
        <f t="shared" ref="D94:F94" si="44">D9/D17</f>
        <v>0.90543935587371738</v>
      </c>
      <c r="E94" s="293">
        <f t="shared" si="44"/>
        <v>0.91315581334036378</v>
      </c>
      <c r="F94" s="332">
        <f t="shared" si="44"/>
        <v>0.83518320406525814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>
      <c r="A95" s="15"/>
      <c r="B95" s="294" t="s">
        <v>243</v>
      </c>
      <c r="C95" s="293">
        <f>(CashY1+C7)/C17</f>
        <v>0.67214897824653919</v>
      </c>
      <c r="D95" s="293">
        <f>(CashY2+D7)/D17</f>
        <v>0.77404122650361717</v>
      </c>
      <c r="E95" s="293">
        <f>(CashY3+E7)/E17</f>
        <v>0.73416820458739784</v>
      </c>
      <c r="F95" s="332">
        <f>(CashY4+F7)/F17</f>
        <v>0.62456539181599358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 ht="15.75">
      <c r="A96" s="15"/>
      <c r="B96" s="294" t="s">
        <v>244</v>
      </c>
      <c r="C96" s="293"/>
      <c r="D96" s="293">
        <f>I$6/D7</f>
        <v>5.3647469458987782</v>
      </c>
      <c r="E96" s="293">
        <f t="shared" ref="E96:F96" si="45">J$6/E7</f>
        <v>5.2132499402438048</v>
      </c>
      <c r="F96" s="332">
        <f t="shared" si="45"/>
        <v>5.1857328247276735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 ht="15.75">
      <c r="A97" s="15"/>
      <c r="B97" s="294" t="s">
        <v>245</v>
      </c>
      <c r="C97" s="293"/>
      <c r="D97" s="293">
        <f>365/D96</f>
        <v>68.036759921925835</v>
      </c>
      <c r="E97" s="293">
        <f t="shared" ref="E97:F97" si="46">365/E96</f>
        <v>70.013907674438158</v>
      </c>
      <c r="F97" s="332">
        <f t="shared" si="46"/>
        <v>70.385423302089961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 ht="15.75">
      <c r="A98" s="15"/>
      <c r="B98" s="294" t="s">
        <v>246</v>
      </c>
      <c r="C98" s="293"/>
      <c r="D98" s="293">
        <f>I$6/D6</f>
        <v>121.88974854932302</v>
      </c>
      <c r="E98" s="293">
        <f t="shared" ref="E98:F98" si="47">J$6/E6</f>
        <v>97.95134730538922</v>
      </c>
      <c r="F98" s="332">
        <f t="shared" si="47"/>
        <v>92.734177215189874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 ht="15.75">
      <c r="A99" s="15"/>
      <c r="B99" s="294" t="s">
        <v>247</v>
      </c>
      <c r="C99" s="293"/>
      <c r="D99" s="296">
        <f>D98*365</f>
        <v>44489.758220502903</v>
      </c>
      <c r="E99" s="296">
        <f t="shared" ref="E99:F99" si="48">E98*365</f>
        <v>35752.241766467065</v>
      </c>
      <c r="F99" s="333">
        <f t="shared" si="48"/>
        <v>33847.974683544307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 ht="15.75">
      <c r="A100" s="15"/>
      <c r="B100" s="294" t="s">
        <v>248</v>
      </c>
      <c r="C100" s="293"/>
      <c r="D100" s="293"/>
      <c r="E100" s="293"/>
      <c r="F100" s="332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 ht="15.75">
      <c r="A101" s="15"/>
      <c r="B101" s="294" t="s">
        <v>249</v>
      </c>
      <c r="C101" s="293"/>
      <c r="D101" s="293"/>
      <c r="E101" s="293"/>
      <c r="F101" s="332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 ht="15.75">
      <c r="A102" s="15"/>
      <c r="B102" s="294" t="s">
        <v>250</v>
      </c>
      <c r="C102" s="293"/>
      <c r="D102" s="293"/>
      <c r="E102" s="293"/>
      <c r="F102" s="332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 ht="15.75">
      <c r="A103" s="15"/>
      <c r="B103" s="294" t="s">
        <v>251</v>
      </c>
      <c r="C103" s="293"/>
      <c r="D103" s="293">
        <f>I$6/D10</f>
        <v>1.423019600758739</v>
      </c>
      <c r="E103" s="293">
        <f t="shared" ref="E103:F103" si="49">J$6/E10</f>
        <v>1.4656609098850883</v>
      </c>
      <c r="F103" s="332">
        <f t="shared" si="49"/>
        <v>1.4346733394984497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 ht="15.75">
      <c r="A104" s="15"/>
      <c r="B104" s="294" t="s">
        <v>252</v>
      </c>
      <c r="C104" s="293">
        <f>TotalLiabilitiesY1/TotalAssetsY1</f>
        <v>0.90158080104840688</v>
      </c>
      <c r="D104" s="293">
        <f>TotalLiabilitiesY2/TotalAssetsY2</f>
        <v>0.82621731876815629</v>
      </c>
      <c r="E104" s="293">
        <f>TotalLiabilitiesY3/TotalAssetsY3</f>
        <v>0.79341386328536523</v>
      </c>
      <c r="F104" s="332">
        <f>TotalLiabilitiesY4/TotalAssetsY4</f>
        <v>0.78461026919003041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 ht="15.75">
      <c r="A105" s="15"/>
      <c r="B105" s="294" t="s">
        <v>253</v>
      </c>
      <c r="C105" s="293"/>
      <c r="D105" s="293">
        <f>I17/AVERAGE(C28:D28)</f>
        <v>0.88912818871054589</v>
      </c>
      <c r="E105" s="293">
        <f>J17/AVERAGE(D28:E28)</f>
        <v>0.32272603800919547</v>
      </c>
      <c r="F105" s="332">
        <f t="shared" ref="F105" si="50">K17/AVERAGE(E28:F28)</f>
        <v>0.33668807690671659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5" ht="15.75">
      <c r="A106" s="15"/>
      <c r="B106" s="294" t="s">
        <v>254</v>
      </c>
      <c r="C106" s="293"/>
      <c r="D106" s="293">
        <f>I17/AVERAGE(TotalAssetsY1, TotalAssetsY2)</f>
        <v>0.12187751210297552</v>
      </c>
      <c r="E106" s="293">
        <f>J17/AVERAGE(TotalAssetsY2, TotalAssetsY3)</f>
        <v>6.1455403738131548E-2</v>
      </c>
      <c r="F106" s="332">
        <f>K17/AVERAGE(TotalAssetsY3, TotalAssetsY4)</f>
        <v>7.1108747367740172E-2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5" ht="15.75">
      <c r="A107" s="15"/>
      <c r="B107" s="294" t="s">
        <v>255</v>
      </c>
      <c r="C107" s="293"/>
      <c r="D107" s="293">
        <f>I8/I$6</f>
        <v>0.57897868829046129</v>
      </c>
      <c r="E107" s="293">
        <f t="shared" ref="E107:F107" si="51">J8/J$6</f>
        <v>0.57583121279506044</v>
      </c>
      <c r="F107" s="332">
        <f t="shared" si="51"/>
        <v>0.58499408499408501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 ht="15.75">
      <c r="A108" s="15"/>
      <c r="B108" s="294" t="s">
        <v>265</v>
      </c>
      <c r="C108" s="293"/>
      <c r="D108" s="293">
        <f>I10/I6</f>
        <v>0.22685941888696701</v>
      </c>
      <c r="E108" s="293">
        <f t="shared" ref="E108:F108" si="52">J10/J6</f>
        <v>0.27260570214651964</v>
      </c>
      <c r="F108" s="332">
        <f t="shared" si="52"/>
        <v>0.22812206145539479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 ht="15.75">
      <c r="A109" s="15"/>
      <c r="B109" s="294" t="s">
        <v>256</v>
      </c>
      <c r="C109" s="293"/>
      <c r="D109" s="293">
        <f>I11/I6</f>
        <v>0.21760001269498708</v>
      </c>
      <c r="E109" s="293">
        <f t="shared" ref="E109:F109" si="53">J11/J6</f>
        <v>0.17023910501822517</v>
      </c>
      <c r="F109" s="332">
        <f t="shared" si="53"/>
        <v>0.23036673036673036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 ht="15.75">
      <c r="A110" s="15"/>
      <c r="B110" s="294" t="s">
        <v>261</v>
      </c>
      <c r="C110" s="293"/>
      <c r="D110" s="293">
        <f>I17/I6</f>
        <v>0.24239490931018615</v>
      </c>
      <c r="E110" s="293">
        <f t="shared" ref="E110:F110" si="54">J17/J6</f>
        <v>0.12256329138106264</v>
      </c>
      <c r="F110" s="332">
        <f t="shared" si="54"/>
        <v>0.15005915005915005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 ht="15.75">
      <c r="A111" s="15"/>
      <c r="B111" s="294" t="s">
        <v>257</v>
      </c>
      <c r="C111" s="293"/>
      <c r="D111" s="295">
        <f>I18</f>
        <v>7.37</v>
      </c>
      <c r="E111" s="295">
        <f t="shared" ref="E111:F111" si="55">J18</f>
        <v>3.76</v>
      </c>
      <c r="F111" s="331">
        <f t="shared" si="55"/>
        <v>4.66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 ht="15.75">
      <c r="A112" s="15"/>
      <c r="B112" s="294" t="s">
        <v>264</v>
      </c>
      <c r="C112" s="293"/>
      <c r="D112" s="295">
        <f>N19</f>
        <v>2.3164587918806556</v>
      </c>
      <c r="E112" s="295">
        <f t="shared" ref="E112:F112" si="56">O19</f>
        <v>2.3649564375605032</v>
      </c>
      <c r="F112" s="331">
        <f t="shared" si="56"/>
        <v>2.4193236714975845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15.75">
      <c r="A113" s="15"/>
      <c r="B113" s="294" t="s">
        <v>258</v>
      </c>
      <c r="C113" s="293"/>
      <c r="D113" s="293">
        <f>I6/(AVERAGE(TotalAssetsY1+TotalAssetsY2))</f>
        <v>0.25140278822236362</v>
      </c>
      <c r="E113" s="293">
        <f>J6/(AVERAGE(TotalAssetsY2+TotalAssetsY3))</f>
        <v>0.25070885028315693</v>
      </c>
      <c r="F113" s="332">
        <f>K6/(AVERAGE(TotalAssetsY3+TotalAssetsY4))</f>
        <v>0.23693572614435923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 ht="15.75">
      <c r="A114" s="15"/>
      <c r="B114" s="294" t="s">
        <v>259</v>
      </c>
      <c r="C114" s="293"/>
      <c r="D114" s="293">
        <f>D113*D110</f>
        <v>6.0938756051487762E-2</v>
      </c>
      <c r="E114" s="293">
        <f>E113*E110</f>
        <v>3.0727701869065774E-2</v>
      </c>
      <c r="F114" s="332">
        <f>F113*F110</f>
        <v>3.5554373683870086E-2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 ht="15.75">
      <c r="A115" s="15"/>
      <c r="B115" s="294" t="s">
        <v>263</v>
      </c>
      <c r="C115" s="293"/>
      <c r="D115" s="293">
        <f>(AVERAGE(TotalAssetsY1+TotalAssetsY2))/(AVERAGE(C28:D28))</f>
        <v>14.590520816659149</v>
      </c>
      <c r="E115" s="293">
        <f>(AVERAGE(TotalAssetsY2+TotalAssetsY3))/(AVERAGE(D28:E28))</f>
        <v>10.502771713431995</v>
      </c>
      <c r="F115" s="332">
        <f>(AVERAGE(TotalAssetsY3+TotalAssetsY4))/(AVERAGE(E28:F28))</f>
        <v>9.4696669360670374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 ht="15.75">
      <c r="A116" s="15"/>
      <c r="B116" s="294" t="s">
        <v>260</v>
      </c>
      <c r="C116" s="293"/>
      <c r="D116" s="293">
        <f>D115*D114</f>
        <v>0.88912818871054589</v>
      </c>
      <c r="E116" s="293">
        <f t="shared" ref="E116:F116" si="57">E115*E114</f>
        <v>0.32272603800919547</v>
      </c>
      <c r="F116" s="332">
        <f t="shared" si="57"/>
        <v>0.33668807690671654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 ht="15.75">
      <c r="A117" s="15"/>
      <c r="B117" s="335" t="s">
        <v>262</v>
      </c>
      <c r="C117" s="336"/>
      <c r="D117" s="336"/>
      <c r="E117" s="336"/>
      <c r="F117" s="336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>
      <c r="A118" s="15"/>
      <c r="B118" s="286"/>
      <c r="C118" s="286"/>
      <c r="D118" s="286"/>
      <c r="E118" s="286"/>
      <c r="F118" s="286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>
      <c r="A119" s="15"/>
      <c r="B119" s="286"/>
      <c r="C119" s="286"/>
      <c r="D119" s="286"/>
      <c r="E119" s="286"/>
      <c r="F119" s="286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>
      <c r="A120" s="15"/>
      <c r="B120" s="286"/>
      <c r="C120" s="286"/>
      <c r="D120" s="286"/>
      <c r="E120" s="286"/>
      <c r="F120" s="286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>
      <c r="A121" s="15"/>
      <c r="B121" s="286"/>
      <c r="C121" s="286"/>
      <c r="D121" s="286"/>
      <c r="E121" s="286"/>
      <c r="F121" s="286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>
      <c r="A122" s="15"/>
      <c r="B122" s="286"/>
      <c r="C122" s="286"/>
      <c r="D122" s="286"/>
      <c r="E122" s="286"/>
      <c r="F122" s="286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>
      <c r="A123" s="286"/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>
      <c r="A124" s="286"/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>
      <c r="A125" s="286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>
      <c r="A127" s="286"/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>
      <c r="A128" s="286"/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>
      <c r="A129" s="286"/>
      <c r="B129" s="286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>
      <c r="A130" s="286"/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>
      <c r="A131" s="28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>
      <c r="A133" s="286"/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>
      <c r="A134" s="286"/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>
      <c r="A135" s="286"/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>
      <c r="A136" s="286"/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>
      <c r="A137" s="286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>
      <c r="A139" s="286"/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>
      <c r="A140" s="286"/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>
      <c r="A141" s="286"/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>
      <c r="A142" s="286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>
      <c r="A144" s="286"/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>
      <c r="A145" s="286"/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>
      <c r="A146" s="286"/>
      <c r="B146" s="286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>
      <c r="A147" s="286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>
      <c r="A149" s="286"/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>
      <c r="A150" s="286"/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>
      <c r="A151" s="286"/>
      <c r="B151" s="286"/>
      <c r="C151" s="286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>
      <c r="A152" s="286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>
      <c r="A154" s="286"/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>
      <c r="A155" s="286"/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>
      <c r="A156" s="286"/>
      <c r="B156" s="286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>
      <c r="A157" s="286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>
      <c r="A159" s="286"/>
      <c r="B159" s="286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>
      <c r="A160" s="286"/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>
      <c r="A161" s="286"/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>
      <c r="A162" s="286"/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>
      <c r="A164" s="286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>
      <c r="A166" s="286"/>
      <c r="B166" s="286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>
      <c r="A167" s="286"/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>
      <c r="A168" s="286"/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>
      <c r="A169" s="286"/>
      <c r="B169" s="286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>
      <c r="A170" s="286"/>
      <c r="B170" s="286"/>
      <c r="C170" s="286"/>
      <c r="D170" s="286"/>
      <c r="E170" s="286"/>
      <c r="F170" s="286"/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>
      <c r="A171" s="286"/>
      <c r="B171" s="286"/>
      <c r="C171" s="286"/>
      <c r="D171" s="286"/>
      <c r="E171" s="286"/>
      <c r="F171" s="286"/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>
      <c r="A172" s="286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>
      <c r="A174" s="286"/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>
      <c r="A175" s="286"/>
      <c r="B175" s="286"/>
      <c r="C175" s="286"/>
      <c r="D175" s="286"/>
      <c r="E175" s="286"/>
      <c r="F175" s="286"/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>
      <c r="A176" s="286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>
      <c r="A178" s="286"/>
      <c r="B178" s="286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>
      <c r="A179" s="286"/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>
      <c r="A180" s="286"/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>
      <c r="A181" s="286"/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>
      <c r="A182" s="286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>
      <c r="A184" s="286"/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>
      <c r="A185" s="286"/>
      <c r="B185" s="286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>
      <c r="A186" s="286"/>
      <c r="B186" s="13"/>
      <c r="C186" s="13"/>
      <c r="D186" s="13"/>
      <c r="E186" s="13"/>
      <c r="F186" s="13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>
      <c r="A187" s="286"/>
      <c r="B187" s="13"/>
      <c r="C187" s="13"/>
      <c r="D187" s="13"/>
      <c r="E187" s="13"/>
      <c r="F187" s="13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>
      <c r="A188" s="286"/>
      <c r="B188" s="13"/>
      <c r="C188" s="13"/>
      <c r="D188" s="13"/>
      <c r="E188" s="13"/>
      <c r="F188" s="13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>
      <c r="A189" s="286"/>
      <c r="B189" s="13"/>
      <c r="C189" s="13"/>
      <c r="D189" s="13"/>
      <c r="E189" s="13"/>
      <c r="F189" s="13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>
      <c r="A190" s="286"/>
      <c r="B190" s="13"/>
      <c r="C190" s="13"/>
      <c r="D190" s="13"/>
      <c r="E190" s="13"/>
      <c r="F190" s="13"/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2:6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2:6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2:6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2:6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2:6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2:6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2:6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2:6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2:6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2:6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2:6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2:6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2:6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2:6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2:6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2:6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2:6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2:6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2:6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2:6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2:6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2:6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2:6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2:6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2:6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2:6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2:6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2:6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2:6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2:6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2:6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2:6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2:6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2:6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2:6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2:6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2:6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2:6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2:6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2:6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2:6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2:6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2:6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2:6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2:6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2:6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2:6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2:6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2:6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2:6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2:6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2:6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2:6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2:6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2:6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2:6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2:6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2:6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2:6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2:6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2:6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2:6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2:6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2:6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2:6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2:6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2:6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2:6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2:6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2:6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2:6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2:6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2: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2:6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2:6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2:6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2:6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2:6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2:6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2:6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2:6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2:6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2:6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2:6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2:6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2:6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2:6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2:6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2:6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2:6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2:6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2:6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2:6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2:6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2:6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2:6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2:6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2:6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2:6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2:6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2:6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2:6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2:6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2:6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2:6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2:6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2:6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2:6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2:6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2:6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2:6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2:6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2:6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2:6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2:6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2:6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2:6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2:6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2:6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2:6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2:6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2:6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2:6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2:6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2:6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2:6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2:6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2:6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2:6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2:6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2:6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2:6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2:6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2:6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2:6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2:6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2:6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2:6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2:6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2:6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2:6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2:6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2:6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2:6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2:6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2:6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2:6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2:6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2:6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2:6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2:6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2:6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2:6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2:6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2:6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2:6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2:6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2:6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2:6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2:6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2:6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2:6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2:6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2:6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2:6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2:6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2:6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2:6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2:6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2:6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2:6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2:6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2: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2:6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2:6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2:6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2:6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2:6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2:6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2:6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2:6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2:6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2:6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2:6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2:6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2:6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2:6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2:6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2:6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2:6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2:6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2:6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2:6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2:6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2:6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2:6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2:6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2:6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2:6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2:6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2:6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2:6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2:6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2:6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2:6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2:6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2:6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2:6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2:6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2:6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2:6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2:6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2:6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2:6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2:6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2:6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2:6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2:6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2:6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2:6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2:6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2:6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2:6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2:6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2:6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2:6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2:6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2:6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2:6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2:6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2:6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2:6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2:6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2:6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2:6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2:6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2:6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2:6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2:6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2:6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2:6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2:6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2:6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2:6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2:6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2:6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2:6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2:6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2:6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2:6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2:6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2:6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2:6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2:6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2:6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2:6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2:6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2:65"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2:65"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2:65"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2:65"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2:65">
      <c r="H454" s="13"/>
      <c r="I454" s="13"/>
      <c r="J454" s="13"/>
      <c r="K454" s="13"/>
      <c r="M454" s="13"/>
      <c r="N454" s="13"/>
      <c r="O454" s="13"/>
      <c r="P454" s="13"/>
    </row>
  </sheetData>
  <mergeCells count="13">
    <mergeCell ref="C2:F2"/>
    <mergeCell ref="I2:K2"/>
    <mergeCell ref="N2:P2"/>
    <mergeCell ref="N12:P12"/>
    <mergeCell ref="N42:P42"/>
    <mergeCell ref="N32:P32"/>
    <mergeCell ref="I32:K32"/>
    <mergeCell ref="C32:F32"/>
    <mergeCell ref="C91:F91"/>
    <mergeCell ref="N72:P72"/>
    <mergeCell ref="N62:P62"/>
    <mergeCell ref="I62:K62"/>
    <mergeCell ref="C62:F62"/>
  </mergeCells>
  <conditionalFormatting sqref="C40:F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F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">
    <cfRule type="iconSet" priority="21">
      <iconSet iconSet="4Arrows" reverse="1">
        <cfvo type="percent" val="0"/>
        <cfvo type="percent" val="25"/>
        <cfvo type="percent" val="50"/>
        <cfvo type="percent" val="75"/>
      </iconSet>
    </cfRule>
    <cfRule type="iconSet" priority="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F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8">
    <cfRule type="iconSet" priority="22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I42:K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9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F69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F74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F77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8:F88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8:F89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F89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6:F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F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K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P65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F17A062-E842-44D6-9D7F-52F06A97A7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I39:K39</xm:sqref>
        </x14:conditionalFormatting>
        <x14:conditionalFormatting xmlns:xm="http://schemas.microsoft.com/office/excel/2006/main">
          <x14:cfRule type="iconSet" priority="18" id="{C3A3FC20-CDDE-42C6-877D-41D468849D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I18:K19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6E0C-C571-4BD0-9D2D-1D49B44FDFB7}">
  <sheetPr>
    <outlinePr summaryBelow="0"/>
  </sheetPr>
  <dimension ref="B1:G6"/>
  <sheetViews>
    <sheetView showGridLines="0" workbookViewId="0">
      <selection activeCell="H14" sqref="H14"/>
    </sheetView>
  </sheetViews>
  <sheetFormatPr defaultRowHeight="15" outlineLevelRow="1" outlineLevelCol="1"/>
  <cols>
    <col min="2" max="2" width="22" bestFit="1" customWidth="1"/>
    <col min="3" max="3" width="18.85546875" style="278" bestFit="1" customWidth="1" outlineLevel="1"/>
    <col min="4" max="4" width="18.85546875" bestFit="1" customWidth="1" outlineLevel="1"/>
    <col min="5" max="5" width="18.85546875" style="278" bestFit="1" customWidth="1" outlineLevel="1"/>
    <col min="6" max="7" width="18.85546875" bestFit="1" customWidth="1" outlineLevel="1"/>
  </cols>
  <sheetData>
    <row r="1" spans="2:7" ht="15.75" thickBot="1"/>
    <row r="2" spans="2:7" ht="15.75">
      <c r="B2" s="289"/>
      <c r="C2" s="270"/>
      <c r="D2" s="270"/>
      <c r="E2" s="270"/>
      <c r="F2" s="270"/>
      <c r="G2" s="270"/>
    </row>
    <row r="3" spans="2:7" ht="15.75">
      <c r="B3" s="288"/>
      <c r="C3" s="271" t="s">
        <v>233</v>
      </c>
      <c r="D3" s="271" t="s">
        <v>232</v>
      </c>
      <c r="E3" s="271" t="s">
        <v>229</v>
      </c>
      <c r="F3" s="271" t="s">
        <v>230</v>
      </c>
      <c r="G3" s="271" t="s">
        <v>231</v>
      </c>
    </row>
    <row r="4" spans="2:7" outlineLevel="1">
      <c r="B4" s="290" t="str">
        <f>Dashboard!A8</f>
        <v>Scenario:</v>
      </c>
      <c r="C4" s="272">
        <v>5</v>
      </c>
      <c r="D4" s="272">
        <v>4</v>
      </c>
      <c r="E4" s="272">
        <v>3</v>
      </c>
      <c r="F4" s="272">
        <v>2</v>
      </c>
      <c r="G4" s="272">
        <v>1</v>
      </c>
    </row>
    <row r="5" spans="2:7" ht="15.75" thickBot="1">
      <c r="B5" s="291" t="str">
        <f>Dashboard!A7</f>
        <v>Expected Performance:</v>
      </c>
      <c r="C5" s="287">
        <v>0.153576932607428</v>
      </c>
      <c r="D5" s="287">
        <v>0.18014193044558499</v>
      </c>
      <c r="E5" s="287">
        <v>0.20118917885187901</v>
      </c>
      <c r="F5" s="287">
        <v>0.22526238828898501</v>
      </c>
      <c r="G5" s="287">
        <v>0.267789292610634</v>
      </c>
    </row>
    <row r="6" spans="2:7" outlineLevel="1"/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E4BE-7F8A-43A7-952A-2315A66C5FB1}">
  <dimension ref="A3:M17"/>
  <sheetViews>
    <sheetView topLeftCell="E1" workbookViewId="0">
      <selection activeCell="L15" sqref="H11:L15"/>
    </sheetView>
  </sheetViews>
  <sheetFormatPr defaultRowHeight="15"/>
  <cols>
    <col min="1" max="1" width="27.28515625" bestFit="1" customWidth="1"/>
    <col min="2" max="2" width="22.85546875" bestFit="1" customWidth="1"/>
    <col min="3" max="3" width="12" bestFit="1" customWidth="1"/>
    <col min="4" max="4" width="19" bestFit="1" customWidth="1"/>
    <col min="5" max="5" width="21.7109375" bestFit="1" customWidth="1"/>
    <col min="6" max="7" width="11.28515625" bestFit="1" customWidth="1"/>
    <col min="8" max="8" width="7" bestFit="1" customWidth="1"/>
    <col min="9" max="9" width="16.28515625" bestFit="1" customWidth="1"/>
    <col min="10" max="10" width="12.7109375" bestFit="1" customWidth="1"/>
    <col min="11" max="11" width="18.85546875" bestFit="1" customWidth="1"/>
    <col min="12" max="12" width="22.7109375" bestFit="1" customWidth="1"/>
    <col min="13" max="13" width="12" bestFit="1" customWidth="1"/>
    <col min="14" max="14" width="16.42578125" bestFit="1" customWidth="1"/>
    <col min="15" max="15" width="24.28515625" bestFit="1" customWidth="1"/>
    <col min="16" max="16" width="21.42578125" bestFit="1" customWidth="1"/>
    <col min="17" max="17" width="30.28515625" bestFit="1" customWidth="1"/>
    <col min="18" max="18" width="18.85546875" bestFit="1" customWidth="1"/>
    <col min="19" max="19" width="22.7109375" bestFit="1" customWidth="1"/>
    <col min="20" max="20" width="21.42578125" bestFit="1" customWidth="1"/>
    <col min="21" max="21" width="28" bestFit="1" customWidth="1"/>
    <col min="22" max="22" width="18.28515625" bestFit="1" customWidth="1"/>
    <col min="23" max="23" width="22.28515625" bestFit="1" customWidth="1"/>
    <col min="24" max="24" width="28.85546875" bestFit="1" customWidth="1"/>
    <col min="25" max="25" width="16.7109375" bestFit="1" customWidth="1"/>
    <col min="26" max="26" width="12.7109375" bestFit="1" customWidth="1"/>
    <col min="27" max="27" width="12" bestFit="1" customWidth="1"/>
    <col min="28" max="28" width="22" bestFit="1" customWidth="1"/>
    <col min="29" max="29" width="22.42578125" bestFit="1" customWidth="1"/>
    <col min="30" max="30" width="27" bestFit="1" customWidth="1"/>
    <col min="31" max="31" width="15.140625" bestFit="1" customWidth="1"/>
    <col min="32" max="32" width="15.28515625" bestFit="1" customWidth="1"/>
    <col min="33" max="33" width="12.7109375" bestFit="1" customWidth="1"/>
    <col min="34" max="103" width="30.28515625" bestFit="1" customWidth="1"/>
    <col min="104" max="107" width="16.5703125" bestFit="1" customWidth="1"/>
  </cols>
  <sheetData>
    <row r="3" spans="1:13">
      <c r="B3" s="273" t="s">
        <v>234</v>
      </c>
    </row>
    <row r="4" spans="1:13">
      <c r="A4" s="273" t="s">
        <v>236</v>
      </c>
      <c r="B4" s="278" t="s">
        <v>102</v>
      </c>
      <c r="C4" s="278" t="s">
        <v>98</v>
      </c>
      <c r="D4" s="278" t="s">
        <v>125</v>
      </c>
      <c r="E4" s="278" t="s">
        <v>101</v>
      </c>
      <c r="F4" s="278" t="s">
        <v>235</v>
      </c>
    </row>
    <row r="5" spans="1:13">
      <c r="A5" s="274" t="s">
        <v>157</v>
      </c>
      <c r="B5" s="276">
        <v>0.43999790294112506</v>
      </c>
      <c r="C5" s="276">
        <v>0.31507196797005421</v>
      </c>
      <c r="D5" s="276">
        <v>0.12845228587000859</v>
      </c>
      <c r="E5" s="276">
        <v>0.19602257833388673</v>
      </c>
      <c r="F5" s="276">
        <v>3.4906660865858664E-3</v>
      </c>
    </row>
    <row r="6" spans="1:13">
      <c r="A6" s="274" t="s">
        <v>156</v>
      </c>
      <c r="B6" s="276">
        <v>0.50387161560829818</v>
      </c>
      <c r="C6" s="276">
        <v>0.33714585638279798</v>
      </c>
      <c r="D6" s="276">
        <v>0.13078628095865635</v>
      </c>
      <c r="E6" s="276">
        <v>0.18051675479133253</v>
      </c>
      <c r="F6" s="276">
        <v>0.28808012693527124</v>
      </c>
    </row>
    <row r="7" spans="1:13">
      <c r="A7" s="274" t="s">
        <v>155</v>
      </c>
      <c r="B7" s="276">
        <v>0.53489663742139548</v>
      </c>
      <c r="C7" s="276">
        <v>0.34443091976060014</v>
      </c>
      <c r="D7" s="276">
        <v>0.11632826870651738</v>
      </c>
      <c r="E7" s="276">
        <v>0.15550043303083932</v>
      </c>
      <c r="F7" s="276">
        <v>1.1511562589193522</v>
      </c>
    </row>
    <row r="8" spans="1:13">
      <c r="A8" s="274" t="s">
        <v>154</v>
      </c>
      <c r="B8" s="276">
        <v>0.47891872740156621</v>
      </c>
      <c r="C8" s="276">
        <v>0.34708411827340485</v>
      </c>
      <c r="D8" s="276">
        <v>0.10809648619870588</v>
      </c>
      <c r="E8" s="276">
        <v>0.13781637807293276</v>
      </c>
      <c r="F8" s="276">
        <v>0.47891872740156621</v>
      </c>
    </row>
    <row r="10" spans="1:13">
      <c r="I10" s="273" t="s">
        <v>234</v>
      </c>
    </row>
    <row r="11" spans="1:13">
      <c r="H11" s="273" t="s">
        <v>266</v>
      </c>
      <c r="I11" s="292" t="s">
        <v>258</v>
      </c>
      <c r="J11" s="292" t="s">
        <v>242</v>
      </c>
      <c r="K11" s="292" t="s">
        <v>264</v>
      </c>
      <c r="L11" s="292" t="s">
        <v>257</v>
      </c>
      <c r="M11" s="292" t="s">
        <v>235</v>
      </c>
    </row>
    <row r="12" spans="1:13">
      <c r="B12" s="273" t="s">
        <v>234</v>
      </c>
      <c r="H12" s="274" t="s">
        <v>157</v>
      </c>
      <c r="I12" s="275">
        <v>0.23693572614435923</v>
      </c>
      <c r="J12" s="275">
        <v>0.83518320406525814</v>
      </c>
      <c r="K12" s="275">
        <v>2.4193236714975845</v>
      </c>
      <c r="L12" s="275">
        <v>4.66</v>
      </c>
      <c r="M12" s="275">
        <v>8.1514426017072026</v>
      </c>
    </row>
    <row r="13" spans="1:13">
      <c r="A13" s="273" t="s">
        <v>237</v>
      </c>
      <c r="B13" s="278" t="s">
        <v>122</v>
      </c>
      <c r="C13" s="278" t="s">
        <v>235</v>
      </c>
      <c r="H13" s="274" t="s">
        <v>156</v>
      </c>
      <c r="I13" s="275">
        <v>0.25070885028315693</v>
      </c>
      <c r="J13" s="275">
        <v>0.91315581334036378</v>
      </c>
      <c r="K13" s="275">
        <v>2.3649564375605032</v>
      </c>
      <c r="L13" s="275">
        <v>3.76</v>
      </c>
      <c r="M13" s="275">
        <v>7.2888211011840234</v>
      </c>
    </row>
    <row r="14" spans="1:13">
      <c r="A14" s="274" t="s">
        <v>154</v>
      </c>
      <c r="B14" s="275">
        <v>100</v>
      </c>
      <c r="C14" s="275">
        <v>100</v>
      </c>
      <c r="H14" s="274" t="s">
        <v>155</v>
      </c>
      <c r="I14" s="275">
        <v>0.25140278822236362</v>
      </c>
      <c r="J14" s="275">
        <v>0.90543935587371738</v>
      </c>
      <c r="K14" s="275">
        <v>2.3164587918806556</v>
      </c>
      <c r="L14" s="275">
        <v>7.37</v>
      </c>
      <c r="M14" s="275">
        <v>10.843300935976737</v>
      </c>
    </row>
    <row r="15" spans="1:13">
      <c r="A15" s="274" t="s">
        <v>155</v>
      </c>
      <c r="B15" s="275">
        <v>72.1875</v>
      </c>
      <c r="C15" s="275">
        <v>72.1875</v>
      </c>
      <c r="H15" s="274" t="s">
        <v>267</v>
      </c>
      <c r="I15" s="275"/>
      <c r="J15" s="275">
        <v>0.86997363216875412</v>
      </c>
      <c r="K15" s="275"/>
      <c r="L15" s="275"/>
      <c r="M15" s="275">
        <v>0.86997363216875412</v>
      </c>
    </row>
    <row r="16" spans="1:13">
      <c r="A16" s="274" t="s">
        <v>156</v>
      </c>
      <c r="B16" s="275">
        <v>95.3125</v>
      </c>
      <c r="C16" s="275">
        <v>95.3125</v>
      </c>
    </row>
    <row r="17" spans="1:3">
      <c r="A17" s="274" t="s">
        <v>157</v>
      </c>
      <c r="B17" s="275">
        <v>90.069444444444443</v>
      </c>
      <c r="C17" s="275">
        <v>90.069444444444443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F2E-BB48-4B90-8E18-6A118ADDB14D}">
  <dimension ref="A1:E36"/>
  <sheetViews>
    <sheetView workbookViewId="0">
      <selection activeCell="B9" sqref="B9"/>
    </sheetView>
  </sheetViews>
  <sheetFormatPr defaultRowHeight="15"/>
  <cols>
    <col min="1" max="1" width="80" customWidth="1"/>
    <col min="2" max="3" width="14" style="1" customWidth="1"/>
    <col min="4" max="5" width="16" style="1" customWidth="1"/>
  </cols>
  <sheetData>
    <row r="1" spans="1:5" ht="15" customHeight="1">
      <c r="A1" s="329" t="s">
        <v>0</v>
      </c>
      <c r="B1" s="330" t="s">
        <v>1</v>
      </c>
      <c r="C1" s="330"/>
      <c r="D1" s="330"/>
      <c r="E1" s="63"/>
    </row>
    <row r="2" spans="1:5">
      <c r="A2" s="316"/>
      <c r="B2" s="2" t="s">
        <v>4</v>
      </c>
      <c r="C2" s="2" t="s">
        <v>3</v>
      </c>
      <c r="D2" s="2" t="s">
        <v>2</v>
      </c>
      <c r="E2" s="2"/>
    </row>
    <row r="3" spans="1:5">
      <c r="A3" s="3" t="s">
        <v>5</v>
      </c>
    </row>
    <row r="4" spans="1:5">
      <c r="A4" s="4" t="s">
        <v>5</v>
      </c>
      <c r="B4" s="5">
        <v>126034</v>
      </c>
      <c r="C4" s="5">
        <v>130863</v>
      </c>
      <c r="D4" s="5">
        <v>131868</v>
      </c>
      <c r="E4" s="5"/>
    </row>
    <row r="5" spans="1:5">
      <c r="A5" s="3" t="s">
        <v>6</v>
      </c>
    </row>
    <row r="6" spans="1:5" ht="30">
      <c r="A6" s="4" t="s">
        <v>7</v>
      </c>
      <c r="B6" s="6">
        <v>28592</v>
      </c>
      <c r="C6" s="6">
        <v>31083</v>
      </c>
      <c r="D6" s="6">
        <v>29896</v>
      </c>
      <c r="E6" s="6"/>
    </row>
    <row r="7" spans="1:5">
      <c r="A7" s="4" t="s">
        <v>8</v>
      </c>
      <c r="B7" s="6">
        <v>16954</v>
      </c>
      <c r="C7" s="6">
        <v>17403</v>
      </c>
      <c r="D7" s="6">
        <v>16682</v>
      </c>
      <c r="E7" s="6"/>
    </row>
    <row r="8" spans="1:5">
      <c r="A8" s="4" t="s">
        <v>9</v>
      </c>
      <c r="B8" s="6">
        <v>0</v>
      </c>
      <c r="C8" s="6">
        <v>4591</v>
      </c>
      <c r="D8" s="6">
        <v>186</v>
      </c>
      <c r="E8" s="6"/>
    </row>
    <row r="9" spans="1:5">
      <c r="A9" s="4" t="s">
        <v>10</v>
      </c>
      <c r="B9" s="6">
        <v>98609</v>
      </c>
      <c r="C9" s="6">
        <v>108585</v>
      </c>
      <c r="D9" s="6">
        <v>101490</v>
      </c>
      <c r="E9" s="6"/>
    </row>
    <row r="10" spans="1:5">
      <c r="A10" s="4" t="s">
        <v>11</v>
      </c>
      <c r="B10" s="6">
        <v>27425</v>
      </c>
      <c r="C10" s="6">
        <v>22278</v>
      </c>
      <c r="D10" s="6">
        <v>30378</v>
      </c>
      <c r="E10" s="6"/>
    </row>
    <row r="11" spans="1:5">
      <c r="A11" s="4" t="s">
        <v>12</v>
      </c>
      <c r="B11" s="6">
        <v>-77</v>
      </c>
      <c r="C11" s="6">
        <v>-186</v>
      </c>
      <c r="D11" s="6">
        <v>-15</v>
      </c>
      <c r="E11" s="6"/>
    </row>
    <row r="12" spans="1:5">
      <c r="A12" s="4" t="s">
        <v>13</v>
      </c>
      <c r="B12" s="6">
        <v>-2021</v>
      </c>
      <c r="C12" s="6">
        <v>2364</v>
      </c>
      <c r="D12" s="6">
        <v>-2900</v>
      </c>
      <c r="E12" s="6"/>
    </row>
    <row r="13" spans="1:5">
      <c r="A13" s="4" t="s">
        <v>14</v>
      </c>
      <c r="B13" s="6">
        <v>-4733</v>
      </c>
      <c r="C13" s="6">
        <v>-4833</v>
      </c>
      <c r="D13" s="6">
        <v>-4730</v>
      </c>
      <c r="E13" s="6"/>
    </row>
    <row r="14" spans="1:5">
      <c r="A14" s="4" t="s">
        <v>15</v>
      </c>
      <c r="B14" s="6">
        <v>20594</v>
      </c>
      <c r="C14" s="6">
        <v>19623</v>
      </c>
      <c r="D14" s="6">
        <v>22733</v>
      </c>
      <c r="E14" s="6"/>
    </row>
    <row r="15" spans="1:5">
      <c r="A15" s="4" t="s">
        <v>16</v>
      </c>
      <c r="B15" s="6">
        <v>9956</v>
      </c>
      <c r="C15" s="6">
        <v>-3584</v>
      </c>
      <c r="D15" s="6">
        <v>-2945</v>
      </c>
      <c r="E15" s="6"/>
    </row>
    <row r="16" spans="1:5">
      <c r="A16" s="4" t="s">
        <v>17</v>
      </c>
      <c r="B16" s="6">
        <v>30550</v>
      </c>
      <c r="C16" s="6">
        <v>16039</v>
      </c>
      <c r="D16" s="6">
        <v>19788</v>
      </c>
      <c r="E16" s="6"/>
    </row>
    <row r="17" spans="1:5">
      <c r="A17" s="4" t="s">
        <v>18</v>
      </c>
      <c r="B17" s="6">
        <v>449</v>
      </c>
      <c r="C17" s="6">
        <v>511</v>
      </c>
      <c r="D17" s="6">
        <v>523</v>
      </c>
      <c r="E17" s="6"/>
    </row>
    <row r="18" spans="1:5">
      <c r="A18" s="4" t="s">
        <v>19</v>
      </c>
      <c r="B18" s="6">
        <v>30101</v>
      </c>
      <c r="C18" s="6">
        <v>15528</v>
      </c>
      <c r="D18" s="6">
        <v>19265</v>
      </c>
      <c r="E18" s="6"/>
    </row>
    <row r="19" spans="1:5">
      <c r="A19" s="4" t="s">
        <v>17</v>
      </c>
      <c r="B19" s="5">
        <v>30550</v>
      </c>
      <c r="C19" s="5">
        <v>16039</v>
      </c>
      <c r="D19" s="5">
        <v>19788</v>
      </c>
      <c r="E19" s="5"/>
    </row>
    <row r="20" spans="1:5">
      <c r="A20" s="3" t="s">
        <v>20</v>
      </c>
    </row>
    <row r="21" spans="1:5">
      <c r="A21" s="4" t="s">
        <v>21</v>
      </c>
      <c r="B21" s="7">
        <v>7.37</v>
      </c>
      <c r="C21" s="7">
        <v>3.76</v>
      </c>
      <c r="D21" s="7">
        <v>4.66</v>
      </c>
      <c r="E21" s="7"/>
    </row>
    <row r="22" spans="1:5">
      <c r="A22" s="4" t="s">
        <v>22</v>
      </c>
      <c r="B22" s="6">
        <v>4084</v>
      </c>
      <c r="C22" s="6">
        <v>4128</v>
      </c>
      <c r="D22" s="6">
        <v>4138</v>
      </c>
      <c r="E22" s="6"/>
    </row>
    <row r="23" spans="1:5">
      <c r="A23" s="3" t="s">
        <v>23</v>
      </c>
    </row>
    <row r="24" spans="1:5">
      <c r="A24" s="4" t="s">
        <v>21</v>
      </c>
      <c r="B24" s="7">
        <v>7.36</v>
      </c>
      <c r="C24" s="7">
        <v>3.76</v>
      </c>
      <c r="D24" s="7">
        <v>4.6500000000000004</v>
      </c>
      <c r="E24" s="7"/>
    </row>
    <row r="25" spans="1:5">
      <c r="A25" s="4" t="s">
        <v>22</v>
      </c>
      <c r="B25" s="6">
        <v>4089</v>
      </c>
      <c r="C25" s="6">
        <v>4132</v>
      </c>
      <c r="D25" s="6">
        <v>4140</v>
      </c>
      <c r="E25" s="6"/>
    </row>
    <row r="26" spans="1:5">
      <c r="A26" s="4" t="s">
        <v>24</v>
      </c>
    </row>
    <row r="27" spans="1:5">
      <c r="A27" s="3" t="s">
        <v>5</v>
      </c>
    </row>
    <row r="28" spans="1:5">
      <c r="A28" s="4" t="s">
        <v>5</v>
      </c>
      <c r="B28" s="5">
        <v>107145</v>
      </c>
      <c r="C28" s="5">
        <v>108605</v>
      </c>
      <c r="D28" s="5">
        <v>110305</v>
      </c>
      <c r="E28" s="5"/>
    </row>
    <row r="29" spans="1:5">
      <c r="A29" s="4" t="s">
        <v>25</v>
      </c>
    </row>
    <row r="30" spans="1:5">
      <c r="A30" s="3" t="s">
        <v>6</v>
      </c>
    </row>
    <row r="31" spans="1:5">
      <c r="A31" s="4" t="s">
        <v>26</v>
      </c>
      <c r="B31" s="6">
        <v>30916</v>
      </c>
      <c r="C31" s="6">
        <v>32185</v>
      </c>
      <c r="D31" s="6">
        <v>31772</v>
      </c>
      <c r="E31" s="6"/>
    </row>
    <row r="32" spans="1:5">
      <c r="A32" s="4" t="s">
        <v>27</v>
      </c>
    </row>
    <row r="33" spans="1:5">
      <c r="A33" s="3" t="s">
        <v>5</v>
      </c>
    </row>
    <row r="34" spans="1:5">
      <c r="A34" s="4" t="s">
        <v>5</v>
      </c>
      <c r="B34" s="6">
        <v>18889</v>
      </c>
      <c r="C34" s="6">
        <v>22258</v>
      </c>
      <c r="D34" s="6">
        <v>21563</v>
      </c>
      <c r="E34" s="6"/>
    </row>
    <row r="35" spans="1:5">
      <c r="A35" s="3" t="s">
        <v>6</v>
      </c>
    </row>
    <row r="36" spans="1:5">
      <c r="A36" s="4" t="s">
        <v>26</v>
      </c>
      <c r="B36" s="5">
        <v>22147</v>
      </c>
      <c r="C36" s="5">
        <v>23323</v>
      </c>
      <c r="D36" s="5">
        <v>22954</v>
      </c>
      <c r="E36" s="5"/>
    </row>
  </sheetData>
  <mergeCells count="2">
    <mergeCell ref="A1:A2"/>
    <mergeCell ref="B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520-F363-4678-999E-DED8E675E3EB}">
  <dimension ref="A1:I40"/>
  <sheetViews>
    <sheetView topLeftCell="A8" workbookViewId="0">
      <selection activeCell="A29" sqref="A29"/>
    </sheetView>
  </sheetViews>
  <sheetFormatPr defaultRowHeight="15"/>
  <cols>
    <col min="1" max="1" width="80" customWidth="1"/>
    <col min="2" max="3" width="12.5703125" style="1" bestFit="1" customWidth="1"/>
    <col min="4" max="4" width="12.5703125" bestFit="1" customWidth="1"/>
    <col min="5" max="5" width="12.5703125" style="1" bestFit="1" customWidth="1"/>
    <col min="6" max="6" width="14" style="1" customWidth="1"/>
  </cols>
  <sheetData>
    <row r="1" spans="1:6">
      <c r="A1" s="8" t="s">
        <v>28</v>
      </c>
      <c r="B1" s="1" t="s">
        <v>131</v>
      </c>
      <c r="C1" s="1" t="s">
        <v>4</v>
      </c>
      <c r="D1" s="2" t="s">
        <v>3</v>
      </c>
      <c r="E1" s="2" t="s">
        <v>2</v>
      </c>
      <c r="F1" s="2"/>
    </row>
    <row r="2" spans="1:6">
      <c r="A2" s="3" t="s">
        <v>29</v>
      </c>
    </row>
    <row r="3" spans="1:6">
      <c r="A3" s="4" t="s">
        <v>30</v>
      </c>
      <c r="B3" s="53">
        <v>2880</v>
      </c>
      <c r="C3" s="53">
        <v>2079</v>
      </c>
      <c r="D3" s="54">
        <v>2745</v>
      </c>
      <c r="E3" s="54">
        <v>2594</v>
      </c>
      <c r="F3" s="5"/>
    </row>
    <row r="4" spans="1:6">
      <c r="A4" s="4" t="s">
        <v>31</v>
      </c>
      <c r="B4" s="53">
        <v>17513</v>
      </c>
      <c r="C4" s="53">
        <v>23493</v>
      </c>
      <c r="D4" s="54">
        <v>25102</v>
      </c>
      <c r="E4" s="54">
        <v>25429</v>
      </c>
      <c r="F4" s="6"/>
    </row>
    <row r="5" spans="1:6">
      <c r="A5" s="4" t="s">
        <v>32</v>
      </c>
      <c r="B5" s="53">
        <v>1202</v>
      </c>
      <c r="C5" s="53">
        <v>1034</v>
      </c>
      <c r="D5" s="54">
        <v>1336</v>
      </c>
      <c r="E5" s="54">
        <v>1422</v>
      </c>
      <c r="F5" s="6"/>
    </row>
    <row r="6" spans="1:6">
      <c r="A6" s="4" t="s">
        <v>33</v>
      </c>
      <c r="B6" s="53">
        <v>4800</v>
      </c>
      <c r="C6" s="53">
        <v>3307</v>
      </c>
      <c r="D6" s="54">
        <v>5453</v>
      </c>
      <c r="E6" s="54">
        <v>8028</v>
      </c>
      <c r="F6" s="6"/>
    </row>
    <row r="7" spans="1:6">
      <c r="A7" s="4" t="s">
        <v>34</v>
      </c>
      <c r="B7" s="53">
        <v>26395</v>
      </c>
      <c r="C7" s="53">
        <v>29913</v>
      </c>
      <c r="D7" s="54">
        <v>34636</v>
      </c>
      <c r="E7" s="54">
        <v>37473</v>
      </c>
      <c r="F7" s="6"/>
    </row>
    <row r="8" spans="1:6">
      <c r="A8" s="4" t="s">
        <v>35</v>
      </c>
      <c r="B8" s="53">
        <v>232215</v>
      </c>
      <c r="C8" s="53">
        <v>246498</v>
      </c>
      <c r="D8" s="54">
        <v>252835</v>
      </c>
      <c r="E8" s="54">
        <v>265734</v>
      </c>
      <c r="F8" s="6"/>
    </row>
    <row r="9" spans="1:6">
      <c r="A9" s="4" t="s">
        <v>36</v>
      </c>
      <c r="B9" s="53">
        <v>147464</v>
      </c>
      <c r="C9" s="53">
        <v>157930</v>
      </c>
      <c r="D9" s="54">
        <v>163549</v>
      </c>
      <c r="E9" s="54">
        <v>173819</v>
      </c>
      <c r="F9" s="6"/>
    </row>
    <row r="10" spans="1:6">
      <c r="A10" s="4" t="s">
        <v>37</v>
      </c>
      <c r="B10" s="53">
        <v>84751</v>
      </c>
      <c r="C10" s="53">
        <v>88568</v>
      </c>
      <c r="D10" s="54">
        <v>89286</v>
      </c>
      <c r="E10" s="54">
        <v>91915</v>
      </c>
      <c r="F10" s="6"/>
    </row>
    <row r="11" spans="1:6">
      <c r="A11" s="4" t="s">
        <v>38</v>
      </c>
      <c r="B11" s="53">
        <v>1110</v>
      </c>
      <c r="C11" s="53">
        <v>1039</v>
      </c>
      <c r="D11" s="54">
        <v>671</v>
      </c>
      <c r="E11" s="54">
        <v>558</v>
      </c>
      <c r="F11" s="6"/>
    </row>
    <row r="12" spans="1:6">
      <c r="A12" s="4" t="s">
        <v>39</v>
      </c>
      <c r="B12" s="53">
        <v>86673</v>
      </c>
      <c r="C12" s="53">
        <v>88417</v>
      </c>
      <c r="D12" s="54">
        <v>94130</v>
      </c>
      <c r="E12" s="54">
        <v>95059</v>
      </c>
      <c r="F12" s="6"/>
    </row>
    <row r="13" spans="1:6">
      <c r="A13" s="4" t="s">
        <v>40</v>
      </c>
      <c r="B13" s="53">
        <v>27205</v>
      </c>
      <c r="C13" s="53">
        <v>29172</v>
      </c>
      <c r="D13" s="54">
        <v>24614</v>
      </c>
      <c r="E13" s="54">
        <v>24389</v>
      </c>
      <c r="F13" s="6"/>
    </row>
    <row r="14" spans="1:6">
      <c r="A14" s="4" t="s">
        <v>41</v>
      </c>
      <c r="B14" s="53">
        <v>8897</v>
      </c>
      <c r="C14" s="53">
        <v>10247</v>
      </c>
      <c r="D14" s="54">
        <v>9775</v>
      </c>
      <c r="E14" s="54">
        <v>9498</v>
      </c>
      <c r="F14" s="6"/>
    </row>
    <row r="15" spans="1:6">
      <c r="A15" s="4" t="s">
        <v>42</v>
      </c>
      <c r="B15" s="53">
        <v>613</v>
      </c>
      <c r="C15" s="53">
        <v>0</v>
      </c>
      <c r="D15" s="53"/>
      <c r="E15" s="54">
        <v>22694</v>
      </c>
      <c r="F15" s="6"/>
    </row>
    <row r="16" spans="1:6">
      <c r="A16" s="4" t="s">
        <v>43</v>
      </c>
      <c r="B16" s="53">
        <v>8536</v>
      </c>
      <c r="C16" s="53">
        <v>9787</v>
      </c>
      <c r="D16" s="54">
        <v>11717</v>
      </c>
      <c r="E16" s="54">
        <v>10141</v>
      </c>
      <c r="F16" s="6"/>
    </row>
    <row r="17" spans="1:6">
      <c r="A17" s="4" t="s">
        <v>44</v>
      </c>
      <c r="B17" s="53">
        <v>244180</v>
      </c>
      <c r="C17" s="53">
        <v>257143</v>
      </c>
      <c r="D17" s="54">
        <v>264829</v>
      </c>
      <c r="E17" s="54">
        <v>291727</v>
      </c>
      <c r="F17" s="6"/>
    </row>
    <row r="18" spans="1:6">
      <c r="A18" s="3" t="s">
        <v>45</v>
      </c>
    </row>
    <row r="19" spans="1:6">
      <c r="A19" s="4" t="s">
        <v>46</v>
      </c>
      <c r="B19" s="53">
        <v>2645</v>
      </c>
      <c r="C19" s="53">
        <v>3453</v>
      </c>
      <c r="D19" s="54">
        <v>7190</v>
      </c>
      <c r="E19" s="54">
        <v>10777</v>
      </c>
      <c r="F19" s="6"/>
    </row>
    <row r="20" spans="1:6">
      <c r="A20" s="4" t="s">
        <v>47</v>
      </c>
      <c r="B20" s="53">
        <v>19593</v>
      </c>
      <c r="C20" s="53">
        <v>21232</v>
      </c>
      <c r="D20" s="54">
        <v>22501</v>
      </c>
      <c r="E20" s="54">
        <v>21806</v>
      </c>
      <c r="F20" s="6"/>
    </row>
    <row r="21" spans="1:6">
      <c r="A21" s="4" t="s">
        <v>48</v>
      </c>
      <c r="B21" s="53"/>
      <c r="C21" s="53"/>
      <c r="D21" s="53"/>
      <c r="E21" s="54">
        <v>3261</v>
      </c>
      <c r="F21" s="6"/>
    </row>
    <row r="22" spans="1:6">
      <c r="A22" s="4" t="s">
        <v>49</v>
      </c>
      <c r="B22" s="53">
        <v>8102</v>
      </c>
      <c r="C22" s="53">
        <v>8352</v>
      </c>
      <c r="D22" s="54">
        <v>8239</v>
      </c>
      <c r="E22" s="54">
        <v>9024</v>
      </c>
      <c r="F22" s="6"/>
    </row>
    <row r="23" spans="1:6">
      <c r="A23" s="4" t="s">
        <v>50</v>
      </c>
      <c r="B23" s="53">
        <v>30340</v>
      </c>
      <c r="C23" s="53">
        <v>33037</v>
      </c>
      <c r="D23" s="54">
        <v>37930</v>
      </c>
      <c r="E23" s="54">
        <v>44868</v>
      </c>
      <c r="F23" s="6"/>
    </row>
    <row r="24" spans="1:6">
      <c r="A24" s="4" t="s">
        <v>51</v>
      </c>
      <c r="B24" s="53">
        <v>105433</v>
      </c>
      <c r="C24" s="53">
        <v>113642</v>
      </c>
      <c r="D24" s="54">
        <v>105873</v>
      </c>
      <c r="E24" s="54">
        <v>100712</v>
      </c>
      <c r="F24" s="6"/>
    </row>
    <row r="25" spans="1:6">
      <c r="A25" s="4" t="s">
        <v>52</v>
      </c>
      <c r="B25" s="53">
        <v>26166</v>
      </c>
      <c r="C25" s="53">
        <v>22112</v>
      </c>
      <c r="D25" s="54">
        <v>18599</v>
      </c>
      <c r="E25" s="54">
        <v>17952</v>
      </c>
      <c r="F25" s="6"/>
    </row>
    <row r="26" spans="1:6">
      <c r="A26" s="4" t="s">
        <v>53</v>
      </c>
      <c r="B26" s="53">
        <v>45964</v>
      </c>
      <c r="C26" s="53">
        <v>31232</v>
      </c>
      <c r="D26" s="54">
        <v>33795</v>
      </c>
      <c r="E26" s="54">
        <v>34703</v>
      </c>
      <c r="F26" s="6"/>
    </row>
    <row r="27" spans="1:6">
      <c r="A27" s="4" t="s">
        <v>54</v>
      </c>
      <c r="B27" s="53"/>
      <c r="C27" s="53"/>
      <c r="D27" s="53"/>
      <c r="E27" s="54">
        <v>18393</v>
      </c>
      <c r="F27" s="6"/>
    </row>
    <row r="28" spans="1:6">
      <c r="A28" s="4" t="s">
        <v>55</v>
      </c>
      <c r="B28" s="53">
        <v>12245</v>
      </c>
      <c r="C28" s="53">
        <v>12433</v>
      </c>
      <c r="D28" s="54">
        <v>13922</v>
      </c>
      <c r="E28" s="54">
        <v>12264</v>
      </c>
      <c r="F28" s="6"/>
    </row>
    <row r="29" spans="1:6">
      <c r="A29" s="4" t="s">
        <v>56</v>
      </c>
      <c r="B29" s="53">
        <v>189808</v>
      </c>
      <c r="C29" s="53">
        <v>179419</v>
      </c>
      <c r="D29" s="54">
        <v>172189</v>
      </c>
      <c r="E29" s="54">
        <v>184024</v>
      </c>
      <c r="F29" s="6"/>
    </row>
    <row r="30" spans="1:6">
      <c r="A30" s="3" t="s">
        <v>57</v>
      </c>
    </row>
    <row r="31" spans="1:6">
      <c r="A31" s="4" t="s">
        <v>58</v>
      </c>
      <c r="B31" s="1">
        <v>0</v>
      </c>
      <c r="C31" s="1">
        <v>0</v>
      </c>
      <c r="D31" s="6">
        <v>0</v>
      </c>
      <c r="E31" s="6">
        <v>0</v>
      </c>
      <c r="F31" s="6"/>
    </row>
    <row r="32" spans="1:6" ht="30">
      <c r="A32" s="4" t="s">
        <v>59</v>
      </c>
      <c r="B32" s="1">
        <v>424</v>
      </c>
      <c r="C32" s="1">
        <v>424</v>
      </c>
      <c r="D32" s="6">
        <v>429</v>
      </c>
      <c r="E32" s="6">
        <v>429</v>
      </c>
      <c r="F32" s="6"/>
    </row>
    <row r="33" spans="1:9">
      <c r="A33" s="4" t="s">
        <v>60</v>
      </c>
      <c r="B33" s="53">
        <v>11182</v>
      </c>
      <c r="C33" s="53">
        <v>11101</v>
      </c>
      <c r="D33" s="54">
        <v>13437</v>
      </c>
      <c r="E33" s="54">
        <v>13419</v>
      </c>
      <c r="F33" s="6"/>
    </row>
    <row r="34" spans="1:9">
      <c r="A34" s="4" t="s">
        <v>61</v>
      </c>
      <c r="B34" s="53">
        <v>15059</v>
      </c>
      <c r="C34" s="53">
        <v>35635</v>
      </c>
      <c r="D34" s="54">
        <v>43542</v>
      </c>
      <c r="E34" s="54">
        <v>53147</v>
      </c>
      <c r="F34" s="6"/>
    </row>
    <row r="35" spans="1:9">
      <c r="A35" s="4" t="s">
        <v>62</v>
      </c>
      <c r="B35" s="53">
        <v>2673</v>
      </c>
      <c r="C35" s="53">
        <v>2659</v>
      </c>
      <c r="D35" s="54">
        <v>2370</v>
      </c>
      <c r="E35" s="54">
        <v>998</v>
      </c>
      <c r="F35" s="6"/>
    </row>
    <row r="36" spans="1:9">
      <c r="A36" s="4" t="s">
        <v>63</v>
      </c>
      <c r="B36" s="53">
        <v>-7263</v>
      </c>
      <c r="C36" s="53">
        <v>-7139</v>
      </c>
      <c r="D36" s="54">
        <v>-6986</v>
      </c>
      <c r="E36" s="54">
        <v>-6820</v>
      </c>
      <c r="F36" s="6"/>
    </row>
    <row r="37" spans="1:9">
      <c r="A37" s="4" t="s">
        <v>64</v>
      </c>
      <c r="B37" s="53">
        <v>449</v>
      </c>
      <c r="C37" s="53">
        <v>416</v>
      </c>
      <c r="D37" s="54">
        <v>353</v>
      </c>
      <c r="E37" s="54">
        <v>222</v>
      </c>
      <c r="F37" s="6"/>
    </row>
    <row r="38" spans="1:9">
      <c r="A38" s="4" t="s">
        <v>65</v>
      </c>
      <c r="B38" s="53">
        <v>1508</v>
      </c>
      <c r="C38" s="53">
        <v>1591</v>
      </c>
      <c r="D38" s="54">
        <v>1565</v>
      </c>
      <c r="E38" s="54">
        <v>1440</v>
      </c>
      <c r="F38" s="6"/>
    </row>
    <row r="39" spans="1:9">
      <c r="A39" s="4" t="s">
        <v>66</v>
      </c>
      <c r="B39" s="53">
        <v>24032</v>
      </c>
      <c r="C39" s="53">
        <v>44687</v>
      </c>
      <c r="D39" s="54">
        <v>54710</v>
      </c>
      <c r="E39" s="54">
        <v>62835</v>
      </c>
      <c r="F39" s="6"/>
      <c r="G39" s="6"/>
      <c r="H39" s="6"/>
      <c r="I39" s="6"/>
    </row>
    <row r="40" spans="1:9">
      <c r="A40" s="4" t="s">
        <v>67</v>
      </c>
      <c r="B40" s="53">
        <v>244180</v>
      </c>
      <c r="C40" s="53">
        <v>257143</v>
      </c>
      <c r="D40" s="54">
        <v>264829</v>
      </c>
      <c r="E40" s="54">
        <v>291727</v>
      </c>
      <c r="F40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E0FA-3690-4E67-A04D-0D08C82022EA}">
  <dimension ref="A1:E38"/>
  <sheetViews>
    <sheetView topLeftCell="A13" workbookViewId="0">
      <selection activeCell="D33" sqref="D33"/>
    </sheetView>
  </sheetViews>
  <sheetFormatPr defaultRowHeight="15"/>
  <cols>
    <col min="1" max="1" width="80" customWidth="1"/>
    <col min="2" max="2" width="14" style="9" customWidth="1"/>
    <col min="3" max="3" width="14" customWidth="1"/>
    <col min="4" max="5" width="16" style="9" customWidth="1"/>
  </cols>
  <sheetData>
    <row r="1" spans="1:5" ht="15" customHeight="1">
      <c r="A1" s="329" t="s">
        <v>68</v>
      </c>
      <c r="B1" s="330" t="s">
        <v>1</v>
      </c>
      <c r="C1" s="330"/>
      <c r="D1" s="330"/>
      <c r="E1" s="63"/>
    </row>
    <row r="2" spans="1:5">
      <c r="A2" s="316"/>
      <c r="B2" s="10" t="s">
        <v>4</v>
      </c>
      <c r="C2" s="2" t="s">
        <v>3</v>
      </c>
      <c r="D2" s="10" t="s">
        <v>2</v>
      </c>
      <c r="E2" s="10"/>
    </row>
    <row r="3" spans="1:5">
      <c r="A3" s="3" t="s">
        <v>69</v>
      </c>
    </row>
    <row r="4" spans="1:5">
      <c r="A4" s="4" t="s">
        <v>17</v>
      </c>
      <c r="B4" s="5">
        <v>30550</v>
      </c>
      <c r="C4" s="5">
        <v>16039</v>
      </c>
      <c r="D4" s="5">
        <v>19788</v>
      </c>
      <c r="E4" s="5"/>
    </row>
    <row r="5" spans="1:5">
      <c r="A5" s="3" t="s">
        <v>70</v>
      </c>
    </row>
    <row r="6" spans="1:5">
      <c r="A6" s="4" t="s">
        <v>8</v>
      </c>
      <c r="B6" s="6">
        <v>16954</v>
      </c>
      <c r="C6" s="6">
        <v>17403</v>
      </c>
      <c r="D6" s="6">
        <v>16682</v>
      </c>
      <c r="E6" s="6"/>
    </row>
    <row r="7" spans="1:5">
      <c r="A7" s="4" t="s">
        <v>71</v>
      </c>
      <c r="B7" s="6">
        <v>440</v>
      </c>
      <c r="C7" s="6">
        <v>-2657</v>
      </c>
      <c r="D7" s="6">
        <v>-284</v>
      </c>
      <c r="E7" s="6"/>
    </row>
    <row r="8" spans="1:5">
      <c r="A8" s="4" t="s">
        <v>53</v>
      </c>
      <c r="B8" s="6">
        <v>-14463</v>
      </c>
      <c r="C8" s="6">
        <v>389</v>
      </c>
      <c r="D8" s="6">
        <v>1232</v>
      </c>
      <c r="E8" s="6"/>
    </row>
    <row r="9" spans="1:5">
      <c r="A9" s="4" t="s">
        <v>72</v>
      </c>
      <c r="B9" s="6">
        <v>1167</v>
      </c>
      <c r="C9" s="6">
        <v>980</v>
      </c>
      <c r="D9" s="6">
        <v>1588</v>
      </c>
      <c r="E9" s="6"/>
    </row>
    <row r="10" spans="1:5">
      <c r="A10" s="4" t="s">
        <v>73</v>
      </c>
      <c r="B10" s="6">
        <v>117</v>
      </c>
      <c r="C10" s="6">
        <v>231</v>
      </c>
      <c r="D10" s="6">
        <v>74</v>
      </c>
      <c r="E10" s="6"/>
    </row>
    <row r="11" spans="1:5">
      <c r="A11" s="4" t="s">
        <v>74</v>
      </c>
      <c r="B11" s="6">
        <v>-1774</v>
      </c>
      <c r="C11" s="6">
        <v>0</v>
      </c>
      <c r="D11" s="6">
        <v>94</v>
      </c>
      <c r="E11" s="6"/>
    </row>
    <row r="12" spans="1:5">
      <c r="A12" s="4" t="s">
        <v>9</v>
      </c>
      <c r="B12" s="6">
        <v>0</v>
      </c>
      <c r="C12" s="6">
        <v>4591</v>
      </c>
      <c r="D12" s="6">
        <v>186</v>
      </c>
      <c r="E12" s="6"/>
    </row>
    <row r="13" spans="1:5" ht="30">
      <c r="A13" s="3" t="s">
        <v>75</v>
      </c>
    </row>
    <row r="14" spans="1:5">
      <c r="A14" s="4" t="s">
        <v>76</v>
      </c>
      <c r="B14" s="6">
        <v>-5674</v>
      </c>
      <c r="C14" s="6">
        <v>-2667</v>
      </c>
      <c r="D14" s="6">
        <v>-1471</v>
      </c>
      <c r="E14" s="6"/>
    </row>
    <row r="15" spans="1:5">
      <c r="A15" s="4" t="s">
        <v>32</v>
      </c>
      <c r="B15" s="6">
        <v>168</v>
      </c>
      <c r="C15" s="6">
        <v>-324</v>
      </c>
      <c r="D15" s="6">
        <v>-76</v>
      </c>
      <c r="E15" s="6"/>
    </row>
    <row r="16" spans="1:5">
      <c r="A16" s="4" t="s">
        <v>33</v>
      </c>
      <c r="B16" s="6">
        <v>27</v>
      </c>
      <c r="C16" s="6">
        <v>37</v>
      </c>
      <c r="D16" s="6">
        <v>-2807</v>
      </c>
      <c r="E16" s="6"/>
    </row>
    <row r="17" spans="1:5">
      <c r="A17" s="4" t="s">
        <v>77</v>
      </c>
      <c r="B17" s="6">
        <v>-459</v>
      </c>
      <c r="C17" s="6">
        <v>1777</v>
      </c>
      <c r="D17" s="6">
        <v>-2359</v>
      </c>
      <c r="E17" s="6"/>
    </row>
    <row r="18" spans="1:5">
      <c r="A18" s="4" t="s">
        <v>78</v>
      </c>
      <c r="B18" s="6">
        <v>-3411</v>
      </c>
      <c r="C18" s="6">
        <v>-1679</v>
      </c>
      <c r="D18" s="6">
        <v>-300</v>
      </c>
      <c r="E18" s="6"/>
    </row>
    <row r="19" spans="1:5">
      <c r="A19" s="4" t="s">
        <v>79</v>
      </c>
      <c r="B19" s="6">
        <v>676</v>
      </c>
      <c r="C19" s="6">
        <v>219</v>
      </c>
      <c r="D19" s="6">
        <v>3399</v>
      </c>
      <c r="E19" s="6"/>
    </row>
    <row r="20" spans="1:5">
      <c r="A20" s="4" t="s">
        <v>80</v>
      </c>
      <c r="B20" s="6">
        <v>24318</v>
      </c>
      <c r="C20" s="6">
        <v>34339</v>
      </c>
      <c r="D20" s="6">
        <v>35746</v>
      </c>
      <c r="E20" s="6"/>
    </row>
    <row r="21" spans="1:5">
      <c r="A21" s="3" t="s">
        <v>81</v>
      </c>
    </row>
    <row r="22" spans="1:5">
      <c r="A22" s="4" t="s">
        <v>82</v>
      </c>
      <c r="B22" s="6">
        <v>-17247</v>
      </c>
      <c r="C22" s="6">
        <v>-16658</v>
      </c>
      <c r="D22" s="6">
        <v>-17939</v>
      </c>
      <c r="E22" s="6"/>
    </row>
    <row r="23" spans="1:5">
      <c r="A23" s="4" t="s">
        <v>83</v>
      </c>
      <c r="B23" s="6">
        <v>-5880</v>
      </c>
      <c r="C23" s="6">
        <v>-230</v>
      </c>
      <c r="D23" s="6">
        <v>-29</v>
      </c>
      <c r="E23" s="6"/>
    </row>
    <row r="24" spans="1:5">
      <c r="A24" s="4" t="s">
        <v>84</v>
      </c>
      <c r="B24" s="6">
        <v>-583</v>
      </c>
      <c r="C24" s="6">
        <v>-1429</v>
      </c>
      <c r="D24" s="6">
        <v>-898</v>
      </c>
      <c r="E24" s="6"/>
    </row>
    <row r="25" spans="1:5">
      <c r="A25" s="4" t="s">
        <v>85</v>
      </c>
      <c r="B25" s="6">
        <v>3614</v>
      </c>
      <c r="C25" s="6">
        <v>0</v>
      </c>
      <c r="D25" s="6">
        <v>28</v>
      </c>
      <c r="E25" s="6"/>
    </row>
    <row r="26" spans="1:5">
      <c r="A26" s="4" t="s">
        <v>79</v>
      </c>
      <c r="B26" s="6">
        <v>1640</v>
      </c>
      <c r="C26" s="6">
        <v>383</v>
      </c>
      <c r="D26" s="6">
        <v>1257</v>
      </c>
      <c r="E26" s="6"/>
    </row>
    <row r="27" spans="1:5">
      <c r="A27" s="4" t="s">
        <v>86</v>
      </c>
      <c r="B27" s="6">
        <v>-18456</v>
      </c>
      <c r="C27" s="6">
        <v>-17934</v>
      </c>
      <c r="D27" s="6">
        <v>-17581</v>
      </c>
      <c r="E27" s="6"/>
    </row>
    <row r="28" spans="1:5">
      <c r="A28" s="3" t="s">
        <v>87</v>
      </c>
    </row>
    <row r="29" spans="1:5">
      <c r="A29" s="4" t="s">
        <v>88</v>
      </c>
      <c r="B29" s="6">
        <v>27707</v>
      </c>
      <c r="C29" s="6">
        <v>5967</v>
      </c>
      <c r="D29" s="6">
        <v>10079</v>
      </c>
      <c r="E29" s="6"/>
    </row>
    <row r="30" spans="1:5">
      <c r="A30" s="4" t="s">
        <v>89</v>
      </c>
      <c r="B30" s="6">
        <v>4290</v>
      </c>
      <c r="C30" s="6">
        <v>4810</v>
      </c>
      <c r="D30" s="6">
        <v>8576</v>
      </c>
      <c r="E30" s="6"/>
    </row>
    <row r="31" spans="1:5">
      <c r="A31" s="4" t="s">
        <v>90</v>
      </c>
      <c r="B31" s="6">
        <v>-23837</v>
      </c>
      <c r="C31" s="6">
        <v>-10923</v>
      </c>
      <c r="D31" s="6">
        <v>-17584</v>
      </c>
      <c r="E31" s="6"/>
    </row>
    <row r="32" spans="1:5">
      <c r="A32" s="4" t="s">
        <v>91</v>
      </c>
      <c r="B32" s="6">
        <v>-400</v>
      </c>
      <c r="C32" s="6">
        <v>-3635</v>
      </c>
      <c r="D32" s="6">
        <v>-6302</v>
      </c>
      <c r="E32" s="6"/>
    </row>
    <row r="33" spans="1:5">
      <c r="A33" s="4" t="s">
        <v>92</v>
      </c>
      <c r="B33" s="6">
        <v>-9472</v>
      </c>
      <c r="C33" s="6">
        <v>-9772</v>
      </c>
      <c r="D33" s="6">
        <v>-10016</v>
      </c>
      <c r="E33" s="6"/>
    </row>
    <row r="34" spans="1:5">
      <c r="A34" s="4" t="s">
        <v>79</v>
      </c>
      <c r="B34" s="6">
        <v>-4439</v>
      </c>
      <c r="C34" s="6">
        <v>-1824</v>
      </c>
      <c r="D34" s="6">
        <v>-2917</v>
      </c>
      <c r="E34" s="6"/>
    </row>
    <row r="35" spans="1:5">
      <c r="A35" s="4" t="s">
        <v>93</v>
      </c>
      <c r="B35" s="6">
        <v>-6151</v>
      </c>
      <c r="C35" s="6">
        <v>-15377</v>
      </c>
      <c r="D35" s="6">
        <v>-18164</v>
      </c>
      <c r="E35" s="6"/>
    </row>
    <row r="36" spans="1:5">
      <c r="A36" s="4" t="s">
        <v>94</v>
      </c>
      <c r="B36" s="6">
        <v>-289</v>
      </c>
      <c r="C36" s="6">
        <v>1028</v>
      </c>
      <c r="D36" s="6">
        <v>1</v>
      </c>
      <c r="E36" s="6"/>
    </row>
    <row r="37" spans="1:5">
      <c r="A37" s="4" t="s">
        <v>95</v>
      </c>
      <c r="B37" s="6">
        <v>3177</v>
      </c>
      <c r="C37" s="6">
        <v>2888</v>
      </c>
      <c r="D37" s="6">
        <v>3916</v>
      </c>
      <c r="E37" s="6"/>
    </row>
    <row r="38" spans="1:5">
      <c r="A38" s="4" t="s">
        <v>96</v>
      </c>
      <c r="B38" s="5">
        <v>2888</v>
      </c>
      <c r="C38" s="5">
        <v>3916</v>
      </c>
      <c r="D38" s="5">
        <v>3917</v>
      </c>
      <c r="E38" s="5"/>
    </row>
  </sheetData>
  <mergeCells count="2">
    <mergeCell ref="A1:A2"/>
    <mergeCell ref="B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Dashboard</vt:lpstr>
      <vt:lpstr>DCF</vt:lpstr>
      <vt:lpstr>Consolidated Financials</vt:lpstr>
      <vt:lpstr>Scenario Summary</vt:lpstr>
      <vt:lpstr>Pivot Tables</vt:lpstr>
      <vt:lpstr>Statements of Income</vt:lpstr>
      <vt:lpstr>Balance Sheets</vt:lpstr>
      <vt:lpstr>Statements of Cash Flows</vt:lpstr>
      <vt:lpstr>CashY1</vt:lpstr>
      <vt:lpstr>CashY2</vt:lpstr>
      <vt:lpstr>CashY3</vt:lpstr>
      <vt:lpstr>CashY4</vt:lpstr>
      <vt:lpstr>Date1</vt:lpstr>
      <vt:lpstr>Date2</vt:lpstr>
      <vt:lpstr>Date3</vt:lpstr>
      <vt:lpstr>Date4</vt:lpstr>
      <vt:lpstr>Target_Price</vt:lpstr>
      <vt:lpstr>TotalAssetsY1</vt:lpstr>
      <vt:lpstr>TotalAssetsY2</vt:lpstr>
      <vt:lpstr>TotalAssetsY3</vt:lpstr>
      <vt:lpstr>TotalAssetsY4</vt:lpstr>
      <vt:lpstr>TotalLiabilitiesY1</vt:lpstr>
      <vt:lpstr>TotalLiabilitiesY2</vt:lpstr>
      <vt:lpstr>TotalLiabilitiesY3</vt:lpstr>
      <vt:lpstr>TotalLiabilitiesY4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2020-11-23T13:14:51Z</dcterms:created>
  <dcterms:modified xsi:type="dcterms:W3CDTF">2020-12-28T20:46:23Z</dcterms:modified>
</cp:coreProperties>
</file>