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6127B247-CDD6-4493-AF4E-3F5CD27A2E4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Задание" sheetId="1" r:id="rId1"/>
    <sheet name="Лист 2. Шахматка" sheetId="2" r:id="rId2"/>
    <sheet name="основная_таблица" sheetId="3" r:id="rId3"/>
    <sheet name="сводная_таблица" sheetId="6" r:id="rId4"/>
    <sheet name="показатели" sheetId="7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E3" i="7"/>
  <c r="E2" i="7"/>
  <c r="D4" i="7"/>
  <c r="D3" i="7"/>
  <c r="D2" i="7"/>
  <c r="C3" i="7"/>
  <c r="C4" i="7"/>
  <c r="C2" i="7"/>
  <c r="B4" i="7"/>
  <c r="B3" i="7"/>
  <c r="B2" i="7"/>
  <c r="G144" i="3"/>
  <c r="H144" i="3"/>
  <c r="I144" i="3"/>
  <c r="F144" i="3"/>
  <c r="E146" i="3"/>
  <c r="F146" i="3"/>
  <c r="G146" i="3"/>
  <c r="H146" i="3"/>
  <c r="I146" i="3"/>
  <c r="D146" i="3"/>
  <c r="H145" i="3"/>
  <c r="E145" i="3"/>
  <c r="F145" i="3"/>
  <c r="G145" i="3"/>
  <c r="I145" i="3"/>
  <c r="D145" i="3"/>
  <c r="E144" i="3"/>
  <c r="D144" i="3"/>
  <c r="I137" i="3"/>
  <c r="I138" i="3"/>
  <c r="I139" i="3"/>
  <c r="I140" i="3"/>
  <c r="I141" i="3"/>
  <c r="I142" i="3"/>
  <c r="H142" i="3"/>
  <c r="H141" i="3"/>
  <c r="H139" i="3"/>
  <c r="H137" i="3"/>
  <c r="G137" i="3"/>
  <c r="G138" i="3"/>
  <c r="G139" i="3"/>
  <c r="G140" i="3"/>
  <c r="G141" i="3"/>
  <c r="G142" i="3"/>
  <c r="I131" i="3"/>
  <c r="I132" i="3"/>
  <c r="I133" i="3"/>
  <c r="I134" i="3"/>
  <c r="I135" i="3"/>
  <c r="I136" i="3"/>
  <c r="I130" i="3"/>
  <c r="G132" i="3"/>
  <c r="G133" i="3"/>
  <c r="G134" i="3"/>
  <c r="G135" i="3"/>
  <c r="G136" i="3"/>
  <c r="G131" i="3"/>
  <c r="G130" i="3"/>
  <c r="I123" i="3"/>
  <c r="I124" i="3"/>
  <c r="I125" i="3"/>
  <c r="I126" i="3"/>
  <c r="I127" i="3"/>
  <c r="I128" i="3"/>
  <c r="I129" i="3"/>
  <c r="G124" i="3"/>
  <c r="G125" i="3"/>
  <c r="G126" i="3"/>
  <c r="G127" i="3"/>
  <c r="G128" i="3"/>
  <c r="G129" i="3"/>
  <c r="G123" i="3"/>
  <c r="H128" i="3"/>
  <c r="I116" i="3"/>
  <c r="I117" i="3"/>
  <c r="I118" i="3"/>
  <c r="I120" i="3"/>
  <c r="I121" i="3"/>
  <c r="G116" i="3"/>
  <c r="G117" i="3"/>
  <c r="G118" i="3"/>
  <c r="G119" i="3"/>
  <c r="G120" i="3"/>
  <c r="G121" i="3"/>
  <c r="G122" i="3"/>
  <c r="H122" i="3"/>
  <c r="I122" i="3" s="1"/>
  <c r="H121" i="3"/>
  <c r="H119" i="3"/>
  <c r="I119" i="3" s="1"/>
  <c r="I110" i="3"/>
  <c r="I114" i="3"/>
  <c r="I115" i="3"/>
  <c r="I109" i="3"/>
  <c r="H113" i="3"/>
  <c r="I113" i="3" s="1"/>
  <c r="H112" i="3"/>
  <c r="I112" i="3" s="1"/>
  <c r="H111" i="3"/>
  <c r="I111" i="3" s="1"/>
  <c r="G109" i="3"/>
  <c r="G110" i="3"/>
  <c r="G111" i="3"/>
  <c r="G112" i="3"/>
  <c r="G113" i="3"/>
  <c r="G114" i="3"/>
  <c r="G115" i="3"/>
  <c r="I103" i="3"/>
  <c r="I104" i="3"/>
  <c r="I105" i="3"/>
  <c r="I106" i="3"/>
  <c r="H108" i="3"/>
  <c r="I108" i="3" s="1"/>
  <c r="H107" i="3"/>
  <c r="I107" i="3" s="1"/>
  <c r="G103" i="3"/>
  <c r="G104" i="3"/>
  <c r="G105" i="3"/>
  <c r="G106" i="3"/>
  <c r="G107" i="3"/>
  <c r="G108" i="3"/>
  <c r="H103" i="3"/>
  <c r="I100" i="3"/>
  <c r="I101" i="3"/>
  <c r="I102" i="3"/>
  <c r="G101" i="3"/>
  <c r="G102" i="3"/>
  <c r="G100" i="3"/>
  <c r="I96" i="3"/>
  <c r="I97" i="3"/>
  <c r="I98" i="3"/>
  <c r="H99" i="3"/>
  <c r="I99" i="3" s="1"/>
  <c r="H95" i="3"/>
  <c r="I95" i="3" s="1"/>
  <c r="H94" i="3"/>
  <c r="I94" i="3" s="1"/>
  <c r="G94" i="3"/>
  <c r="G95" i="3"/>
  <c r="G96" i="3"/>
  <c r="G97" i="3"/>
  <c r="G98" i="3"/>
  <c r="G99" i="3"/>
  <c r="I87" i="3"/>
  <c r="I88" i="3"/>
  <c r="I89" i="3"/>
  <c r="I90" i="3"/>
  <c r="I91" i="3"/>
  <c r="I92" i="3"/>
  <c r="I93" i="3"/>
  <c r="I86" i="3"/>
  <c r="G84" i="3"/>
  <c r="G85" i="3"/>
  <c r="G86" i="3"/>
  <c r="G87" i="3"/>
  <c r="G88" i="3"/>
  <c r="G89" i="3"/>
  <c r="G90" i="3"/>
  <c r="G91" i="3"/>
  <c r="G92" i="3"/>
  <c r="G93" i="3"/>
  <c r="H90" i="3"/>
  <c r="H84" i="3"/>
  <c r="I84" i="3" s="1"/>
  <c r="I78" i="3"/>
  <c r="I79" i="3"/>
  <c r="I80" i="3"/>
  <c r="I81" i="3"/>
  <c r="I82" i="3"/>
  <c r="I83" i="3"/>
  <c r="I85" i="3"/>
  <c r="G79" i="3"/>
  <c r="G80" i="3"/>
  <c r="G81" i="3"/>
  <c r="G82" i="3"/>
  <c r="G83" i="3"/>
  <c r="G78" i="3"/>
  <c r="I71" i="3"/>
  <c r="I72" i="3"/>
  <c r="I73" i="3"/>
  <c r="I74" i="3"/>
  <c r="I75" i="3"/>
  <c r="I77" i="3"/>
  <c r="I70" i="3"/>
  <c r="H77" i="3"/>
  <c r="H76" i="3"/>
  <c r="I76" i="3" s="1"/>
  <c r="G70" i="3"/>
  <c r="G71" i="3"/>
  <c r="G72" i="3"/>
  <c r="G73" i="3"/>
  <c r="G74" i="3"/>
  <c r="G75" i="3"/>
  <c r="G76" i="3"/>
  <c r="G77" i="3"/>
  <c r="I62" i="3"/>
  <c r="I63" i="3"/>
  <c r="I64" i="3"/>
  <c r="I65" i="3"/>
  <c r="I66" i="3"/>
  <c r="I67" i="3"/>
  <c r="I69" i="3"/>
  <c r="H68" i="3"/>
  <c r="I68" i="3" s="1"/>
  <c r="H65" i="3"/>
  <c r="G65" i="3"/>
  <c r="G66" i="3"/>
  <c r="G67" i="3"/>
  <c r="G68" i="3"/>
  <c r="G69" i="3"/>
  <c r="G64" i="3"/>
  <c r="G63" i="3"/>
  <c r="G62" i="3"/>
  <c r="H61" i="3"/>
  <c r="I61" i="3" s="1"/>
  <c r="H59" i="3"/>
  <c r="I59" i="3" s="1"/>
  <c r="I60" i="3"/>
  <c r="I58" i="3"/>
  <c r="I57" i="3"/>
  <c r="G59" i="3"/>
  <c r="G60" i="3"/>
  <c r="G61" i="3"/>
  <c r="G58" i="3"/>
  <c r="G57" i="3"/>
  <c r="H54" i="3"/>
  <c r="I54" i="3" s="1"/>
  <c r="H52" i="3"/>
  <c r="I52" i="3" s="1"/>
  <c r="I53" i="3"/>
  <c r="I55" i="3"/>
  <c r="I56" i="3"/>
  <c r="G52" i="3"/>
  <c r="G53" i="3"/>
  <c r="G54" i="3"/>
  <c r="G55" i="3"/>
  <c r="G56" i="3"/>
  <c r="I46" i="3"/>
  <c r="I47" i="3"/>
  <c r="I48" i="3"/>
  <c r="I49" i="3"/>
  <c r="I50" i="3"/>
  <c r="I51" i="3"/>
  <c r="I45" i="3"/>
  <c r="G45" i="3"/>
  <c r="G46" i="3"/>
  <c r="G47" i="3"/>
  <c r="G48" i="3"/>
  <c r="G49" i="3"/>
  <c r="G50" i="3"/>
  <c r="G51" i="3"/>
  <c r="G42" i="3"/>
  <c r="I44" i="3"/>
  <c r="G44" i="3"/>
  <c r="I43" i="3"/>
  <c r="G43" i="3"/>
  <c r="I41" i="3"/>
  <c r="G41" i="3"/>
  <c r="I40" i="3"/>
  <c r="G40" i="3"/>
  <c r="I39" i="3"/>
  <c r="G39" i="3"/>
  <c r="I38" i="3"/>
  <c r="G38" i="3"/>
  <c r="I37" i="3"/>
  <c r="G37" i="3"/>
  <c r="H42" i="3"/>
  <c r="I42" i="3" s="1"/>
  <c r="I30" i="3"/>
  <c r="I31" i="3"/>
  <c r="I32" i="3"/>
  <c r="I33" i="3"/>
  <c r="I34" i="3"/>
  <c r="I35" i="3"/>
  <c r="I36" i="3"/>
  <c r="I29" i="3"/>
  <c r="G29" i="3"/>
  <c r="G30" i="3"/>
  <c r="G31" i="3"/>
  <c r="G32" i="3"/>
  <c r="G33" i="3"/>
  <c r="G34" i="3"/>
  <c r="G35" i="3"/>
  <c r="G36" i="3"/>
  <c r="I21" i="3"/>
  <c r="I22" i="3"/>
  <c r="I23" i="3"/>
  <c r="I24" i="3"/>
  <c r="I25" i="3"/>
  <c r="I26" i="3"/>
  <c r="I27" i="3"/>
  <c r="I28" i="3"/>
  <c r="G21" i="3"/>
  <c r="G22" i="3"/>
  <c r="G23" i="3"/>
  <c r="G24" i="3"/>
  <c r="G25" i="3"/>
  <c r="G26" i="3"/>
  <c r="G27" i="3"/>
  <c r="G28" i="3"/>
  <c r="I14" i="3"/>
  <c r="I15" i="3"/>
  <c r="I17" i="3"/>
  <c r="I19" i="3"/>
  <c r="H20" i="3"/>
  <c r="I20" i="3" s="1"/>
  <c r="H19" i="3"/>
  <c r="H18" i="3"/>
  <c r="I18" i="3" s="1"/>
  <c r="H16" i="3"/>
  <c r="I16" i="3" s="1"/>
  <c r="H15" i="3"/>
  <c r="H13" i="3"/>
  <c r="I13" i="3" s="1"/>
  <c r="G13" i="3"/>
  <c r="G14" i="3"/>
  <c r="G15" i="3"/>
  <c r="G16" i="3"/>
  <c r="G17" i="3"/>
  <c r="G18" i="3"/>
  <c r="G19" i="3"/>
  <c r="G20" i="3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5" i="2"/>
  <c r="I7" i="3"/>
  <c r="I8" i="3"/>
  <c r="I11" i="3"/>
  <c r="H12" i="3"/>
  <c r="I12" i="3" s="1"/>
  <c r="H11" i="3"/>
  <c r="H10" i="3"/>
  <c r="I10" i="3" s="1"/>
  <c r="H9" i="3"/>
  <c r="I9" i="3" s="1"/>
  <c r="G10" i="3"/>
  <c r="G11" i="3"/>
  <c r="G12" i="3"/>
  <c r="G9" i="3"/>
  <c r="G8" i="3"/>
  <c r="G7" i="3"/>
  <c r="I3" i="3"/>
  <c r="I2" i="3"/>
  <c r="G3" i="3"/>
  <c r="G4" i="3"/>
  <c r="G5" i="3"/>
  <c r="G6" i="3"/>
  <c r="G2" i="3"/>
  <c r="H6" i="3"/>
  <c r="I6" i="3" s="1"/>
  <c r="H5" i="3"/>
  <c r="I5" i="3" s="1"/>
  <c r="H4" i="3"/>
  <c r="I4" i="3" s="1"/>
  <c r="H3" i="3"/>
  <c r="H2" i="3"/>
</calcChain>
</file>

<file path=xl/sharedStrings.xml><?xml version="1.0" encoding="utf-8"?>
<sst xmlns="http://schemas.openxmlformats.org/spreadsheetml/2006/main" count="854" uniqueCount="441">
  <si>
    <t>Тестовое задание для младшего аналитика</t>
  </si>
  <si>
    <t>* создайте копию данного файла и выполняйте в ней задание</t>
  </si>
  <si>
    <t>Необходимо обработать шахматку жилого комплекса и привести его в табличный вид, указанный на Листе 3.</t>
  </si>
  <si>
    <t>Шахматка содержится на Лиcте 2.</t>
  </si>
  <si>
    <t>Требования к занесению данных:</t>
  </si>
  <si>
    <t>а)</t>
  </si>
  <si>
    <t>Должны быть заполнены все столбцы и строчки</t>
  </si>
  <si>
    <t>б)</t>
  </si>
  <si>
    <t>Все данные должны быть в числовом формате с разделителями разрядов</t>
  </si>
  <si>
    <t>в)</t>
  </si>
  <si>
    <t>Площадь квартир должна быть указана с 1 десятой</t>
  </si>
  <si>
    <t>г)</t>
  </si>
  <si>
    <t>Стоимость и цены квартир не должны иметь цифр после запятой, т.е. должны быть округлены</t>
  </si>
  <si>
    <t>Заносятся все квартиры</t>
  </si>
  <si>
    <t>Пояснения:</t>
  </si>
  <si>
    <t>Цвет ячейки</t>
  </si>
  <si>
    <t>Статус квартиры</t>
  </si>
  <si>
    <t>белая</t>
  </si>
  <si>
    <t>в продаже</t>
  </si>
  <si>
    <t>оранжевая</t>
  </si>
  <si>
    <t>бронь оплачена</t>
  </si>
  <si>
    <t>чёрная</t>
  </si>
  <si>
    <t>продана</t>
  </si>
  <si>
    <t>Таблица должна быть отформатирована (т.е. выровнены данные во всех столбцах, формат в каждой ячейке соответствует значению)</t>
  </si>
  <si>
    <t>Таблица должна быть отфильтрована и иметь внизу итоги (сумма/среднее и т.д.) - параметры выбираете сами</t>
  </si>
  <si>
    <t>*</t>
  </si>
  <si>
    <t>Пояснения к квартирографии:</t>
  </si>
  <si>
    <t>Одна ячейка - это одна квартира</t>
  </si>
  <si>
    <t>4 (без)</t>
  </si>
  <si>
    <t>тип квартиры</t>
  </si>
  <si>
    <t>Внимание квартиры с приставкой Е - это европланировки, где количество комнат меньше на 1 спальню.</t>
  </si>
  <si>
    <t>Соответственно в форму заносятся типы с реальным количеством спален.</t>
  </si>
  <si>
    <t>Тип по квартирографии</t>
  </si>
  <si>
    <t>Тип для занесения в форму</t>
  </si>
  <si>
    <t>1Е</t>
  </si>
  <si>
    <t>Студия</t>
  </si>
  <si>
    <t>2Е</t>
  </si>
  <si>
    <t>3Е</t>
  </si>
  <si>
    <t>4Е</t>
  </si>
  <si>
    <t>5Е</t>
  </si>
  <si>
    <t>№ А6-1/4б</t>
  </si>
  <si>
    <t>номер квартиры</t>
  </si>
  <si>
    <t>183.4</t>
  </si>
  <si>
    <t>площадь квартиры</t>
  </si>
  <si>
    <t>цена квартиры базовая</t>
  </si>
  <si>
    <t>98,229,040</t>
  </si>
  <si>
    <t>стоимость квартиры базовая</t>
  </si>
  <si>
    <t>90,370,717</t>
  </si>
  <si>
    <t>стоимость квартиры при 100% оплате</t>
  </si>
  <si>
    <t>На новом листе составить одну или несколько таблиц, отражающих основные показатели продаж данного комплекса</t>
  </si>
  <si>
    <t>Составить краткое описание полученных резульатов</t>
  </si>
  <si>
    <t>Корпус Б</t>
  </si>
  <si>
    <t>Подъезд №1</t>
  </si>
  <si>
    <t>Подъезд №2</t>
  </si>
  <si>
    <t>1(без)</t>
  </si>
  <si>
    <t>№ Б7-1/3б</t>
  </si>
  <si>
    <t>3(без)</t>
  </si>
  <si>
    <t>№ Б7-1/3а</t>
  </si>
  <si>
    <t>4(без)</t>
  </si>
  <si>
    <t>№ Б7-2/4а</t>
  </si>
  <si>
    <t>7Е(без)</t>
  </si>
  <si>
    <t>№ Б(6-7)-2/6а</t>
  </si>
  <si>
    <t>6(без)</t>
  </si>
  <si>
    <t>№ Б(6-7)-2/6б</t>
  </si>
  <si>
    <t>111 783 000 ₽ (102 840 360 ₽)</t>
  </si>
  <si>
    <t>187 593 000 ₽ (172 585 560 ₽)</t>
  </si>
  <si>
    <t>59 670 975 ₽ (54 897 297 ₽)</t>
  </si>
  <si>
    <t>С(без)</t>
  </si>
  <si>
    <t>№ Б6-1/1а</t>
  </si>
  <si>
    <t>№ Б6-1/4а</t>
  </si>
  <si>
    <t>№ Б6-1/2а</t>
  </si>
  <si>
    <t>№ Б6-2/4а</t>
  </si>
  <si>
    <t>3Е(без)</t>
  </si>
  <si>
    <t>№ Б6-2/2б</t>
  </si>
  <si>
    <t>№ Б6-2/2в</t>
  </si>
  <si>
    <t>131 262 167 ₽ (120 761 194 ₽)</t>
  </si>
  <si>
    <t>134 580 883 ₽ (123 814 412 ₽)</t>
  </si>
  <si>
    <t>Продана</t>
  </si>
  <si>
    <t>47 275 970 ₽ (43 493 892 ₽)</t>
  </si>
  <si>
    <t>57 838 252 ₽ (53 211 192 ₽)</t>
  </si>
  <si>
    <t>45 583 474 ₽ (41 936 796 ₽)</t>
  </si>
  <si>
    <t>45 607 885 ₽ (41 959 254 ₽)</t>
  </si>
  <si>
    <t>№ Б5-1/1а</t>
  </si>
  <si>
    <t>№ Б5-1/4а</t>
  </si>
  <si>
    <t>№ Б5-1/2а</t>
  </si>
  <si>
    <t>№ Б5-2/4а</t>
  </si>
  <si>
    <t>№ Б5-2/3а</t>
  </si>
  <si>
    <t>№ Б5-2/2б</t>
  </si>
  <si>
    <t>№ Б5-2/2в</t>
  </si>
  <si>
    <t>4Е(без)</t>
  </si>
  <si>
    <t>№ Б5-2/3б</t>
  </si>
  <si>
    <t>28 898 556 ₽ (26 586 671 ₽)</t>
  </si>
  <si>
    <t>45 050 500 ₽ (41 446 460 ₽)</t>
  </si>
  <si>
    <t>55 998 915 ₽ (51 519 002 ₽)</t>
  </si>
  <si>
    <t>42 728 932 ₽ (39 310 617 ₽)</t>
  </si>
  <si>
    <t>42 706 066 ₽ (39 289 581 ₽)</t>
  </si>
  <si>
    <t>61 932 561 ₽ (56 977 956 ₽)</t>
  </si>
  <si>
    <t>№ Б4-1/1а</t>
  </si>
  <si>
    <t>№ Б4-1/4а</t>
  </si>
  <si>
    <t>№ Б4-1/2а</t>
  </si>
  <si>
    <t>№ Б4-2/4а</t>
  </si>
  <si>
    <t>№ Б4-2/3а</t>
  </si>
  <si>
    <t>№ Б4-2/2б</t>
  </si>
  <si>
    <t>№ Б4-2/2в</t>
  </si>
  <si>
    <t>№ Б4-2/3б</t>
  </si>
  <si>
    <t>№ Б3-1/1а</t>
  </si>
  <si>
    <t>№ Б3-1/4а</t>
  </si>
  <si>
    <t>№ Б3-1/2а</t>
  </si>
  <si>
    <t>№ Б3-2/4а</t>
  </si>
  <si>
    <t>№ Б3-2/3а</t>
  </si>
  <si>
    <t>№ Б3-2/2б</t>
  </si>
  <si>
    <t>№ Б3-2/2в</t>
  </si>
  <si>
    <t>№ Б3-2/3б</t>
  </si>
  <si>
    <t>№ Б2-1/1а</t>
  </si>
  <si>
    <t>№ Б2-1/4а</t>
  </si>
  <si>
    <t>№ Б2-1/2а</t>
  </si>
  <si>
    <t>№ Б2-2/4а</t>
  </si>
  <si>
    <t>№ Б2-2/3а</t>
  </si>
  <si>
    <t>№ Б2-2/2б</t>
  </si>
  <si>
    <t>№ Б2-2/2в</t>
  </si>
  <si>
    <t>№ Б2-2/3б</t>
  </si>
  <si>
    <t>35 298 900 ₽ (32 474 988 ₽)</t>
  </si>
  <si>
    <t>№ Б1-1/1а</t>
  </si>
  <si>
    <t>№ Б1-1/4а</t>
  </si>
  <si>
    <t>2(без)</t>
  </si>
  <si>
    <t>№ Б1-1/2а</t>
  </si>
  <si>
    <t>№ Б1-2/4а</t>
  </si>
  <si>
    <t>№ Б1-2/2а</t>
  </si>
  <si>
    <t>№ Б1-2/2в</t>
  </si>
  <si>
    <t>№ Б1-2/1а</t>
  </si>
  <si>
    <t>Корпус В</t>
  </si>
  <si>
    <t>№ В1-1/2а</t>
  </si>
  <si>
    <t>10(без)</t>
  </si>
  <si>
    <t>№ В(6-7)-1/10а</t>
  </si>
  <si>
    <t>№ В7-2/4а</t>
  </si>
  <si>
    <t>№ В(6-7)-2/6а</t>
  </si>
  <si>
    <t>№ В(6-7)-2/6б</t>
  </si>
  <si>
    <t>Sобщ.</t>
  </si>
  <si>
    <t>$ m2</t>
  </si>
  <si>
    <t>48 478 500 ₽ (44 600 220 ₽)</t>
  </si>
  <si>
    <t>58 742 880 ₽ (54 043 450 ₽)</t>
  </si>
  <si>
    <t>№ В6-1/2а</t>
  </si>
  <si>
    <t>№ В6-1/1а</t>
  </si>
  <si>
    <t>№ В6-2/4а</t>
  </si>
  <si>
    <t>№ В6-2/2б</t>
  </si>
  <si>
    <t>№ В6-2/2в</t>
  </si>
  <si>
    <t>56 920 185 ₽ (52 366 570 ₽)</t>
  </si>
  <si>
    <t>45 603 816 ₽ (40 131 359 ₽)</t>
  </si>
  <si>
    <t>№ В5-1/2а</t>
  </si>
  <si>
    <t>№ В5-1/4а</t>
  </si>
  <si>
    <t>№ В5-1/1а</t>
  </si>
  <si>
    <t>5Е(без)</t>
  </si>
  <si>
    <t>№ В5-2/4а</t>
  </si>
  <si>
    <t>№ В5-2/3а</t>
  </si>
  <si>
    <t>№ В5-2/2б</t>
  </si>
  <si>
    <t>№ В5-2/2в</t>
  </si>
  <si>
    <t>№ В5-2/3б</t>
  </si>
  <si>
    <t>55 096 650 ₽ (50 688 918 ₽)</t>
  </si>
  <si>
    <t>42 713 688 ₽ (39 296 593 ₽)</t>
  </si>
  <si>
    <t>42 725 121 ₽ (37 598 106 ₽)</t>
  </si>
  <si>
    <t>60 168 068 ₽ (55 354 623 ₽)</t>
  </si>
  <si>
    <t>№ В4-1/2а</t>
  </si>
  <si>
    <t>№ В4-1/4а</t>
  </si>
  <si>
    <t>№ В4-1/1а</t>
  </si>
  <si>
    <t>№ В4-2/4а</t>
  </si>
  <si>
    <t>№ В4-2/3а</t>
  </si>
  <si>
    <t>№ В4-2/2б</t>
  </si>
  <si>
    <t>№ В4-2/2в</t>
  </si>
  <si>
    <t>№ В4-2/3б</t>
  </si>
  <si>
    <t>40 611 848 ₽ (35 738 426 ₽)</t>
  </si>
  <si>
    <t>57 192 030 ₽ (52 616 668 ₽)</t>
  </si>
  <si>
    <t>№ В3-1/2а</t>
  </si>
  <si>
    <t>№ В3-1/4а</t>
  </si>
  <si>
    <t>№ В3-1/1а</t>
  </si>
  <si>
    <t>№ В3-2/4а</t>
  </si>
  <si>
    <t>№ В3-2/3а</t>
  </si>
  <si>
    <t>№ В3-2/2б</t>
  </si>
  <si>
    <t>№ В3-2/2в</t>
  </si>
  <si>
    <t>№ В3-2/3б</t>
  </si>
  <si>
    <t>38 260 950 ₽ (33 669 636 ₽)</t>
  </si>
  <si>
    <t>№ В2-1/2а</t>
  </si>
  <si>
    <t>№ В2-1/4а</t>
  </si>
  <si>
    <t>№ В2-1/1а</t>
  </si>
  <si>
    <t>№ В2-2/4а</t>
  </si>
  <si>
    <t>№ В2-2/3а</t>
  </si>
  <si>
    <t>№ В2-2/2б</t>
  </si>
  <si>
    <t>№ В2-2/2в</t>
  </si>
  <si>
    <t>№ В2-2/3б</t>
  </si>
  <si>
    <t>55 198 500 ₽ (50 782 620 ₽)</t>
  </si>
  <si>
    <t>35 317 800 ₽ (31 079 664 ₽)</t>
  </si>
  <si>
    <t>№ В1-1/4а</t>
  </si>
  <si>
    <t>№ В1-1/1а</t>
  </si>
  <si>
    <t>№ В1-2/4а</t>
  </si>
  <si>
    <t>№ В1-2/1а</t>
  </si>
  <si>
    <t>№ В1-2/2б</t>
  </si>
  <si>
    <t>№ В1-2/2а</t>
  </si>
  <si>
    <t>114 885 000 ₽ (105 694 200 ₽)</t>
  </si>
  <si>
    <t>29 311 800 ₽ (26 966 856 ₽)</t>
  </si>
  <si>
    <t>43 826 528 ₽ (38 567 344 ₽)</t>
  </si>
  <si>
    <t>Корпус Г</t>
  </si>
  <si>
    <t>К.Комн</t>
  </si>
  <si>
    <t>№ Г7-1/8а</t>
  </si>
  <si>
    <t>6Е(без)</t>
  </si>
  <si>
    <t>№ Г7-2/5б</t>
  </si>
  <si>
    <t>№ Г(6-7)-2/5а</t>
  </si>
  <si>
    <t>$ квартиры</t>
  </si>
  <si>
    <t>№ Г6-1/1а</t>
  </si>
  <si>
    <t>№ Г6-1/4а</t>
  </si>
  <si>
    <t>№ Г6-1/2а</t>
  </si>
  <si>
    <t>№ Г6-2/3г</t>
  </si>
  <si>
    <t>№ Г6-2/3б</t>
  </si>
  <si>
    <t>№ Г6-2/3в</t>
  </si>
  <si>
    <t>29 717 251 ₽ (27 339 871 ₽)</t>
  </si>
  <si>
    <t>62 243 415 ₽ (57 263 942 ₽)</t>
  </si>
  <si>
    <t>55 627 416 ₽ (51 177 223 ₽)</t>
  </si>
  <si>
    <t>№ Г5-1/1а</t>
  </si>
  <si>
    <t>№ Г5-1/4а</t>
  </si>
  <si>
    <t>№ Г5-1/2а</t>
  </si>
  <si>
    <t>№ Г5-2/3г</t>
  </si>
  <si>
    <t>№ Г5-2/3а</t>
  </si>
  <si>
    <t>№ Г5-2/3б</t>
  </si>
  <si>
    <t>№ Г5-2/3в</t>
  </si>
  <si>
    <t>48 154 869 ₽ (44 302 479 ₽)</t>
  </si>
  <si>
    <t>68 948 612 ₽ (63 432 723 ₽)</t>
  </si>
  <si>
    <t>65 165 164 ₽ (59 951 951 ₽)</t>
  </si>
  <si>
    <t>№ Г4-1/1а</t>
  </si>
  <si>
    <t>№ Г4-1/4а</t>
  </si>
  <si>
    <t>№ Г4-1/2а</t>
  </si>
  <si>
    <t>№ Г4-2/3г</t>
  </si>
  <si>
    <t>№ Г4-2/3а</t>
  </si>
  <si>
    <t>№ Г4-2/3б</t>
  </si>
  <si>
    <t>№ Г4-2/3в</t>
  </si>
  <si>
    <t>65 131 200 ₽ (59 920 704 ₽)</t>
  </si>
  <si>
    <t>54 865 965 ₽ (50 476 688 ₽)</t>
  </si>
  <si>
    <t>48 734 962 ₽ (44 836 166 ₽)</t>
  </si>
  <si>
    <t>№ Г3-1/1а</t>
  </si>
  <si>
    <t>№ Г3-1/4а</t>
  </si>
  <si>
    <t>№ Г3-1/2а</t>
  </si>
  <si>
    <t>№ Г3-2/3г</t>
  </si>
  <si>
    <t>№ Г3-2/3а</t>
  </si>
  <si>
    <t>№ Г3-2/3б</t>
  </si>
  <si>
    <t>№ Г3-2/3в</t>
  </si>
  <si>
    <t>51 590 385 ₽ (47 463 154 ₽)</t>
  </si>
  <si>
    <t>№ Г2-1/1а</t>
  </si>
  <si>
    <t>№ Г2-1/4а</t>
  </si>
  <si>
    <t>№ Г2-1/2а</t>
  </si>
  <si>
    <t>№ Г2-2/3г</t>
  </si>
  <si>
    <t>№ Г2-2/3а</t>
  </si>
  <si>
    <t>№ Г2-2/3б</t>
  </si>
  <si>
    <t>№ Г2-2/3в</t>
  </si>
  <si>
    <t>№ Г1-1/1а</t>
  </si>
  <si>
    <t>№ Г1-1/4а</t>
  </si>
  <si>
    <t>№ Г1-1/2а</t>
  </si>
  <si>
    <t>№ Г1-2/3г</t>
  </si>
  <si>
    <t>№ Г1-2/3б</t>
  </si>
  <si>
    <t>№ Г1-2/3в</t>
  </si>
  <si>
    <t>23 672 512 ₽ (21 778 712 ₽)</t>
  </si>
  <si>
    <t>46 478 250 ₽ (42 759 990 ₽)</t>
  </si>
  <si>
    <t>51 889 950 ₽ (47 738 754 ₽)</t>
  </si>
  <si>
    <t>42 605 640 ₽ (39 197 189 ₽)</t>
  </si>
  <si>
    <t>Корпус</t>
  </si>
  <si>
    <t>Этаж</t>
  </si>
  <si>
    <t>Тип квартиры (кол-во спален)</t>
  </si>
  <si>
    <t>Площадь квартиры, м²</t>
  </si>
  <si>
    <t>Цена базовая, руб./м²</t>
  </si>
  <si>
    <t>Цена 100%, руб./м²</t>
  </si>
  <si>
    <t>Стоимость базовая, тыс. руб.</t>
  </si>
  <si>
    <t xml:space="preserve"> Б7-1/3б</t>
  </si>
  <si>
    <t xml:space="preserve"> Б7-1/3а</t>
  </si>
  <si>
    <t xml:space="preserve"> Б7-2/4а</t>
  </si>
  <si>
    <t xml:space="preserve"> Б(6-7)-2/6а</t>
  </si>
  <si>
    <t xml:space="preserve"> Б(6-7)-2/6б</t>
  </si>
  <si>
    <t>Тип квартиры</t>
  </si>
  <si>
    <t>Описание</t>
  </si>
  <si>
    <t>Вспомогательная записка по типу квартиры</t>
  </si>
  <si>
    <t>1 Спальни</t>
  </si>
  <si>
    <t xml:space="preserve">2 Спальни </t>
  </si>
  <si>
    <t>n</t>
  </si>
  <si>
    <t>n Спален</t>
  </si>
  <si>
    <t>Вспомогательная записка по статусы квартиры</t>
  </si>
  <si>
    <t>В продаже</t>
  </si>
  <si>
    <t>Бронь оплачена</t>
  </si>
  <si>
    <t xml:space="preserve"> Б6-1/1а</t>
  </si>
  <si>
    <t xml:space="preserve"> Б6-1/4а</t>
  </si>
  <si>
    <t xml:space="preserve"> Б6-1/2а</t>
  </si>
  <si>
    <t xml:space="preserve"> Б6-2/4а</t>
  </si>
  <si>
    <t xml:space="preserve"> Б6-2/2б</t>
  </si>
  <si>
    <t xml:space="preserve"> Б6-2/2в</t>
  </si>
  <si>
    <t>Чётный столбец</t>
  </si>
  <si>
    <t xml:space="preserve"> № квартиры</t>
  </si>
  <si>
    <t>Номер столбца</t>
  </si>
  <si>
    <t xml:space="preserve"> Б5-1/2а</t>
  </si>
  <si>
    <t xml:space="preserve"> Б5-2/4а</t>
  </si>
  <si>
    <t xml:space="preserve"> Б5-2/3а</t>
  </si>
  <si>
    <t xml:space="preserve"> Б5-2/2б</t>
  </si>
  <si>
    <t xml:space="preserve"> Б5-2/2в</t>
  </si>
  <si>
    <t xml:space="preserve"> Б5-2/3б</t>
  </si>
  <si>
    <t xml:space="preserve"> Б5-1/4а</t>
  </si>
  <si>
    <t xml:space="preserve"> Б4-1/1а</t>
  </si>
  <si>
    <t xml:space="preserve"> Б4-1/4а</t>
  </si>
  <si>
    <t xml:space="preserve"> Б4-1/2а</t>
  </si>
  <si>
    <t xml:space="preserve"> Б4-2/4а</t>
  </si>
  <si>
    <t xml:space="preserve"> Б4-2/3а</t>
  </si>
  <si>
    <t xml:space="preserve"> Б4-2/2б</t>
  </si>
  <si>
    <t xml:space="preserve"> Б4-2/2в</t>
  </si>
  <si>
    <t xml:space="preserve"> Б4-2/3б</t>
  </si>
  <si>
    <t xml:space="preserve"> Б3-1/1а</t>
  </si>
  <si>
    <t xml:space="preserve"> Б3-1/4а</t>
  </si>
  <si>
    <t xml:space="preserve"> Б3-1/2а</t>
  </si>
  <si>
    <t xml:space="preserve"> Б3-2/4а</t>
  </si>
  <si>
    <t xml:space="preserve"> Б3-2/3а</t>
  </si>
  <si>
    <t xml:space="preserve"> Б3-2/2б</t>
  </si>
  <si>
    <t xml:space="preserve"> Б3-2/2в</t>
  </si>
  <si>
    <t xml:space="preserve"> Б3-2/3б</t>
  </si>
  <si>
    <t>Б5-1/1а</t>
  </si>
  <si>
    <t>Стоимость 100%, млн. руб.</t>
  </si>
  <si>
    <t>Б2-2/2б</t>
  </si>
  <si>
    <t>Б2-2/2в</t>
  </si>
  <si>
    <t>Б2-2/3б</t>
  </si>
  <si>
    <t>Б1-1/1а</t>
  </si>
  <si>
    <t>Б1-1/4а</t>
  </si>
  <si>
    <t>Б1-1/2а</t>
  </si>
  <si>
    <t>Б1-2/4а</t>
  </si>
  <si>
    <t>Б1-2/2а</t>
  </si>
  <si>
    <t>Б1-2/2в</t>
  </si>
  <si>
    <t>Б1-2/1а</t>
  </si>
  <si>
    <t>В1-1/2а</t>
  </si>
  <si>
    <t>В(6-7)-1/10а</t>
  </si>
  <si>
    <t>В7-2/4а</t>
  </si>
  <si>
    <t>В(6-7)-2/6а</t>
  </si>
  <si>
    <t>В(6-7)-2/6б</t>
  </si>
  <si>
    <t>В6-1/2а</t>
  </si>
  <si>
    <t>В6-1/1а</t>
  </si>
  <si>
    <t>В6-2/4а</t>
  </si>
  <si>
    <t>В6-2/2б</t>
  </si>
  <si>
    <t>В6-2/2в</t>
  </si>
  <si>
    <t>В5-1/2а</t>
  </si>
  <si>
    <t>В5-1/4а</t>
  </si>
  <si>
    <t>В5-1/1а</t>
  </si>
  <si>
    <t>В5-2/4а</t>
  </si>
  <si>
    <t>В5-2/3а</t>
  </si>
  <si>
    <t>В5-2/2б</t>
  </si>
  <si>
    <t>В5-2/2в</t>
  </si>
  <si>
    <t>В5-2/3б</t>
  </si>
  <si>
    <t>В4-1/2а</t>
  </si>
  <si>
    <t>В4-1/4а</t>
  </si>
  <si>
    <t>В4-1/1а</t>
  </si>
  <si>
    <t>В4-2/4а</t>
  </si>
  <si>
    <t>В4-2/3а</t>
  </si>
  <si>
    <t>В4-2/2б</t>
  </si>
  <si>
    <t>В4-2/2в</t>
  </si>
  <si>
    <t>В4-2/3б</t>
  </si>
  <si>
    <t>В3-1/2а</t>
  </si>
  <si>
    <t>В3-1/4а</t>
  </si>
  <si>
    <t>В3-1/1а</t>
  </si>
  <si>
    <t>В3-2/4а</t>
  </si>
  <si>
    <t>В3-2/3а</t>
  </si>
  <si>
    <t>В3-2/2б</t>
  </si>
  <si>
    <t>В3-2/2в</t>
  </si>
  <si>
    <t>В3-2/3б</t>
  </si>
  <si>
    <t>В2-1/2а</t>
  </si>
  <si>
    <t>В2-1/4а</t>
  </si>
  <si>
    <t>В2-1/1а</t>
  </si>
  <si>
    <t>В2-2/4а</t>
  </si>
  <si>
    <t>В2-2/3а</t>
  </si>
  <si>
    <t>В2-2/2б</t>
  </si>
  <si>
    <t>В2-2/2в</t>
  </si>
  <si>
    <t>В2-2/3б</t>
  </si>
  <si>
    <t>В1-1/4а</t>
  </si>
  <si>
    <t>В1-1/1а</t>
  </si>
  <si>
    <t>В1-2/4а</t>
  </si>
  <si>
    <t>В1-2/1а</t>
  </si>
  <si>
    <t>В1-2/2б</t>
  </si>
  <si>
    <t>В1-2/2а</t>
  </si>
  <si>
    <t>Г7-1/8а</t>
  </si>
  <si>
    <t>Г7-2/5б</t>
  </si>
  <si>
    <t>Г(6-7)-2/5а</t>
  </si>
  <si>
    <t>Г6-1/1а</t>
  </si>
  <si>
    <t>Г6-1/4а</t>
  </si>
  <si>
    <t>Г6-1/2а</t>
  </si>
  <si>
    <t>Г6-2/3г</t>
  </si>
  <si>
    <t>Г6-2/3б</t>
  </si>
  <si>
    <t>Г6-2/3в</t>
  </si>
  <si>
    <t>Г5-1/1а</t>
  </si>
  <si>
    <t>Г5-1/4а</t>
  </si>
  <si>
    <t>Г5-1/2а</t>
  </si>
  <si>
    <t>Г5-2/3г</t>
  </si>
  <si>
    <t>Г5-2/3а</t>
  </si>
  <si>
    <t>Г5-2/3б</t>
  </si>
  <si>
    <t>Г5-2/3в</t>
  </si>
  <si>
    <t>Г4-1/1а</t>
  </si>
  <si>
    <t>Г4-1/4а</t>
  </si>
  <si>
    <t>Г4-1/2а</t>
  </si>
  <si>
    <t>Г4-2/3г</t>
  </si>
  <si>
    <t>Г4-2/3а</t>
  </si>
  <si>
    <t>Г4-2/3б</t>
  </si>
  <si>
    <t>Г4-2/3в</t>
  </si>
  <si>
    <t>Г3-1/1а</t>
  </si>
  <si>
    <t>Г3-1/4а</t>
  </si>
  <si>
    <t>Г3-1/2а</t>
  </si>
  <si>
    <t>Г3-2/3г</t>
  </si>
  <si>
    <t>Г3-2/3а</t>
  </si>
  <si>
    <t>Г3-2/3б</t>
  </si>
  <si>
    <t>Г3-2/3в</t>
  </si>
  <si>
    <t>Г2-1/1а</t>
  </si>
  <si>
    <t>Г2-1/4а</t>
  </si>
  <si>
    <t>Г2-1/2а</t>
  </si>
  <si>
    <t>Г2-2/3г</t>
  </si>
  <si>
    <t>Г2-2/3а</t>
  </si>
  <si>
    <t>Г2-2/3б</t>
  </si>
  <si>
    <t>Г2-2/3в</t>
  </si>
  <si>
    <t>Г1-1/1а</t>
  </si>
  <si>
    <t>Г1-1/4а</t>
  </si>
  <si>
    <t>Г1-1/2а</t>
  </si>
  <si>
    <t>Г1-2/3г</t>
  </si>
  <si>
    <t>Г1-2/3б</t>
  </si>
  <si>
    <t>Г1-2/3в</t>
  </si>
  <si>
    <t>Среднее:</t>
  </si>
  <si>
    <t>Минимальное:</t>
  </si>
  <si>
    <t>Максимальное:</t>
  </si>
  <si>
    <t>(Все)</t>
  </si>
  <si>
    <t>Общий итог</t>
  </si>
  <si>
    <t>Количество квартир</t>
  </si>
  <si>
    <t>Средняя площадь квартиры</t>
  </si>
  <si>
    <t>Выберите этаж:</t>
  </si>
  <si>
    <t>Выберите количество спален:</t>
  </si>
  <si>
    <t>Выберите корпус:</t>
  </si>
  <si>
    <t>Средняя базовая стоимость тыс. руб.</t>
  </si>
  <si>
    <t>Средняя 100% стоимость, млн. руб.</t>
  </si>
  <si>
    <t>Средняя цена за м², руб</t>
  </si>
  <si>
    <t>НАГЛЯДНАЯ АНАЛИТИКА</t>
  </si>
  <si>
    <t>ДОПОЛНИТЕЛЬНАЯ ТАБЛИЦА</t>
  </si>
  <si>
    <t>P.S Можно выбирать разные значения в двух таблицах для сравнительного анализа.</t>
  </si>
  <si>
    <t>Б</t>
  </si>
  <si>
    <t>В</t>
  </si>
  <si>
    <t>Г</t>
  </si>
  <si>
    <t>Среднее количество спален</t>
  </si>
  <si>
    <r>
      <t>Средняя базовая цена за м</t>
    </r>
    <r>
      <rPr>
        <b/>
        <vertAlign val="superscript"/>
        <sz val="12"/>
        <color theme="4"/>
        <rFont val="Arial"/>
        <family val="2"/>
        <charset val="204"/>
        <scheme val="minor"/>
      </rPr>
      <t xml:space="preserve">2 </t>
    </r>
    <r>
      <rPr>
        <b/>
        <sz val="12"/>
        <color theme="4"/>
        <rFont val="Arial"/>
        <family val="2"/>
        <charset val="204"/>
        <scheme val="minor"/>
      </rPr>
      <t>,руб</t>
    </r>
  </si>
  <si>
    <t>Можно отметить, что во всех корпусах примерно одинаковая планировка квартир, однако средняя базовая цена за метр квадратный отличается в среднем на 300 руб между корпусами; очень важно заметить, что средняя 100% стоимость в корпусе Г намного меньше, чем в других корпусах, возможно это связано с расположением самого дома и другими признаками; поэтому если смотреть со стороны потребителя, то корпус Г будет самый привлекательный для него.</t>
  </si>
  <si>
    <r>
      <t>Средняя площадь квартиры, м</t>
    </r>
    <r>
      <rPr>
        <b/>
        <vertAlign val="superscript"/>
        <sz val="12"/>
        <color theme="4"/>
        <rFont val="Arial"/>
        <family val="2"/>
        <charset val="204"/>
        <scheme val="minor"/>
      </rPr>
      <t>2</t>
    </r>
  </si>
  <si>
    <t>В ходе проделанной работы, была полностью переделана таблица для корпусов, в более правильный для хранения таблиц вид. Также был проведён краткий анализ по корпусам и составлена свободная таблица, с помощью которой можно проводить быстрый сравнительный анализ. Были выведены основные метрики для корпусов, а также были сделаны соответствующие выводы.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</si>
</sst>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3" x14ac:knownFonts="1">
    <font>
      <sz val="10"/>
      <color rgb="FF000000"/>
      <name val="Arial"/>
      <scheme val="minor"/>
    </font>
    <font>
      <b/>
      <sz val="18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2"/>
      <color rgb="FF000000"/>
      <name val="Arial"/>
    </font>
    <font>
      <sz val="10"/>
      <name val="Arial"/>
    </font>
    <font>
      <sz val="10"/>
      <color rgb="FF000000"/>
      <name val="Arial"/>
      <scheme val="minor"/>
    </font>
    <font>
      <sz val="8"/>
      <color rgb="FF000000"/>
      <name val="Arial"/>
    </font>
    <font>
      <u/>
      <sz val="10"/>
      <color rgb="FF000000"/>
      <name val="Arial"/>
    </font>
    <font>
      <b/>
      <sz val="8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Cambria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sz val="10"/>
      <color rgb="FF1F497D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111111"/>
      <name val="Montserrat"/>
    </font>
    <font>
      <b/>
      <sz val="10"/>
      <color rgb="FF000000"/>
      <name val="Cambria"/>
      <family val="1"/>
      <charset val="204"/>
    </font>
    <font>
      <b/>
      <sz val="10"/>
      <color rgb="FF1F497D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ajor"/>
    </font>
    <font>
      <sz val="26"/>
      <color rgb="FF000000"/>
      <name val="Arial Black"/>
      <family val="2"/>
      <charset val="204"/>
    </font>
    <font>
      <sz val="14"/>
      <color rgb="FF000000"/>
      <name val="Arial"/>
      <family val="2"/>
      <charset val="204"/>
      <scheme val="minor"/>
    </font>
    <font>
      <sz val="14"/>
      <color rgb="FF000000"/>
      <name val="Arial Black"/>
      <family val="2"/>
      <charset val="204"/>
    </font>
    <font>
      <sz val="14"/>
      <color rgb="FF000000"/>
      <name val="Arial"/>
      <scheme val="minor"/>
    </font>
    <font>
      <b/>
      <sz val="14"/>
      <color rgb="FF000000"/>
      <name val="Arial"/>
      <scheme val="minor"/>
    </font>
    <font>
      <sz val="16"/>
      <color rgb="FF000000"/>
      <name val="Arial"/>
      <scheme val="minor"/>
    </font>
    <font>
      <b/>
      <sz val="12"/>
      <color rgb="FF000000"/>
      <name val="Arial"/>
      <family val="2"/>
      <charset val="204"/>
      <scheme val="minor"/>
    </font>
    <font>
      <sz val="12"/>
      <color rgb="FF000000"/>
      <name val="Arial"/>
      <family val="2"/>
      <charset val="204"/>
      <scheme val="minor"/>
    </font>
    <font>
      <b/>
      <sz val="12"/>
      <color theme="4"/>
      <name val="Arial"/>
      <family val="2"/>
      <charset val="204"/>
      <scheme val="minor"/>
    </font>
    <font>
      <b/>
      <vertAlign val="superscript"/>
      <sz val="12"/>
      <color theme="4"/>
      <name val="Arial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CCCCCC"/>
        <bgColor rgb="FFCCCCCC"/>
      </patternFill>
    </fill>
    <fill>
      <patternFill patternType="solid">
        <fgColor rgb="FF333333"/>
        <bgColor rgb="FF333333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theme="5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8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/>
    <xf numFmtId="0" fontId="5" fillId="0" borderId="2" xfId="0" applyFont="1" applyBorder="1" applyAlignment="1">
      <alignment horizontal="left"/>
    </xf>
    <xf numFmtId="0" fontId="5" fillId="3" borderId="3" xfId="0" applyFont="1" applyFill="1" applyBorder="1" applyAlignment="1"/>
    <xf numFmtId="0" fontId="5" fillId="0" borderId="4" xfId="0" applyFont="1" applyBorder="1" applyAlignment="1">
      <alignment horizontal="left"/>
    </xf>
    <xf numFmtId="0" fontId="5" fillId="4" borderId="3" xfId="0" applyFont="1" applyFill="1" applyBorder="1" applyAlignment="1"/>
    <xf numFmtId="0" fontId="6" fillId="5" borderId="3" xfId="0" applyFont="1" applyFill="1" applyBorder="1" applyAlignment="1"/>
    <xf numFmtId="0" fontId="5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9" fillId="0" borderId="0" xfId="0" applyFont="1"/>
    <xf numFmtId="0" fontId="2" fillId="7" borderId="3" xfId="0" applyFont="1" applyFill="1" applyBorder="1" applyAlignment="1"/>
    <xf numFmtId="0" fontId="2" fillId="7" borderId="4" xfId="0" applyFont="1" applyFill="1" applyBorder="1" applyAlignment="1"/>
    <xf numFmtId="0" fontId="10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2" fillId="7" borderId="0" xfId="0" applyFont="1" applyFill="1" applyAlignment="1"/>
    <xf numFmtId="0" fontId="2" fillId="7" borderId="8" xfId="0" applyFont="1" applyFill="1" applyBorder="1" applyAlignment="1"/>
    <xf numFmtId="0" fontId="11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7" borderId="5" xfId="0" applyFont="1" applyFill="1" applyBorder="1" applyAlignment="1"/>
    <xf numFmtId="0" fontId="10" fillId="8" borderId="0" xfId="0" applyFont="1" applyFill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4" fillId="8" borderId="0" xfId="0" applyFont="1" applyFill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8" fillId="10" borderId="0" xfId="0" applyFont="1" applyFill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right"/>
    </xf>
    <xf numFmtId="0" fontId="2" fillId="8" borderId="8" xfId="0" applyFont="1" applyFill="1" applyBorder="1" applyAlignment="1"/>
    <xf numFmtId="0" fontId="10" fillId="9" borderId="8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0" fillId="8" borderId="0" xfId="0" applyFont="1" applyFill="1" applyAlignment="1"/>
    <xf numFmtId="0" fontId="21" fillId="8" borderId="0" xfId="0" applyFont="1" applyFill="1" applyAlignment="1"/>
    <xf numFmtId="0" fontId="12" fillId="8" borderId="5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Font="1" applyBorder="1" applyAlignment="1"/>
    <xf numFmtId="0" fontId="8" fillId="11" borderId="14" xfId="0" applyFont="1" applyFill="1" applyBorder="1" applyAlignment="1"/>
    <xf numFmtId="0" fontId="24" fillId="8" borderId="0" xfId="0" applyFont="1" applyFill="1" applyAlignment="1">
      <alignment horizontal="center"/>
    </xf>
    <xf numFmtId="0" fontId="25" fillId="0" borderId="0" xfId="0" applyFont="1" applyAlignment="1"/>
    <xf numFmtId="0" fontId="2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5" fillId="0" borderId="14" xfId="0" applyFont="1" applyBorder="1" applyAlignment="1">
      <alignment horizontal="right"/>
    </xf>
    <xf numFmtId="0" fontId="25" fillId="0" borderId="27" xfId="0" applyFont="1" applyBorder="1" applyAlignment="1">
      <alignment horizontal="right"/>
    </xf>
    <xf numFmtId="0" fontId="25" fillId="0" borderId="28" xfId="0" applyFont="1" applyBorder="1" applyAlignment="1">
      <alignment horizontal="right"/>
    </xf>
    <xf numFmtId="0" fontId="25" fillId="0" borderId="29" xfId="0" applyFont="1" applyBorder="1" applyAlignment="1">
      <alignment horizontal="right"/>
    </xf>
    <xf numFmtId="0" fontId="25" fillId="0" borderId="30" xfId="0" applyFont="1" applyBorder="1" applyAlignment="1">
      <alignment horizontal="right"/>
    </xf>
    <xf numFmtId="0" fontId="26" fillId="0" borderId="27" xfId="0" applyFont="1" applyBorder="1" applyAlignment="1">
      <alignment horizontal="right"/>
    </xf>
    <xf numFmtId="0" fontId="26" fillId="0" borderId="28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0" fontId="25" fillId="0" borderId="14" xfId="0" applyFont="1" applyBorder="1" applyAlignment="1"/>
    <xf numFmtId="3" fontId="27" fillId="0" borderId="14" xfId="0" applyNumberFormat="1" applyFont="1" applyBorder="1" applyAlignment="1">
      <alignment horizontal="right"/>
    </xf>
    <xf numFmtId="3" fontId="25" fillId="0" borderId="14" xfId="0" applyNumberFormat="1" applyFont="1" applyBorder="1" applyAlignment="1">
      <alignment horizontal="right"/>
    </xf>
    <xf numFmtId="164" fontId="28" fillId="0" borderId="14" xfId="0" applyNumberFormat="1" applyFont="1" applyBorder="1" applyAlignment="1">
      <alignment horizontal="right"/>
    </xf>
    <xf numFmtId="164" fontId="28" fillId="12" borderId="14" xfId="0" applyNumberFormat="1" applyFont="1" applyFill="1" applyBorder="1" applyAlignment="1">
      <alignment horizontal="right"/>
    </xf>
    <xf numFmtId="3" fontId="25" fillId="0" borderId="14" xfId="0" applyNumberFormat="1" applyFont="1" applyFill="1" applyBorder="1" applyAlignment="1">
      <alignment horizontal="right"/>
    </xf>
    <xf numFmtId="164" fontId="28" fillId="11" borderId="14" xfId="0" applyNumberFormat="1" applyFont="1" applyFill="1" applyBorder="1" applyAlignment="1">
      <alignment horizontal="right"/>
    </xf>
    <xf numFmtId="0" fontId="25" fillId="0" borderId="14" xfId="0" applyFont="1" applyFill="1" applyBorder="1" applyAlignment="1">
      <alignment horizontal="right"/>
    </xf>
    <xf numFmtId="0" fontId="29" fillId="0" borderId="0" xfId="0" applyFont="1" applyAlignment="1"/>
    <xf numFmtId="0" fontId="22" fillId="0" borderId="17" xfId="0" applyFont="1" applyBorder="1" applyAlignment="1">
      <alignment horizontal="center" vertical="center" wrapText="1"/>
    </xf>
    <xf numFmtId="0" fontId="30" fillId="0" borderId="0" xfId="0" applyFont="1" applyAlignment="1"/>
    <xf numFmtId="0" fontId="0" fillId="11" borderId="0" xfId="0" applyFont="1" applyFill="1" applyAlignment="1"/>
    <xf numFmtId="0" fontId="25" fillId="11" borderId="14" xfId="0" applyFont="1" applyFill="1" applyBorder="1" applyAlignment="1">
      <alignment horizontal="right"/>
    </xf>
    <xf numFmtId="3" fontId="25" fillId="11" borderId="14" xfId="0" applyNumberFormat="1" applyFont="1" applyFill="1" applyBorder="1" applyAlignment="1">
      <alignment horizontal="right"/>
    </xf>
    <xf numFmtId="0" fontId="28" fillId="12" borderId="14" xfId="0" applyFont="1" applyFill="1" applyBorder="1" applyAlignment="1">
      <alignment horizontal="right"/>
    </xf>
    <xf numFmtId="0" fontId="28" fillId="11" borderId="14" xfId="0" applyFont="1" applyFill="1" applyBorder="1" applyAlignment="1">
      <alignment horizontal="right"/>
    </xf>
    <xf numFmtId="3" fontId="28" fillId="11" borderId="14" xfId="0" applyNumberFormat="1" applyFont="1" applyFill="1" applyBorder="1" applyAlignment="1">
      <alignment horizontal="right"/>
    </xf>
    <xf numFmtId="3" fontId="28" fillId="12" borderId="14" xfId="0" applyNumberFormat="1" applyFont="1" applyFill="1" applyBorder="1" applyAlignment="1">
      <alignment horizontal="right"/>
    </xf>
    <xf numFmtId="0" fontId="25" fillId="0" borderId="14" xfId="0" applyFont="1" applyBorder="1" applyAlignment="1">
      <alignment horizontal="center"/>
    </xf>
    <xf numFmtId="0" fontId="25" fillId="11" borderId="14" xfId="0" applyFont="1" applyFill="1" applyBorder="1" applyAlignment="1">
      <alignment horizontal="center"/>
    </xf>
    <xf numFmtId="164" fontId="22" fillId="0" borderId="17" xfId="0" applyNumberFormat="1" applyFont="1" applyBorder="1" applyAlignment="1">
      <alignment horizontal="center" vertical="center" wrapText="1"/>
    </xf>
    <xf numFmtId="0" fontId="25" fillId="11" borderId="0" xfId="0" applyFont="1" applyFill="1" applyBorder="1" applyAlignment="1">
      <alignment horizontal="right"/>
    </xf>
    <xf numFmtId="0" fontId="25" fillId="14" borderId="27" xfId="0" applyFont="1" applyFill="1" applyBorder="1" applyAlignment="1">
      <alignment horizontal="right"/>
    </xf>
    <xf numFmtId="0" fontId="25" fillId="15" borderId="27" xfId="0" applyFont="1" applyFill="1" applyBorder="1" applyAlignment="1">
      <alignment horizontal="right"/>
    </xf>
    <xf numFmtId="0" fontId="0" fillId="16" borderId="29" xfId="0" applyFont="1" applyFill="1" applyBorder="1" applyAlignment="1">
      <alignment horizontal="right"/>
    </xf>
    <xf numFmtId="0" fontId="25" fillId="15" borderId="14" xfId="0" applyFont="1" applyFill="1" applyBorder="1" applyAlignment="1"/>
    <xf numFmtId="0" fontId="25" fillId="15" borderId="14" xfId="0" applyFont="1" applyFill="1" applyBorder="1" applyAlignment="1">
      <alignment horizontal="right"/>
    </xf>
    <xf numFmtId="0" fontId="25" fillId="14" borderId="14" xfId="0" applyFont="1" applyFill="1" applyBorder="1" applyAlignment="1"/>
    <xf numFmtId="3" fontId="25" fillId="14" borderId="14" xfId="0" applyNumberFormat="1" applyFont="1" applyFill="1" applyBorder="1" applyAlignment="1"/>
    <xf numFmtId="0" fontId="25" fillId="14" borderId="14" xfId="0" applyFont="1" applyFill="1" applyBorder="1" applyAlignment="1">
      <alignment horizontal="right"/>
    </xf>
    <xf numFmtId="0" fontId="25" fillId="14" borderId="31" xfId="0" applyFont="1" applyFill="1" applyBorder="1" applyAlignment="1">
      <alignment horizontal="right"/>
    </xf>
    <xf numFmtId="0" fontId="25" fillId="11" borderId="32" xfId="0" applyFont="1" applyFill="1" applyBorder="1" applyAlignment="1">
      <alignment horizontal="right"/>
    </xf>
    <xf numFmtId="3" fontId="25" fillId="11" borderId="32" xfId="0" applyNumberFormat="1" applyFont="1" applyFill="1" applyBorder="1" applyAlignment="1">
      <alignment horizontal="right"/>
    </xf>
    <xf numFmtId="3" fontId="27" fillId="11" borderId="14" xfId="0" applyNumberFormat="1" applyFont="1" applyFill="1" applyBorder="1" applyAlignment="1">
      <alignment horizontal="right"/>
    </xf>
    <xf numFmtId="3" fontId="28" fillId="0" borderId="14" xfId="0" applyNumberFormat="1" applyFont="1" applyBorder="1" applyAlignment="1">
      <alignment horizontal="right"/>
    </xf>
    <xf numFmtId="3" fontId="22" fillId="0" borderId="17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/>
    <xf numFmtId="0" fontId="25" fillId="11" borderId="15" xfId="0" applyFont="1" applyFill="1" applyBorder="1" applyAlignment="1"/>
    <xf numFmtId="0" fontId="25" fillId="11" borderId="15" xfId="0" applyFont="1" applyFill="1" applyBorder="1" applyAlignment="1">
      <alignment horizontal="right"/>
    </xf>
    <xf numFmtId="0" fontId="22" fillId="0" borderId="10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right"/>
    </xf>
    <xf numFmtId="0" fontId="25" fillId="0" borderId="16" xfId="0" applyFont="1" applyBorder="1" applyAlignment="1"/>
    <xf numFmtId="0" fontId="27" fillId="0" borderId="16" xfId="0" applyFont="1" applyBorder="1" applyAlignment="1"/>
    <xf numFmtId="0" fontId="25" fillId="11" borderId="16" xfId="0" applyFont="1" applyFill="1" applyBorder="1" applyAlignment="1"/>
    <xf numFmtId="0" fontId="25" fillId="11" borderId="16" xfId="0" applyFont="1" applyFill="1" applyBorder="1" applyAlignment="1">
      <alignment horizontal="right"/>
    </xf>
    <xf numFmtId="0" fontId="25" fillId="11" borderId="34" xfId="0" applyFont="1" applyFill="1" applyBorder="1" applyAlignment="1">
      <alignment horizontal="right"/>
    </xf>
    <xf numFmtId="0" fontId="25" fillId="14" borderId="33" xfId="0" applyFont="1" applyFill="1" applyBorder="1" applyAlignment="1">
      <alignment horizontal="right"/>
    </xf>
    <xf numFmtId="0" fontId="25" fillId="14" borderId="0" xfId="0" applyFont="1" applyFill="1" applyBorder="1" applyAlignment="1">
      <alignment horizontal="right"/>
    </xf>
    <xf numFmtId="0" fontId="25" fillId="16" borderId="0" xfId="0" applyFont="1" applyFill="1" applyBorder="1" applyAlignment="1">
      <alignment horizontal="right"/>
    </xf>
    <xf numFmtId="0" fontId="25" fillId="15" borderId="33" xfId="0" applyFont="1" applyFill="1" applyBorder="1" applyAlignment="1">
      <alignment horizontal="right"/>
    </xf>
    <xf numFmtId="0" fontId="25" fillId="15" borderId="31" xfId="0" applyFont="1" applyFill="1" applyBorder="1" applyAlignment="1">
      <alignment horizontal="right"/>
    </xf>
    <xf numFmtId="0" fontId="0" fillId="15" borderId="0" xfId="0" applyFont="1" applyFill="1" applyAlignment="1"/>
    <xf numFmtId="0" fontId="25" fillId="15" borderId="0" xfId="0" applyFont="1" applyFill="1" applyBorder="1" applyAlignment="1">
      <alignment horizontal="right"/>
    </xf>
    <xf numFmtId="0" fontId="25" fillId="0" borderId="14" xfId="0" applyFont="1" applyFill="1" applyBorder="1" applyAlignment="1">
      <alignment horizontal="center"/>
    </xf>
    <xf numFmtId="0" fontId="0" fillId="14" borderId="0" xfId="0" applyFont="1" applyFill="1" applyAlignment="1"/>
    <xf numFmtId="164" fontId="28" fillId="12" borderId="32" xfId="0" applyNumberFormat="1" applyFont="1" applyFill="1" applyBorder="1" applyAlignment="1">
      <alignment horizontal="right"/>
    </xf>
    <xf numFmtId="164" fontId="28" fillId="17" borderId="14" xfId="0" applyNumberFormat="1" applyFont="1" applyFill="1" applyBorder="1" applyAlignment="1">
      <alignment horizontal="right"/>
    </xf>
    <xf numFmtId="164" fontId="28" fillId="0" borderId="14" xfId="0" applyNumberFormat="1" applyFont="1" applyFill="1" applyBorder="1" applyAlignment="1">
      <alignment horizontal="right"/>
    </xf>
    <xf numFmtId="164" fontId="25" fillId="0" borderId="0" xfId="0" applyNumberFormat="1" applyFont="1" applyAlignment="1">
      <alignment horizontal="right"/>
    </xf>
    <xf numFmtId="3" fontId="28" fillId="17" borderId="14" xfId="0" applyNumberFormat="1" applyFont="1" applyFill="1" applyBorder="1" applyAlignment="1">
      <alignment horizontal="right"/>
    </xf>
    <xf numFmtId="3" fontId="25" fillId="0" borderId="0" xfId="0" applyNumberFormat="1" applyFont="1" applyAlignment="1">
      <alignment horizontal="right"/>
    </xf>
    <xf numFmtId="3" fontId="26" fillId="0" borderId="14" xfId="0" applyNumberFormat="1" applyFont="1" applyBorder="1" applyAlignment="1">
      <alignment horizontal="right"/>
    </xf>
    <xf numFmtId="0" fontId="25" fillId="15" borderId="0" xfId="0" applyFont="1" applyFill="1" applyAlignment="1"/>
    <xf numFmtId="0" fontId="25" fillId="16" borderId="0" xfId="0" applyFont="1" applyFill="1" applyAlignment="1"/>
    <xf numFmtId="0" fontId="25" fillId="14" borderId="0" xfId="0" applyFont="1" applyFill="1" applyAlignment="1"/>
    <xf numFmtId="0" fontId="25" fillId="14" borderId="0" xfId="0" applyFont="1" applyFill="1" applyBorder="1" applyAlignment="1"/>
    <xf numFmtId="0" fontId="25" fillId="15" borderId="0" xfId="0" applyFont="1" applyFill="1" applyBorder="1" applyAlignment="1"/>
    <xf numFmtId="0" fontId="25" fillId="11" borderId="32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31" fillId="0" borderId="14" xfId="0" applyFont="1" applyBorder="1" applyAlignment="1">
      <alignment horizontal="center" vertical="center" wrapText="1"/>
    </xf>
    <xf numFmtId="0" fontId="25" fillId="12" borderId="14" xfId="0" applyFont="1" applyFill="1" applyBorder="1" applyAlignment="1">
      <alignment horizontal="center"/>
    </xf>
    <xf numFmtId="0" fontId="25" fillId="13" borderId="14" xfId="0" applyFont="1" applyFill="1" applyBorder="1" applyAlignment="1">
      <alignment horizontal="center"/>
    </xf>
    <xf numFmtId="0" fontId="25" fillId="17" borderId="14" xfId="0" applyFont="1" applyFill="1" applyBorder="1" applyAlignment="1">
      <alignment horizontal="center"/>
    </xf>
    <xf numFmtId="0" fontId="25" fillId="12" borderId="32" xfId="0" applyFont="1" applyFill="1" applyBorder="1" applyAlignment="1">
      <alignment horizontal="center"/>
    </xf>
    <xf numFmtId="0" fontId="26" fillId="0" borderId="14" xfId="0" applyFont="1" applyBorder="1" applyAlignment="1">
      <alignment horizontal="right"/>
    </xf>
    <xf numFmtId="0" fontId="32" fillId="0" borderId="25" xfId="0" applyFont="1" applyBorder="1" applyAlignment="1">
      <alignment horizontal="right"/>
    </xf>
    <xf numFmtId="1" fontId="26" fillId="0" borderId="35" xfId="0" applyNumberFormat="1" applyFont="1" applyBorder="1" applyAlignment="1"/>
    <xf numFmtId="164" fontId="26" fillId="0" borderId="35" xfId="0" applyNumberFormat="1" applyFont="1" applyBorder="1" applyAlignment="1"/>
    <xf numFmtId="0" fontId="26" fillId="0" borderId="29" xfId="0" applyFont="1" applyBorder="1" applyAlignment="1">
      <alignment horizontal="right"/>
    </xf>
    <xf numFmtId="0" fontId="26" fillId="0" borderId="36" xfId="0" applyFont="1" applyBorder="1" applyAlignment="1">
      <alignment horizontal="right"/>
    </xf>
    <xf numFmtId="0" fontId="26" fillId="0" borderId="30" xfId="0" applyFont="1" applyBorder="1" applyAlignment="1">
      <alignment horizontal="right"/>
    </xf>
    <xf numFmtId="3" fontId="26" fillId="0" borderId="35" xfId="0" applyNumberFormat="1" applyFont="1" applyBorder="1" applyAlignment="1">
      <alignment horizontal="right"/>
    </xf>
    <xf numFmtId="3" fontId="26" fillId="0" borderId="26" xfId="0" applyNumberFormat="1" applyFont="1" applyBorder="1" applyAlignment="1">
      <alignment horizontal="right"/>
    </xf>
    <xf numFmtId="0" fontId="0" fillId="11" borderId="0" xfId="0" applyFont="1" applyFill="1" applyBorder="1" applyAlignment="1">
      <alignment horizontal="right"/>
    </xf>
    <xf numFmtId="0" fontId="34" fillId="18" borderId="37" xfId="0" applyFont="1" applyFill="1" applyBorder="1" applyAlignment="1"/>
    <xf numFmtId="0" fontId="34" fillId="18" borderId="20" xfId="0" applyFont="1" applyFill="1" applyBorder="1" applyAlignment="1"/>
    <xf numFmtId="0" fontId="34" fillId="18" borderId="0" xfId="0" applyFont="1" applyFill="1" applyBorder="1" applyAlignment="1"/>
    <xf numFmtId="0" fontId="34" fillId="18" borderId="22" xfId="0" applyFont="1" applyFill="1" applyBorder="1" applyAlignment="1"/>
    <xf numFmtId="0" fontId="34" fillId="18" borderId="21" xfId="0" applyFont="1" applyFill="1" applyBorder="1" applyAlignment="1"/>
    <xf numFmtId="0" fontId="35" fillId="11" borderId="18" xfId="0" applyFont="1" applyFill="1" applyBorder="1" applyAlignment="1"/>
    <xf numFmtId="0" fontId="35" fillId="11" borderId="38" xfId="0" applyFont="1" applyFill="1" applyBorder="1" applyAlignment="1"/>
    <xf numFmtId="164" fontId="35" fillId="11" borderId="43" xfId="0" applyNumberFormat="1" applyFont="1" applyFill="1" applyBorder="1" applyAlignment="1"/>
    <xf numFmtId="0" fontId="35" fillId="11" borderId="43" xfId="0" applyFont="1" applyFill="1" applyBorder="1" applyAlignment="1"/>
    <xf numFmtId="3" fontId="35" fillId="11" borderId="43" xfId="0" applyNumberFormat="1" applyFont="1" applyFill="1" applyBorder="1" applyAlignment="1"/>
    <xf numFmtId="3" fontId="35" fillId="11" borderId="39" xfId="0" applyNumberFormat="1" applyFont="1" applyFill="1" applyBorder="1" applyAlignment="1"/>
    <xf numFmtId="0" fontId="34" fillId="11" borderId="21" xfId="0" applyFont="1" applyFill="1" applyBorder="1" applyAlignment="1"/>
    <xf numFmtId="0" fontId="34" fillId="0" borderId="0" xfId="0" applyFont="1" applyBorder="1" applyAlignment="1"/>
    <xf numFmtId="0" fontId="34" fillId="11" borderId="0" xfId="0" applyFont="1" applyFill="1" applyBorder="1" applyAlignment="1"/>
    <xf numFmtId="0" fontId="34" fillId="0" borderId="22" xfId="0" applyFont="1" applyBorder="1" applyAlignment="1"/>
    <xf numFmtId="0" fontId="34" fillId="11" borderId="23" xfId="0" applyFont="1" applyFill="1" applyBorder="1" applyAlignment="1"/>
    <xf numFmtId="0" fontId="34" fillId="11" borderId="40" xfId="0" applyFont="1" applyFill="1" applyBorder="1" applyAlignment="1"/>
    <xf numFmtId="0" fontId="34" fillId="11" borderId="24" xfId="0" applyFont="1" applyFill="1" applyBorder="1" applyAlignment="1"/>
    <xf numFmtId="0" fontId="0" fillId="16" borderId="14" xfId="0" applyFont="1" applyFill="1" applyBorder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16" fillId="8" borderId="11" xfId="0" applyFont="1" applyFill="1" applyBorder="1" applyAlignment="1">
      <alignment horizontal="center"/>
    </xf>
    <xf numFmtId="0" fontId="8" fillId="0" borderId="11" xfId="0" applyFont="1" applyBorder="1"/>
    <xf numFmtId="0" fontId="10" fillId="8" borderId="0" xfId="0" applyFont="1" applyFill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8" fillId="0" borderId="8" xfId="0" applyFont="1" applyBorder="1"/>
    <xf numFmtId="0" fontId="8" fillId="0" borderId="12" xfId="0" applyFont="1" applyBorder="1"/>
    <xf numFmtId="0" fontId="8" fillId="0" borderId="4" xfId="0" applyFont="1" applyBorder="1"/>
    <xf numFmtId="0" fontId="12" fillId="8" borderId="5" xfId="0" applyFont="1" applyFill="1" applyBorder="1" applyAlignment="1">
      <alignment horizontal="center"/>
    </xf>
    <xf numFmtId="0" fontId="23" fillId="10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8" fillId="0" borderId="5" xfId="0" applyFont="1" applyBorder="1"/>
    <xf numFmtId="0" fontId="2" fillId="7" borderId="9" xfId="0" applyFont="1" applyFill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9" fillId="0" borderId="0" xfId="0" applyFont="1"/>
    <xf numFmtId="0" fontId="2" fillId="7" borderId="7" xfId="0" applyFont="1" applyFill="1" applyBorder="1" applyAlignment="1">
      <alignment horizontal="center"/>
    </xf>
    <xf numFmtId="0" fontId="8" fillId="0" borderId="7" xfId="0" applyFont="1" applyBorder="1"/>
    <xf numFmtId="0" fontId="8" fillId="0" borderId="3" xfId="0" applyFont="1" applyBorder="1"/>
    <xf numFmtId="0" fontId="12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8" fillId="0" borderId="6" xfId="0" applyFont="1" applyBorder="1"/>
    <xf numFmtId="0" fontId="8" fillId="0" borderId="2" xfId="0" applyFont="1" applyBorder="1"/>
    <xf numFmtId="0" fontId="10" fillId="8" borderId="9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33" fillId="11" borderId="14" xfId="0" applyFont="1" applyFill="1" applyBorder="1" applyAlignment="1">
      <alignment horizontal="center"/>
    </xf>
    <xf numFmtId="0" fontId="33" fillId="11" borderId="28" xfId="0" applyFont="1" applyFill="1" applyBorder="1" applyAlignment="1">
      <alignment horizontal="center"/>
    </xf>
    <xf numFmtId="0" fontId="33" fillId="11" borderId="21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1" borderId="22" xfId="0" applyFont="1" applyFill="1" applyBorder="1" applyAlignment="1">
      <alignment horizontal="center"/>
    </xf>
    <xf numFmtId="0" fontId="36" fillId="11" borderId="38" xfId="0" applyFont="1" applyFill="1" applyBorder="1" applyAlignment="1"/>
    <xf numFmtId="0" fontId="36" fillId="11" borderId="39" xfId="0" applyFont="1" applyFill="1" applyBorder="1" applyAlignment="1"/>
    <xf numFmtId="0" fontId="36" fillId="11" borderId="41" xfId="0" applyFont="1" applyFill="1" applyBorder="1" applyAlignment="1">
      <alignment horizontal="left"/>
    </xf>
    <xf numFmtId="0" fontId="37" fillId="11" borderId="19" xfId="0" applyNumberFormat="1" applyFont="1" applyFill="1" applyBorder="1" applyAlignment="1"/>
    <xf numFmtId="164" fontId="37" fillId="11" borderId="37" xfId="0" applyNumberFormat="1" applyFont="1" applyFill="1" applyBorder="1" applyAlignment="1"/>
    <xf numFmtId="3" fontId="37" fillId="11" borderId="37" xfId="0" applyNumberFormat="1" applyFont="1" applyFill="1" applyBorder="1" applyAlignment="1"/>
    <xf numFmtId="164" fontId="37" fillId="11" borderId="20" xfId="0" applyNumberFormat="1" applyFont="1" applyFill="1" applyBorder="1" applyAlignment="1"/>
    <xf numFmtId="0" fontId="36" fillId="11" borderId="44" xfId="0" applyFont="1" applyFill="1" applyBorder="1" applyAlignment="1">
      <alignment horizontal="left"/>
    </xf>
    <xf numFmtId="0" fontId="37" fillId="11" borderId="21" xfId="0" applyNumberFormat="1" applyFont="1" applyFill="1" applyBorder="1" applyAlignment="1"/>
    <xf numFmtId="164" fontId="37" fillId="11" borderId="0" xfId="0" applyNumberFormat="1" applyFont="1" applyFill="1" applyBorder="1" applyAlignment="1"/>
    <xf numFmtId="3" fontId="37" fillId="11" borderId="0" xfId="0" applyNumberFormat="1" applyFont="1" applyFill="1" applyBorder="1" applyAlignment="1"/>
    <xf numFmtId="164" fontId="37" fillId="11" borderId="22" xfId="0" applyNumberFormat="1" applyFont="1" applyFill="1" applyBorder="1" applyAlignment="1"/>
    <xf numFmtId="0" fontId="36" fillId="11" borderId="42" xfId="0" applyFont="1" applyFill="1" applyBorder="1" applyAlignment="1">
      <alignment horizontal="left"/>
    </xf>
    <xf numFmtId="0" fontId="38" fillId="11" borderId="38" xfId="0" applyNumberFormat="1" applyFont="1" applyFill="1" applyBorder="1" applyAlignment="1"/>
    <xf numFmtId="164" fontId="38" fillId="11" borderId="43" xfId="0" applyNumberFormat="1" applyFont="1" applyFill="1" applyBorder="1" applyAlignment="1"/>
    <xf numFmtId="3" fontId="38" fillId="11" borderId="43" xfId="0" applyNumberFormat="1" applyFont="1" applyFill="1" applyBorder="1" applyAlignment="1"/>
    <xf numFmtId="164" fontId="38" fillId="11" borderId="39" xfId="0" applyNumberFormat="1" applyFont="1" applyFill="1" applyBorder="1" applyAlignment="1"/>
    <xf numFmtId="0" fontId="38" fillId="11" borderId="18" xfId="0" applyFont="1" applyFill="1" applyBorder="1" applyAlignment="1">
      <alignment horizontal="left"/>
    </xf>
    <xf numFmtId="0" fontId="41" fillId="0" borderId="14" xfId="0" applyFont="1" applyBorder="1" applyAlignment="1"/>
    <xf numFmtId="1" fontId="41" fillId="0" borderId="14" xfId="0" applyNumberFormat="1" applyFont="1" applyBorder="1" applyAlignment="1"/>
    <xf numFmtId="0" fontId="39" fillId="0" borderId="14" xfId="0" applyFont="1" applyBorder="1" applyAlignment="1"/>
    <xf numFmtId="1" fontId="40" fillId="0" borderId="14" xfId="0" applyNumberFormat="1" applyFont="1" applyBorder="1" applyAlignment="1"/>
    <xf numFmtId="164" fontId="40" fillId="0" borderId="14" xfId="0" applyNumberFormat="1" applyFont="1" applyBorder="1" applyAlignment="1"/>
    <xf numFmtId="3" fontId="40" fillId="0" borderId="14" xfId="0" applyNumberFormat="1" applyFont="1" applyBorder="1" applyAlignment="1"/>
    <xf numFmtId="0" fontId="25" fillId="0" borderId="38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</cellXfs>
  <cellStyles count="1">
    <cellStyle name="Обычный" xfId="0" builtinId="0"/>
  </cellStyles>
  <dxfs count="97"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font>
        <sz val="12"/>
      </font>
    </dxf>
    <dxf>
      <font>
        <sz val="12"/>
      </font>
    </dxf>
    <dxf>
      <font>
        <sz val="12"/>
      </font>
    </dxf>
    <dxf>
      <numFmt numFmtId="164" formatCode="#,##0.0"/>
    </dxf>
    <dxf>
      <font>
        <sz val="12"/>
      </font>
    </dxf>
    <dxf>
      <font>
        <sz val="12"/>
      </font>
    </dxf>
    <dxf>
      <font>
        <name val="Arial Black"/>
        <family val="2"/>
        <charset val="204"/>
        <scheme val="none"/>
      </font>
    </dxf>
    <dxf>
      <font>
        <name val="Arial Black"/>
        <family val="2"/>
        <charset val="204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ill>
        <patternFill>
          <bgColor theme="9"/>
        </patternFill>
      </fill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font>
        <sz val="12"/>
      </font>
    </dxf>
    <dxf>
      <font>
        <sz val="12"/>
      </font>
    </dxf>
    <dxf>
      <font>
        <sz val="12"/>
      </font>
    </dxf>
    <dxf>
      <numFmt numFmtId="164" formatCode="#,##0.0"/>
    </dxf>
    <dxf>
      <font>
        <sz val="12"/>
      </font>
    </dxf>
    <dxf>
      <font>
        <sz val="12"/>
      </font>
    </dxf>
    <dxf>
      <font>
        <name val="Arial Black"/>
        <family val="2"/>
        <charset val="204"/>
        <scheme val="none"/>
      </font>
    </dxf>
    <dxf>
      <font>
        <name val="Arial Black"/>
        <family val="2"/>
        <charset val="204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21</xdr:row>
      <xdr:rowOff>219075</xdr:rowOff>
    </xdr:from>
    <xdr:ext cx="2085975" cy="60007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" refreshedDate="45084.041021990743" createdVersion="7" refreshedVersion="7" minRefreshableVersion="3" recordCount="141" xr:uid="{E7D38783-66C1-4A55-9A5C-61D5D7A40C22}">
  <cacheSource type="worksheet">
    <worksheetSource ref="A1:J142" sheet="основная_таблица"/>
  </cacheSource>
  <cacheFields count="10">
    <cacheField name="Корпус" numFmtId="0">
      <sharedItems count="3">
        <s v="Корпус Б"/>
        <s v="Корпус В"/>
        <s v="Корпус Г"/>
      </sharedItems>
    </cacheField>
    <cacheField name="Этаж" numFmtId="0">
      <sharedItems containsSemiMixedTypes="0" containsString="0" containsNumber="1" containsInteger="1" minValue="1" maxValue="7" count="7">
        <n v="7"/>
        <n v="6"/>
        <n v="5"/>
        <n v="4"/>
        <n v="3"/>
        <n v="2"/>
        <n v="1"/>
      </sharedItems>
    </cacheField>
    <cacheField name=" № квартиры" numFmtId="0">
      <sharedItems count="136">
        <s v=" Б7-1/3б"/>
        <s v=" Б7-1/3а"/>
        <s v=" Б7-2/4а"/>
        <s v=" Б(6-7)-2/6а"/>
        <s v=" Б(6-7)-2/6б"/>
        <s v=" Б6-1/1а"/>
        <s v=" Б6-1/4а"/>
        <s v=" Б6-1/2а"/>
        <s v=" Б6-2/4а"/>
        <s v=" Б6-2/2б"/>
        <s v=" Б6-2/2в"/>
        <s v="Б5-1/1а"/>
        <s v=" Б5-1/4а"/>
        <s v=" Б5-1/2а"/>
        <s v=" Б5-2/4а"/>
        <s v=" Б5-2/3а"/>
        <s v=" Б5-2/2б"/>
        <s v=" Б5-2/2в"/>
        <s v=" Б5-2/3б"/>
        <s v=" Б4-1/1а"/>
        <s v=" Б4-1/4а"/>
        <s v=" Б4-1/2а"/>
        <s v=" Б4-2/4а"/>
        <s v=" Б4-2/3а"/>
        <s v=" Б4-2/2б"/>
        <s v=" Б4-2/2в"/>
        <s v=" Б4-2/3б"/>
        <s v=" Б3-1/1а"/>
        <s v=" Б3-1/4а"/>
        <s v=" Б3-1/2а"/>
        <s v=" Б3-2/4а"/>
        <s v=" Б3-2/3а"/>
        <s v=" Б3-2/2б"/>
        <s v=" Б3-2/2в"/>
        <s v=" Б3-2/3б"/>
        <s v="Б2-2/2б"/>
        <s v="Б2-2/2в"/>
        <s v="Б2-2/3б"/>
        <s v="Б1-1/1а"/>
        <s v="Б1-1/4а"/>
        <s v="Б1-1/2а"/>
        <s v="Б1-2/4а"/>
        <s v="Б1-2/2а"/>
        <s v="Б1-2/2в"/>
        <s v="Б1-2/1а"/>
        <s v="В1-1/2а"/>
        <s v="В(6-7)-1/10а"/>
        <s v="В7-2/4а"/>
        <s v="В(6-7)-2/6а"/>
        <s v="В(6-7)-2/6б"/>
        <s v="В6-1/2а"/>
        <s v="В6-1/1а"/>
        <s v="В6-2/4а"/>
        <s v="В6-2/2б"/>
        <s v="В6-2/2в"/>
        <s v="В5-1/2а"/>
        <s v="В5-1/4а"/>
        <s v="В5-1/1а"/>
        <s v="В5-2/4а"/>
        <s v="В5-2/3а"/>
        <s v="В5-2/2б"/>
        <s v="В5-2/2в"/>
        <s v="В5-2/3б"/>
        <s v="В4-1/2а"/>
        <s v="В4-1/4а"/>
        <s v="В4-1/1а"/>
        <s v="В4-2/4а"/>
        <s v="В4-2/3а"/>
        <s v="В4-2/2б"/>
        <s v="В4-2/2в"/>
        <s v="В4-2/3б"/>
        <s v="В3-1/2а"/>
        <s v="В3-1/4а"/>
        <s v="В3-1/1а"/>
        <s v="В3-2/4а"/>
        <s v="В3-2/3а"/>
        <s v="В3-2/2б"/>
        <s v="В3-2/2в"/>
        <s v="В3-2/3б"/>
        <s v="В2-1/2а"/>
        <s v="В2-1/4а"/>
        <s v="В2-1/1а"/>
        <s v="В2-2/4а"/>
        <s v="В2-2/3а"/>
        <s v="В2-2/2б"/>
        <s v="В2-2/2в"/>
        <s v="В2-2/3б"/>
        <s v="В1-1/4а"/>
        <s v="В1-1/1а"/>
        <s v="В1-2/4а"/>
        <s v="В1-2/1а"/>
        <s v="В1-2/2б"/>
        <s v="В1-2/2а"/>
        <s v="Г7-1/8а"/>
        <s v="Г7-2/5б"/>
        <s v="Г(6-7)-2/5а"/>
        <s v="Г6-1/1а"/>
        <s v="Г6-1/4а"/>
        <s v="Г6-1/2а"/>
        <s v="Г6-2/3г"/>
        <s v="Г6-2/3б"/>
        <s v="Г6-2/3в"/>
        <s v="Г5-1/1а"/>
        <s v="Г5-1/4а"/>
        <s v="Г5-1/2а"/>
        <s v="Г5-2/3г"/>
        <s v="Г5-2/3а"/>
        <s v="Г5-2/3б"/>
        <s v="Г5-2/3в"/>
        <s v="Г4-1/1а"/>
        <s v="Г4-1/4а"/>
        <s v="Г4-1/2а"/>
        <s v="Г4-2/3г"/>
        <s v="Г4-2/3а"/>
        <s v="Г4-2/3б"/>
        <s v="Г4-2/3в"/>
        <s v="Г3-1/1а"/>
        <s v="Г3-1/4а"/>
        <s v="Г3-1/2а"/>
        <s v="Г3-2/3г"/>
        <s v="Г3-2/3а"/>
        <s v="Г3-2/3б"/>
        <s v="Г3-2/3в"/>
        <s v="Г2-1/1а"/>
        <s v="Г2-1/4а"/>
        <s v="Г2-1/2а"/>
        <s v="Г2-2/3г"/>
        <s v="Г2-2/3а"/>
        <s v="Г2-2/3б"/>
        <s v="Г2-2/3в"/>
        <s v="Г1-1/1а"/>
        <s v="Г1-1/4а"/>
        <s v="Г1-1/2а"/>
        <s v="Г1-2/3г"/>
        <s v="Г1-2/3б"/>
        <s v="Г1-2/3в"/>
      </sharedItems>
    </cacheField>
    <cacheField name="Тип квартиры (кол-во спален)" numFmtId="0">
      <sharedItems containsSemiMixedTypes="0" containsString="0" containsNumber="1" containsInteger="1" minValue="0" maxValue="10" count="8">
        <n v="1"/>
        <n v="3"/>
        <n v="4"/>
        <n v="6"/>
        <n v="0"/>
        <n v="2"/>
        <n v="10"/>
        <n v="5"/>
      </sharedItems>
    </cacheField>
    <cacheField name="Площадь квартиры, м²" numFmtId="164">
      <sharedItems containsSemiMixedTypes="0" containsString="0" containsNumber="1" minValue="69.37" maxValue="528.55999999999995"/>
    </cacheField>
    <cacheField name="Стоимость базовая, тыс. руб." numFmtId="0">
      <sharedItems containsSemiMixedTypes="0" containsString="0" containsNumber="1" minValue="0" maxValue="700"/>
    </cacheField>
    <cacheField name="Цена базовая, руб./м²" numFmtId="3">
      <sharedItems containsSemiMixedTypes="0" containsString="0" containsNumber="1" containsInteger="1" minValue="0" maxValue="6523"/>
    </cacheField>
    <cacheField name="Стоимость 100%, млн. руб." numFmtId="3">
      <sharedItems containsSemiMixedTypes="0" containsString="0" containsNumber="1" minValue="0" maxValue="336.69636000000003" count="42">
        <n v="102.84036"/>
        <n v="172.58555999999999"/>
        <n v="54.897297000000002"/>
        <n v="120.761194"/>
        <n v="123.814412"/>
        <n v="0"/>
        <n v="43.493892000000002"/>
        <n v="53.211191999999997"/>
        <n v="41.936796000000001"/>
        <n v="41.959254000000001"/>
        <n v="26.586670999999999"/>
        <n v="41.446460000000002"/>
        <n v="51.519002"/>
        <n v="39.310617000000001"/>
        <n v="39.289580999999998"/>
        <n v="56.977955999999999"/>
        <n v="32.474988000000003"/>
        <n v="44.60022"/>
        <n v="54.04345"/>
        <n v="52.366570000000003"/>
        <n v="40.131359000000003"/>
        <n v="35.738425999999997"/>
        <n v="52.616667999999997"/>
        <n v="336.69636000000003"/>
        <n v="50.782620000000001"/>
        <n v="105.6942"/>
        <n v="26.966856"/>
        <n v="38.567343999999999"/>
        <n v="27.339870999999999"/>
        <n v="57.263942"/>
        <n v="51.177222999999998"/>
        <n v="44.302478999999998"/>
        <n v="63.432723000000003"/>
        <n v="59.951951000000001"/>
        <n v="59.920704000000001"/>
        <n v="50.476688000000003"/>
        <n v="44.836165999999999"/>
        <n v="47.463154000000003"/>
        <n v="21.778711999999999"/>
        <n v="42.759990000000002"/>
        <n v="47.738754"/>
        <n v="39.197189000000002"/>
      </sharedItems>
    </cacheField>
    <cacheField name="Цена 100%, руб./м²" numFmtId="3">
      <sharedItems containsSemiMixedTypes="0" containsString="0" containsNumber="1" containsInteger="1" minValue="0" maxValue="3003268"/>
    </cacheField>
    <cacheField name="Статус квартиры" numFmtId="0">
      <sharedItems containsSemiMixedTypes="0" containsString="0" containsNumber="1" containsInteger="1" minValue="0" maxValue="2" count="3">
        <n v="1"/>
        <n v="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x v="0"/>
    <x v="0"/>
    <n v="159.69"/>
    <n v="700"/>
    <n v="4383"/>
    <x v="0"/>
    <n v="644000"/>
    <x v="0"/>
  </r>
  <r>
    <x v="0"/>
    <x v="0"/>
    <x v="1"/>
    <x v="1"/>
    <n v="267.99"/>
    <n v="700"/>
    <n v="2612"/>
    <x v="1"/>
    <n v="644000"/>
    <x v="0"/>
  </r>
  <r>
    <x v="0"/>
    <x v="0"/>
    <x v="2"/>
    <x v="2"/>
    <n v="174.86"/>
    <n v="341.25"/>
    <n v="1952"/>
    <x v="2"/>
    <n v="313950"/>
    <x v="0"/>
  </r>
  <r>
    <x v="0"/>
    <x v="0"/>
    <x v="3"/>
    <x v="3"/>
    <n v="330.26"/>
    <n v="397.45100000000002"/>
    <n v="1203"/>
    <x v="3"/>
    <n v="365655"/>
    <x v="0"/>
  </r>
  <r>
    <x v="0"/>
    <x v="0"/>
    <x v="4"/>
    <x v="3"/>
    <n v="338.61"/>
    <n v="397.45100000000002"/>
    <n v="1174"/>
    <x v="4"/>
    <n v="365655"/>
    <x v="0"/>
  </r>
  <r>
    <x v="0"/>
    <x v="1"/>
    <x v="5"/>
    <x v="4"/>
    <n v="70.84"/>
    <n v="0"/>
    <n v="0"/>
    <x v="5"/>
    <n v="0"/>
    <x v="1"/>
  </r>
  <r>
    <x v="0"/>
    <x v="1"/>
    <x v="6"/>
    <x v="2"/>
    <n v="217.87"/>
    <n v="0"/>
    <n v="0"/>
    <x v="5"/>
    <n v="0"/>
    <x v="1"/>
  </r>
  <r>
    <x v="0"/>
    <x v="1"/>
    <x v="7"/>
    <x v="1"/>
    <n v="110.6"/>
    <n v="427.45"/>
    <n v="3865"/>
    <x v="6"/>
    <n v="393254"/>
    <x v="0"/>
  </r>
  <r>
    <x v="0"/>
    <x v="1"/>
    <x v="8"/>
    <x v="2"/>
    <n v="174.87"/>
    <n v="330.75"/>
    <n v="1891"/>
    <x v="7"/>
    <n v="304290"/>
    <x v="0"/>
  </r>
  <r>
    <x v="0"/>
    <x v="1"/>
    <x v="9"/>
    <x v="5"/>
    <n v="112.04"/>
    <n v="406.85"/>
    <n v="3631"/>
    <x v="8"/>
    <n v="374302"/>
    <x v="0"/>
  </r>
  <r>
    <x v="0"/>
    <x v="1"/>
    <x v="10"/>
    <x v="5"/>
    <n v="112.1"/>
    <n v="406.85"/>
    <n v="3629"/>
    <x v="9"/>
    <n v="374302"/>
    <x v="0"/>
  </r>
  <r>
    <x v="0"/>
    <x v="2"/>
    <x v="11"/>
    <x v="4"/>
    <n v="71.03"/>
    <n v="406.85"/>
    <n v="5728"/>
    <x v="10"/>
    <n v="374302"/>
    <x v="0"/>
  </r>
  <r>
    <x v="0"/>
    <x v="2"/>
    <x v="12"/>
    <x v="2"/>
    <n v="232.97"/>
    <n v="0"/>
    <n v="0"/>
    <x v="5"/>
    <n v="0"/>
    <x v="1"/>
  </r>
  <r>
    <x v="0"/>
    <x v="2"/>
    <x v="13"/>
    <x v="1"/>
    <n v="110.73"/>
    <n v="406.85"/>
    <n v="3674"/>
    <x v="11"/>
    <n v="374302"/>
    <x v="0"/>
  </r>
  <r>
    <x v="0"/>
    <x v="2"/>
    <x v="14"/>
    <x v="2"/>
    <n v="174.86"/>
    <n v="320.25"/>
    <n v="1831"/>
    <x v="12"/>
    <n v="294630"/>
    <x v="0"/>
  </r>
  <r>
    <x v="0"/>
    <x v="2"/>
    <x v="15"/>
    <x v="1"/>
    <n v="157.79"/>
    <n v="381.1"/>
    <n v="2415"/>
    <x v="5"/>
    <n v="0"/>
    <x v="1"/>
  </r>
  <r>
    <x v="0"/>
    <x v="2"/>
    <x v="16"/>
    <x v="5"/>
    <n v="112.12"/>
    <n v="381.1"/>
    <n v="3399"/>
    <x v="13"/>
    <n v="350612"/>
    <x v="0"/>
  </r>
  <r>
    <x v="0"/>
    <x v="2"/>
    <x v="17"/>
    <x v="5"/>
    <n v="112.06"/>
    <n v="381.1"/>
    <n v="3401"/>
    <x v="14"/>
    <n v="350612"/>
    <x v="0"/>
  </r>
  <r>
    <x v="0"/>
    <x v="2"/>
    <x v="18"/>
    <x v="1"/>
    <n v="162.51"/>
    <n v="381.1"/>
    <n v="2345"/>
    <x v="15"/>
    <n v="350612"/>
    <x v="0"/>
  </r>
  <r>
    <x v="0"/>
    <x v="3"/>
    <x v="19"/>
    <x v="4"/>
    <n v="71.03"/>
    <n v="381.1"/>
    <n v="5365"/>
    <x v="5"/>
    <n v="0"/>
    <x v="1"/>
  </r>
  <r>
    <x v="0"/>
    <x v="3"/>
    <x v="20"/>
    <x v="2"/>
    <n v="232.97"/>
    <n v="0"/>
    <n v="0"/>
    <x v="5"/>
    <n v="0"/>
    <x v="1"/>
  </r>
  <r>
    <x v="0"/>
    <x v="3"/>
    <x v="21"/>
    <x v="1"/>
    <n v="110.73"/>
    <n v="381.1"/>
    <n v="3442"/>
    <x v="5"/>
    <n v="0"/>
    <x v="1"/>
  </r>
  <r>
    <x v="0"/>
    <x v="3"/>
    <x v="22"/>
    <x v="2"/>
    <n v="174.86"/>
    <n v="264.60000000000002"/>
    <n v="1513"/>
    <x v="5"/>
    <n v="0"/>
    <x v="1"/>
  </r>
  <r>
    <x v="0"/>
    <x v="3"/>
    <x v="23"/>
    <x v="1"/>
    <n v="157.79"/>
    <n v="362.25"/>
    <n v="2296"/>
    <x v="5"/>
    <n v="0"/>
    <x v="1"/>
  </r>
  <r>
    <x v="0"/>
    <x v="3"/>
    <x v="24"/>
    <x v="5"/>
    <n v="112.12"/>
    <n v="362.25"/>
    <n v="3231"/>
    <x v="5"/>
    <n v="0"/>
    <x v="1"/>
  </r>
  <r>
    <x v="0"/>
    <x v="3"/>
    <x v="25"/>
    <x v="5"/>
    <n v="112.06"/>
    <n v="0"/>
    <n v="0"/>
    <x v="5"/>
    <n v="0"/>
    <x v="1"/>
  </r>
  <r>
    <x v="0"/>
    <x v="3"/>
    <x v="26"/>
    <x v="1"/>
    <n v="162.51"/>
    <n v="0"/>
    <n v="0"/>
    <x v="5"/>
    <n v="0"/>
    <x v="1"/>
  </r>
  <r>
    <x v="0"/>
    <x v="4"/>
    <x v="27"/>
    <x v="4"/>
    <n v="71.02"/>
    <n v="367.5"/>
    <n v="5175"/>
    <x v="5"/>
    <n v="0"/>
    <x v="1"/>
  </r>
  <r>
    <x v="0"/>
    <x v="4"/>
    <x v="28"/>
    <x v="2"/>
    <n v="232.68"/>
    <n v="0"/>
    <n v="0"/>
    <x v="5"/>
    <n v="0"/>
    <x v="1"/>
  </r>
  <r>
    <x v="0"/>
    <x v="4"/>
    <x v="29"/>
    <x v="1"/>
    <n v="110.72"/>
    <n v="0"/>
    <n v="0"/>
    <x v="5"/>
    <n v="0"/>
    <x v="1"/>
  </r>
  <r>
    <x v="0"/>
    <x v="4"/>
    <x v="30"/>
    <x v="2"/>
    <n v="163.22"/>
    <n v="0"/>
    <n v="0"/>
    <x v="5"/>
    <n v="0"/>
    <x v="1"/>
  </r>
  <r>
    <x v="0"/>
    <x v="4"/>
    <x v="31"/>
    <x v="1"/>
    <n v="157.80000000000001"/>
    <n v="341.25"/>
    <n v="2163"/>
    <x v="5"/>
    <n v="0"/>
    <x v="1"/>
  </r>
  <r>
    <x v="0"/>
    <x v="4"/>
    <x v="32"/>
    <x v="5"/>
    <n v="112.07"/>
    <n v="0"/>
    <n v="0"/>
    <x v="5"/>
    <n v="0"/>
    <x v="1"/>
  </r>
  <r>
    <x v="0"/>
    <x v="4"/>
    <x v="33"/>
    <x v="5"/>
    <n v="112.06"/>
    <n v="0"/>
    <n v="0"/>
    <x v="5"/>
    <n v="0"/>
    <x v="1"/>
  </r>
  <r>
    <x v="0"/>
    <x v="4"/>
    <x v="34"/>
    <x v="1"/>
    <n v="162.5"/>
    <n v="0"/>
    <n v="0"/>
    <x v="5"/>
    <n v="0"/>
    <x v="1"/>
  </r>
  <r>
    <x v="0"/>
    <x v="5"/>
    <x v="27"/>
    <x v="4"/>
    <n v="71.02"/>
    <n v="367.5"/>
    <n v="5175"/>
    <x v="5"/>
    <n v="0"/>
    <x v="1"/>
  </r>
  <r>
    <x v="0"/>
    <x v="5"/>
    <x v="28"/>
    <x v="2"/>
    <n v="232.68"/>
    <n v="0"/>
    <n v="0"/>
    <x v="5"/>
    <n v="0"/>
    <x v="1"/>
  </r>
  <r>
    <x v="0"/>
    <x v="5"/>
    <x v="29"/>
    <x v="1"/>
    <n v="110.72"/>
    <n v="0"/>
    <n v="0"/>
    <x v="5"/>
    <n v="0"/>
    <x v="1"/>
  </r>
  <r>
    <x v="0"/>
    <x v="5"/>
    <x v="30"/>
    <x v="2"/>
    <n v="163.22"/>
    <n v="0"/>
    <n v="0"/>
    <x v="5"/>
    <n v="0"/>
    <x v="1"/>
  </r>
  <r>
    <x v="0"/>
    <x v="5"/>
    <x v="31"/>
    <x v="1"/>
    <n v="157.80000000000001"/>
    <n v="341.25"/>
    <n v="2163"/>
    <x v="5"/>
    <n v="0"/>
    <x v="1"/>
  </r>
  <r>
    <x v="0"/>
    <x v="5"/>
    <x v="35"/>
    <x v="5"/>
    <n v="112.06"/>
    <n v="315"/>
    <n v="2811"/>
    <x v="16"/>
    <n v="289800"/>
    <x v="1"/>
  </r>
  <r>
    <x v="0"/>
    <x v="5"/>
    <x v="36"/>
    <x v="5"/>
    <n v="112.06"/>
    <n v="0"/>
    <n v="0"/>
    <x v="5"/>
    <n v="0"/>
    <x v="1"/>
  </r>
  <r>
    <x v="0"/>
    <x v="5"/>
    <x v="37"/>
    <x v="1"/>
    <n v="162.5"/>
    <n v="0"/>
    <n v="0"/>
    <x v="5"/>
    <n v="0"/>
    <x v="1"/>
  </r>
  <r>
    <x v="0"/>
    <x v="6"/>
    <x v="38"/>
    <x v="4"/>
    <n v="69.819999999999993"/>
    <n v="308.7"/>
    <n v="4421"/>
    <x v="5"/>
    <n v="0"/>
    <x v="1"/>
  </r>
  <r>
    <x v="0"/>
    <x v="6"/>
    <x v="39"/>
    <x v="2"/>
    <n v="229.69"/>
    <n v="385.875"/>
    <n v="1680"/>
    <x v="5"/>
    <n v="0"/>
    <x v="1"/>
  </r>
  <r>
    <x v="0"/>
    <x v="6"/>
    <x v="40"/>
    <x v="5"/>
    <n v="107.71"/>
    <n v="308.7"/>
    <n v="2866"/>
    <x v="5"/>
    <n v="0"/>
    <x v="1"/>
  </r>
  <r>
    <x v="0"/>
    <x v="6"/>
    <x v="41"/>
    <x v="2"/>
    <n v="167.06"/>
    <n v="0"/>
    <n v="0"/>
    <x v="5"/>
    <n v="0"/>
    <x v="1"/>
  </r>
  <r>
    <x v="0"/>
    <x v="6"/>
    <x v="42"/>
    <x v="5"/>
    <n v="141.44"/>
    <n v="309.75"/>
    <n v="2190"/>
    <x v="5"/>
    <n v="0"/>
    <x v="1"/>
  </r>
  <r>
    <x v="0"/>
    <x v="6"/>
    <x v="43"/>
    <x v="5"/>
    <n v="111.16"/>
    <n v="0"/>
    <n v="0"/>
    <x v="5"/>
    <n v="0"/>
    <x v="1"/>
  </r>
  <r>
    <x v="0"/>
    <x v="6"/>
    <x v="44"/>
    <x v="0"/>
    <n v="86.1"/>
    <n v="264.60000000000002"/>
    <n v="3073"/>
    <x v="5"/>
    <n v="0"/>
    <x v="1"/>
  </r>
  <r>
    <x v="1"/>
    <x v="0"/>
    <x v="45"/>
    <x v="5"/>
    <n v="107.73"/>
    <n v="450"/>
    <n v="4177"/>
    <x v="17"/>
    <n v="414000"/>
    <x v="0"/>
  </r>
  <r>
    <x v="1"/>
    <x v="0"/>
    <x v="46"/>
    <x v="6"/>
    <n v="400"/>
    <n v="0"/>
    <n v="0"/>
    <x v="5"/>
    <n v="0"/>
    <x v="1"/>
  </r>
  <r>
    <x v="1"/>
    <x v="0"/>
    <x v="47"/>
    <x v="2"/>
    <n v="174.83"/>
    <n v="336"/>
    <n v="1922"/>
    <x v="18"/>
    <n v="309120"/>
    <x v="0"/>
  </r>
  <r>
    <x v="1"/>
    <x v="0"/>
    <x v="48"/>
    <x v="3"/>
    <n v="330.17"/>
    <n v="0"/>
    <n v="0"/>
    <x v="5"/>
    <n v="0"/>
    <x v="1"/>
  </r>
  <r>
    <x v="1"/>
    <x v="0"/>
    <x v="49"/>
    <x v="3"/>
    <n v="330.27"/>
    <n v="0"/>
    <n v="0"/>
    <x v="5"/>
    <n v="0"/>
    <x v="1"/>
  </r>
  <r>
    <x v="1"/>
    <x v="1"/>
    <x v="50"/>
    <x v="5"/>
    <n v="110.43"/>
    <n v="0"/>
    <n v="0"/>
    <x v="5"/>
    <n v="0"/>
    <x v="1"/>
  </r>
  <r>
    <x v="1"/>
    <x v="1"/>
    <x v="51"/>
    <x v="4"/>
    <n v="70.8"/>
    <n v="0"/>
    <n v="0"/>
    <x v="5"/>
    <n v="0"/>
    <x v="1"/>
  </r>
  <r>
    <x v="1"/>
    <x v="1"/>
    <x v="52"/>
    <x v="2"/>
    <n v="174.87"/>
    <n v="325.5"/>
    <n v="1861"/>
    <x v="19"/>
    <n v="299460"/>
    <x v="0"/>
  </r>
  <r>
    <x v="1"/>
    <x v="1"/>
    <x v="53"/>
    <x v="5"/>
    <n v="111.92"/>
    <n v="0"/>
    <n v="0"/>
    <x v="5"/>
    <n v="0"/>
    <x v="1"/>
  </r>
  <r>
    <x v="1"/>
    <x v="1"/>
    <x v="54"/>
    <x v="5"/>
    <n v="112.09"/>
    <n v="406.85"/>
    <n v="3630"/>
    <x v="20"/>
    <n v="358028"/>
    <x v="2"/>
  </r>
  <r>
    <x v="1"/>
    <x v="2"/>
    <x v="55"/>
    <x v="5"/>
    <n v="110.75"/>
    <n v="0"/>
    <n v="0"/>
    <x v="5"/>
    <n v="0"/>
    <x v="1"/>
  </r>
  <r>
    <x v="1"/>
    <x v="2"/>
    <x v="56"/>
    <x v="2"/>
    <n v="232.87"/>
    <n v="0"/>
    <n v="0"/>
    <x v="5"/>
    <n v="0"/>
    <x v="1"/>
  </r>
  <r>
    <x v="1"/>
    <x v="2"/>
    <x v="57"/>
    <x v="4"/>
    <n v="71.06"/>
    <n v="0"/>
    <n v="0"/>
    <x v="5"/>
    <n v="0"/>
    <x v="1"/>
  </r>
  <r>
    <x v="1"/>
    <x v="2"/>
    <x v="58"/>
    <x v="2"/>
    <n v="174.91"/>
    <n v="315"/>
    <n v="1801"/>
    <x v="19"/>
    <n v="299392"/>
    <x v="0"/>
  </r>
  <r>
    <x v="1"/>
    <x v="2"/>
    <x v="59"/>
    <x v="1"/>
    <n v="157.76"/>
    <n v="381.1"/>
    <n v="2416"/>
    <x v="5"/>
    <n v="0"/>
    <x v="1"/>
  </r>
  <r>
    <x v="1"/>
    <x v="2"/>
    <x v="60"/>
    <x v="5"/>
    <n v="112.08"/>
    <n v="381.1"/>
    <n v="3400"/>
    <x v="5"/>
    <n v="0"/>
    <x v="1"/>
  </r>
  <r>
    <x v="1"/>
    <x v="2"/>
    <x v="61"/>
    <x v="5"/>
    <n v="112.11"/>
    <n v="381.1"/>
    <n v="3399"/>
    <x v="20"/>
    <n v="357964"/>
    <x v="2"/>
  </r>
  <r>
    <x v="1"/>
    <x v="2"/>
    <x v="62"/>
    <x v="1"/>
    <n v="157.88"/>
    <n v="381.1"/>
    <n v="2414"/>
    <x v="5"/>
    <n v="0"/>
    <x v="1"/>
  </r>
  <r>
    <x v="1"/>
    <x v="3"/>
    <x v="63"/>
    <x v="5"/>
    <n v="110.73"/>
    <n v="0"/>
    <n v="0"/>
    <x v="5"/>
    <n v="0"/>
    <x v="1"/>
  </r>
  <r>
    <x v="1"/>
    <x v="3"/>
    <x v="64"/>
    <x v="2"/>
    <n v="232.87"/>
    <n v="0"/>
    <n v="0"/>
    <x v="5"/>
    <n v="0"/>
    <x v="1"/>
  </r>
  <r>
    <x v="1"/>
    <x v="3"/>
    <x v="65"/>
    <x v="4"/>
    <n v="71.06"/>
    <n v="0"/>
    <n v="0"/>
    <x v="5"/>
    <n v="0"/>
    <x v="1"/>
  </r>
  <r>
    <x v="1"/>
    <x v="3"/>
    <x v="66"/>
    <x v="2"/>
    <n v="174.91"/>
    <n v="294"/>
    <n v="1681"/>
    <x v="5"/>
    <n v="0"/>
    <x v="1"/>
  </r>
  <r>
    <x v="1"/>
    <x v="3"/>
    <x v="67"/>
    <x v="1"/>
    <n v="157.76"/>
    <n v="362.25"/>
    <n v="2296"/>
    <x v="5"/>
    <n v="0"/>
    <x v="1"/>
  </r>
  <r>
    <x v="1"/>
    <x v="3"/>
    <x v="68"/>
    <x v="5"/>
    <n v="112.08"/>
    <n v="362.25"/>
    <n v="3232"/>
    <x v="5"/>
    <n v="0"/>
    <x v="1"/>
  </r>
  <r>
    <x v="1"/>
    <x v="3"/>
    <x v="69"/>
    <x v="5"/>
    <n v="112.11"/>
    <n v="362.25"/>
    <n v="3231"/>
    <x v="21"/>
    <n v="318780"/>
    <x v="2"/>
  </r>
  <r>
    <x v="1"/>
    <x v="3"/>
    <x v="70"/>
    <x v="1"/>
    <n v="157.88"/>
    <n v="362.25"/>
    <n v="2294"/>
    <x v="22"/>
    <n v="333270"/>
    <x v="0"/>
  </r>
  <r>
    <x v="1"/>
    <x v="4"/>
    <x v="71"/>
    <x v="5"/>
    <n v="110.73"/>
    <n v="0"/>
    <n v="0"/>
    <x v="5"/>
    <n v="0"/>
    <x v="1"/>
  </r>
  <r>
    <x v="1"/>
    <x v="4"/>
    <x v="72"/>
    <x v="2"/>
    <n v="232.87"/>
    <n v="0"/>
    <n v="0"/>
    <x v="5"/>
    <n v="0"/>
    <x v="1"/>
  </r>
  <r>
    <x v="1"/>
    <x v="4"/>
    <x v="73"/>
    <x v="4"/>
    <n v="71.06"/>
    <n v="0"/>
    <n v="0"/>
    <x v="5"/>
    <n v="0"/>
    <x v="1"/>
  </r>
  <r>
    <x v="1"/>
    <x v="4"/>
    <x v="74"/>
    <x v="2"/>
    <n v="174.91"/>
    <n v="0"/>
    <n v="0"/>
    <x v="5"/>
    <n v="0"/>
    <x v="1"/>
  </r>
  <r>
    <x v="1"/>
    <x v="4"/>
    <x v="75"/>
    <x v="1"/>
    <n v="157.76"/>
    <n v="0"/>
    <n v="0"/>
    <x v="5"/>
    <n v="0"/>
    <x v="1"/>
  </r>
  <r>
    <x v="1"/>
    <x v="4"/>
    <x v="76"/>
    <x v="5"/>
    <n v="112.08"/>
    <n v="0"/>
    <n v="0"/>
    <x v="5"/>
    <n v="0"/>
    <x v="1"/>
  </r>
  <r>
    <x v="1"/>
    <x v="4"/>
    <x v="77"/>
    <x v="5"/>
    <n v="112.11"/>
    <n v="341.25"/>
    <n v="3044"/>
    <x v="23"/>
    <n v="3003268"/>
    <x v="2"/>
  </r>
  <r>
    <x v="1"/>
    <x v="4"/>
    <x v="78"/>
    <x v="1"/>
    <n v="157.88"/>
    <n v="341.25"/>
    <n v="2161"/>
    <x v="5"/>
    <n v="0"/>
    <x v="1"/>
  </r>
  <r>
    <x v="1"/>
    <x v="5"/>
    <x v="79"/>
    <x v="5"/>
    <n v="110.73"/>
    <n v="0"/>
    <n v="0"/>
    <x v="5"/>
    <n v="0"/>
    <x v="1"/>
  </r>
  <r>
    <x v="1"/>
    <x v="5"/>
    <x v="80"/>
    <x v="2"/>
    <n v="232.87"/>
    <n v="0"/>
    <n v="0"/>
    <x v="5"/>
    <n v="0"/>
    <x v="1"/>
  </r>
  <r>
    <x v="1"/>
    <x v="5"/>
    <x v="81"/>
    <x v="4"/>
    <n v="71.06"/>
    <n v="463.5"/>
    <n v="6523"/>
    <x v="5"/>
    <n v="0"/>
    <x v="1"/>
  </r>
  <r>
    <x v="1"/>
    <x v="5"/>
    <x v="82"/>
    <x v="2"/>
    <n v="174.91"/>
    <n v="0"/>
    <n v="0"/>
    <x v="5"/>
    <n v="0"/>
    <x v="1"/>
  </r>
  <r>
    <x v="1"/>
    <x v="5"/>
    <x v="83"/>
    <x v="1"/>
    <n v="157.76"/>
    <n v="350"/>
    <n v="2219"/>
    <x v="24"/>
    <n v="321898"/>
    <x v="0"/>
  </r>
  <r>
    <x v="1"/>
    <x v="5"/>
    <x v="84"/>
    <x v="5"/>
    <n v="112.08"/>
    <n v="300"/>
    <n v="2677"/>
    <x v="5"/>
    <n v="0"/>
    <x v="1"/>
  </r>
  <r>
    <x v="1"/>
    <x v="5"/>
    <x v="85"/>
    <x v="5"/>
    <n v="112.11"/>
    <n v="315"/>
    <n v="2810"/>
    <x v="5"/>
    <n v="0"/>
    <x v="2"/>
  </r>
  <r>
    <x v="1"/>
    <x v="5"/>
    <x v="86"/>
    <x v="1"/>
    <n v="157.88"/>
    <n v="330.75"/>
    <n v="2095"/>
    <x v="5"/>
    <n v="0"/>
    <x v="1"/>
  </r>
  <r>
    <x v="1"/>
    <x v="6"/>
    <x v="87"/>
    <x v="2"/>
    <n v="229.77"/>
    <n v="500"/>
    <n v="2176"/>
    <x v="25"/>
    <n v="460000"/>
    <x v="0"/>
  </r>
  <r>
    <x v="1"/>
    <x v="6"/>
    <x v="88"/>
    <x v="4"/>
    <n v="69.790000000000006"/>
    <n v="420"/>
    <n v="6018"/>
    <x v="26"/>
    <n v="386400"/>
    <x v="0"/>
  </r>
  <r>
    <x v="1"/>
    <x v="6"/>
    <x v="89"/>
    <x v="2"/>
    <n v="173.85"/>
    <n v="0"/>
    <n v="0"/>
    <x v="5"/>
    <n v="0"/>
    <x v="1"/>
  </r>
  <r>
    <x v="1"/>
    <x v="6"/>
    <x v="90"/>
    <x v="0"/>
    <n v="86.09"/>
    <n v="294"/>
    <n v="3415"/>
    <x v="5"/>
    <n v="0"/>
    <x v="1"/>
  </r>
  <r>
    <x v="1"/>
    <x v="6"/>
    <x v="91"/>
    <x v="5"/>
    <n v="111.17"/>
    <n v="0"/>
    <n v="0"/>
    <x v="5"/>
    <n v="0"/>
    <x v="1"/>
  </r>
  <r>
    <x v="1"/>
    <x v="6"/>
    <x v="92"/>
    <x v="5"/>
    <n v="141.49"/>
    <n v="309.75"/>
    <n v="2189"/>
    <x v="27"/>
    <n v="272580"/>
    <x v="2"/>
  </r>
  <r>
    <x v="2"/>
    <x v="0"/>
    <x v="93"/>
    <x v="3"/>
    <n v="528.55999999999995"/>
    <n v="0"/>
    <n v="0"/>
    <x v="5"/>
    <n v="0"/>
    <x v="1"/>
  </r>
  <r>
    <x v="2"/>
    <x v="0"/>
    <x v="94"/>
    <x v="7"/>
    <n v="221"/>
    <n v="525"/>
    <n v="2376"/>
    <x v="5"/>
    <n v="0"/>
    <x v="1"/>
  </r>
  <r>
    <x v="2"/>
    <x v="0"/>
    <x v="95"/>
    <x v="1"/>
    <n v="298.24"/>
    <n v="397.45100000000002"/>
    <n v="1333"/>
    <x v="5"/>
    <n v="0"/>
    <x v="1"/>
  </r>
  <r>
    <x v="2"/>
    <x v="1"/>
    <x v="96"/>
    <x v="4"/>
    <n v="70.37"/>
    <n v="422.3"/>
    <n v="6001"/>
    <x v="28"/>
    <n v="388516"/>
    <x v="0"/>
  </r>
  <r>
    <x v="2"/>
    <x v="1"/>
    <x v="97"/>
    <x v="2"/>
    <n v="219.37"/>
    <n v="518.17499999999995"/>
    <n v="2362"/>
    <x v="5"/>
    <n v="0"/>
    <x v="1"/>
  </r>
  <r>
    <x v="2"/>
    <x v="1"/>
    <x v="98"/>
    <x v="5"/>
    <n v="114.03"/>
    <n v="410"/>
    <n v="3596"/>
    <x v="5"/>
    <n v="0"/>
    <x v="1"/>
  </r>
  <r>
    <x v="2"/>
    <x v="1"/>
    <x v="99"/>
    <x v="1"/>
    <n v="180.92"/>
    <n v="390"/>
    <n v="2156"/>
    <x v="5"/>
    <n v="0"/>
    <x v="1"/>
  </r>
  <r>
    <x v="2"/>
    <x v="1"/>
    <x v="100"/>
    <x v="1"/>
    <n v="154.94999999999999"/>
    <n v="401.7"/>
    <n v="2592"/>
    <x v="29"/>
    <n v="369564"/>
    <x v="0"/>
  </r>
  <r>
    <x v="2"/>
    <x v="1"/>
    <x v="101"/>
    <x v="1"/>
    <n v="138.47999999999999"/>
    <n v="401.7"/>
    <n v="2901"/>
    <x v="30"/>
    <n v="369564"/>
    <x v="0"/>
  </r>
  <r>
    <x v="2"/>
    <x v="2"/>
    <x v="102"/>
    <x v="0"/>
    <n v="70.03"/>
    <n v="390"/>
    <n v="5569"/>
    <x v="5"/>
    <n v="0"/>
    <x v="1"/>
  </r>
  <r>
    <x v="2"/>
    <x v="2"/>
    <x v="103"/>
    <x v="2"/>
    <n v="234.29"/>
    <n v="0"/>
    <n v="0"/>
    <x v="5"/>
    <n v="0"/>
    <x v="1"/>
  </r>
  <r>
    <x v="2"/>
    <x v="2"/>
    <x v="104"/>
    <x v="5"/>
    <n v="114.03"/>
    <n v="422.3"/>
    <n v="3703"/>
    <x v="31"/>
    <n v="388516"/>
    <x v="0"/>
  </r>
  <r>
    <x v="2"/>
    <x v="2"/>
    <x v="105"/>
    <x v="1"/>
    <n v="180.92"/>
    <n v="381.1"/>
    <n v="2106"/>
    <x v="32"/>
    <n v="350612"/>
    <x v="0"/>
  </r>
  <r>
    <x v="2"/>
    <x v="2"/>
    <x v="106"/>
    <x v="1"/>
    <n v="160.16999999999999"/>
    <n v="406.85"/>
    <n v="2540"/>
    <x v="33"/>
    <n v="374302"/>
    <x v="0"/>
  </r>
  <r>
    <x v="2"/>
    <x v="2"/>
    <x v="107"/>
    <x v="1"/>
    <n v="155.97999999999999"/>
    <n v="330.75"/>
    <n v="2120"/>
    <x v="5"/>
    <n v="0"/>
    <x v="1"/>
  </r>
  <r>
    <x v="2"/>
    <x v="2"/>
    <x v="108"/>
    <x v="1"/>
    <n v="138.55000000000001"/>
    <n v="0"/>
    <n v="0"/>
    <x v="5"/>
    <n v="0"/>
    <x v="1"/>
  </r>
  <r>
    <x v="2"/>
    <x v="3"/>
    <x v="109"/>
    <x v="4"/>
    <n v="70.37"/>
    <n v="336"/>
    <n v="4775"/>
    <x v="5"/>
    <n v="0"/>
    <x v="1"/>
  </r>
  <r>
    <x v="2"/>
    <x v="3"/>
    <x v="110"/>
    <x v="2"/>
    <n v="234.29"/>
    <n v="0"/>
    <n v="0"/>
    <x v="5"/>
    <n v="0"/>
    <x v="1"/>
  </r>
  <r>
    <x v="2"/>
    <x v="3"/>
    <x v="111"/>
    <x v="5"/>
    <n v="114.03"/>
    <n v="0"/>
    <n v="0"/>
    <x v="5"/>
    <n v="0"/>
    <x v="1"/>
  </r>
  <r>
    <x v="2"/>
    <x v="3"/>
    <x v="112"/>
    <x v="1"/>
    <n v="180.92"/>
    <n v="360"/>
    <n v="1990"/>
    <x v="34"/>
    <n v="331200"/>
    <x v="0"/>
  </r>
  <r>
    <x v="2"/>
    <x v="3"/>
    <x v="113"/>
    <x v="1"/>
    <n v="160.16999999999999"/>
    <n v="0"/>
    <n v="0"/>
    <x v="5"/>
    <n v="0"/>
    <x v="1"/>
  </r>
  <r>
    <x v="2"/>
    <x v="3"/>
    <x v="114"/>
    <x v="1"/>
    <n v="155.97999999999999"/>
    <n v="351.7"/>
    <n v="2255"/>
    <x v="35"/>
    <n v="323610"/>
    <x v="0"/>
  </r>
  <r>
    <x v="2"/>
    <x v="3"/>
    <x v="115"/>
    <x v="1"/>
    <n v="138.55000000000001"/>
    <n v="0"/>
    <n v="0"/>
    <x v="36"/>
    <n v="323610"/>
    <x v="0"/>
  </r>
  <r>
    <x v="2"/>
    <x v="4"/>
    <x v="116"/>
    <x v="4"/>
    <n v="70.37"/>
    <n v="350"/>
    <n v="4974"/>
    <x v="5"/>
    <n v="0"/>
    <x v="1"/>
  </r>
  <r>
    <x v="2"/>
    <x v="4"/>
    <x v="117"/>
    <x v="2"/>
    <n v="234.29"/>
    <n v="500"/>
    <n v="2134"/>
    <x v="5"/>
    <n v="0"/>
    <x v="1"/>
  </r>
  <r>
    <x v="2"/>
    <x v="4"/>
    <x v="118"/>
    <x v="5"/>
    <n v="114.03"/>
    <n v="350"/>
    <n v="3069"/>
    <x v="5"/>
    <n v="0"/>
    <x v="1"/>
  </r>
  <r>
    <x v="2"/>
    <x v="4"/>
    <x v="119"/>
    <x v="1"/>
    <n v="180.92"/>
    <n v="0"/>
    <n v="0"/>
    <x v="5"/>
    <n v="0"/>
    <x v="1"/>
  </r>
  <r>
    <x v="2"/>
    <x v="4"/>
    <x v="120"/>
    <x v="1"/>
    <n v="160.16999999999999"/>
    <n v="0"/>
    <n v="0"/>
    <x v="5"/>
    <n v="0"/>
    <x v="1"/>
  </r>
  <r>
    <x v="2"/>
    <x v="4"/>
    <x v="121"/>
    <x v="1"/>
    <n v="155.97999999999999"/>
    <n v="330.75"/>
    <n v="2120"/>
    <x v="37"/>
    <n v="304290"/>
    <x v="0"/>
  </r>
  <r>
    <x v="2"/>
    <x v="4"/>
    <x v="122"/>
    <x v="1"/>
    <n v="138.55000000000001"/>
    <n v="0"/>
    <n v="0"/>
    <x v="5"/>
    <n v="0"/>
    <x v="1"/>
  </r>
  <r>
    <x v="2"/>
    <x v="5"/>
    <x v="123"/>
    <x v="4"/>
    <n v="70.37"/>
    <n v="0"/>
    <n v="0"/>
    <x v="5"/>
    <n v="0"/>
    <x v="1"/>
  </r>
  <r>
    <x v="2"/>
    <x v="5"/>
    <x v="124"/>
    <x v="2"/>
    <n v="234.29"/>
    <n v="490"/>
    <n v="2091"/>
    <x v="5"/>
    <n v="0"/>
    <x v="1"/>
  </r>
  <r>
    <x v="2"/>
    <x v="5"/>
    <x v="125"/>
    <x v="5"/>
    <n v="114.03"/>
    <n v="0"/>
    <n v="0"/>
    <x v="5"/>
    <n v="0"/>
    <x v="1"/>
  </r>
  <r>
    <x v="2"/>
    <x v="5"/>
    <x v="126"/>
    <x v="1"/>
    <n v="180.92"/>
    <n v="255"/>
    <n v="1409"/>
    <x v="5"/>
    <n v="0"/>
    <x v="1"/>
  </r>
  <r>
    <x v="2"/>
    <x v="5"/>
    <x v="127"/>
    <x v="1"/>
    <n v="160.16999999999999"/>
    <n v="0"/>
    <n v="0"/>
    <x v="5"/>
    <n v="0"/>
    <x v="1"/>
  </r>
  <r>
    <x v="2"/>
    <x v="5"/>
    <x v="128"/>
    <x v="1"/>
    <n v="155.97999999999999"/>
    <n v="304.5"/>
    <n v="1952"/>
    <x v="5"/>
    <n v="0"/>
    <x v="1"/>
  </r>
  <r>
    <x v="2"/>
    <x v="5"/>
    <x v="129"/>
    <x v="1"/>
    <n v="138.55000000000001"/>
    <n v="231"/>
    <n v="1667"/>
    <x v="5"/>
    <n v="0"/>
    <x v="1"/>
  </r>
  <r>
    <x v="2"/>
    <x v="6"/>
    <x v="130"/>
    <x v="4"/>
    <n v="69.37"/>
    <n v="341.25"/>
    <n v="4919"/>
    <x v="38"/>
    <n v="313950"/>
    <x v="0"/>
  </r>
  <r>
    <x v="2"/>
    <x v="6"/>
    <x v="131"/>
    <x v="2"/>
    <n v="281.93"/>
    <n v="352.8"/>
    <n v="1251"/>
    <x v="5"/>
    <n v="0"/>
    <x v="1"/>
  </r>
  <r>
    <x v="2"/>
    <x v="6"/>
    <x v="132"/>
    <x v="5"/>
    <n v="136.19999999999999"/>
    <n v="341.25"/>
    <n v="2506"/>
    <x v="39"/>
    <n v="313950"/>
    <x v="0"/>
  </r>
  <r>
    <x v="2"/>
    <x v="6"/>
    <x v="133"/>
    <x v="1"/>
    <n v="207.89"/>
    <n v="252"/>
    <n v="1212"/>
    <x v="5"/>
    <n v="0"/>
    <x v="1"/>
  </r>
  <r>
    <x v="2"/>
    <x v="6"/>
    <x v="134"/>
    <x v="1"/>
    <n v="193.8"/>
    <n v="267.75"/>
    <n v="1382"/>
    <x v="40"/>
    <n v="246330"/>
    <x v="0"/>
  </r>
  <r>
    <x v="2"/>
    <x v="6"/>
    <x v="135"/>
    <x v="1"/>
    <n v="169.07"/>
    <n v="252"/>
    <n v="1491"/>
    <x v="41"/>
    <n v="23184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EBCA4-7D0A-46EE-B3F6-7B865ADB4B93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Статус квартиры">
  <location ref="A15:F19" firstHeaderRow="0" firstDataRow="1" firstDataCol="1" rowPageCount="3" colPageCount="1"/>
  <pivotFields count="10">
    <pivotField name="Выберите корпус:" axis="axisPage" multipleItemSelectionAllowed="1" showAll="0">
      <items count="4">
        <item x="0"/>
        <item x="1"/>
        <item x="2"/>
        <item t="default"/>
      </items>
    </pivotField>
    <pivotField name="Выберите этаж:" axis="axisPage" multipleItemSelectionAllowed="1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37">
        <item x="3"/>
        <item x="4"/>
        <item x="27"/>
        <item x="29"/>
        <item x="28"/>
        <item x="32"/>
        <item x="33"/>
        <item x="31"/>
        <item x="34"/>
        <item x="30"/>
        <item x="19"/>
        <item x="21"/>
        <item x="20"/>
        <item x="24"/>
        <item x="25"/>
        <item x="23"/>
        <item x="26"/>
        <item x="22"/>
        <item x="13"/>
        <item x="12"/>
        <item x="16"/>
        <item x="17"/>
        <item x="15"/>
        <item x="18"/>
        <item x="14"/>
        <item x="5"/>
        <item x="7"/>
        <item x="6"/>
        <item x="9"/>
        <item x="10"/>
        <item x="8"/>
        <item x="1"/>
        <item x="0"/>
        <item x="2"/>
        <item x="38"/>
        <item x="40"/>
        <item x="39"/>
        <item x="44"/>
        <item x="42"/>
        <item x="43"/>
        <item x="41"/>
        <item x="35"/>
        <item x="36"/>
        <item x="37"/>
        <item x="11"/>
        <item x="46"/>
        <item x="48"/>
        <item x="49"/>
        <item x="88"/>
        <item x="45"/>
        <item x="87"/>
        <item x="90"/>
        <item x="92"/>
        <item x="91"/>
        <item x="89"/>
        <item x="81"/>
        <item x="79"/>
        <item x="80"/>
        <item x="84"/>
        <item x="85"/>
        <item x="83"/>
        <item x="86"/>
        <item x="82"/>
        <item x="73"/>
        <item x="71"/>
        <item x="72"/>
        <item x="76"/>
        <item x="77"/>
        <item x="75"/>
        <item x="78"/>
        <item x="74"/>
        <item x="65"/>
        <item x="63"/>
        <item x="64"/>
        <item x="68"/>
        <item x="69"/>
        <item x="67"/>
        <item x="70"/>
        <item x="66"/>
        <item x="57"/>
        <item x="55"/>
        <item x="56"/>
        <item x="60"/>
        <item x="61"/>
        <item x="59"/>
        <item x="62"/>
        <item x="58"/>
        <item x="51"/>
        <item x="50"/>
        <item x="53"/>
        <item x="54"/>
        <item x="52"/>
        <item x="47"/>
        <item x="95"/>
        <item x="130"/>
        <item x="132"/>
        <item x="131"/>
        <item x="134"/>
        <item x="135"/>
        <item x="133"/>
        <item x="123"/>
        <item x="125"/>
        <item x="124"/>
        <item x="127"/>
        <item x="128"/>
        <item x="129"/>
        <item x="126"/>
        <item x="116"/>
        <item x="118"/>
        <item x="117"/>
        <item x="120"/>
        <item x="121"/>
        <item x="122"/>
        <item x="119"/>
        <item x="109"/>
        <item x="111"/>
        <item x="110"/>
        <item x="113"/>
        <item x="114"/>
        <item x="115"/>
        <item x="112"/>
        <item x="102"/>
        <item x="104"/>
        <item x="103"/>
        <item x="106"/>
        <item x="107"/>
        <item x="108"/>
        <item x="105"/>
        <item x="96"/>
        <item x="98"/>
        <item x="97"/>
        <item x="100"/>
        <item x="101"/>
        <item x="99"/>
        <item x="93"/>
        <item x="94"/>
        <item t="default"/>
      </items>
    </pivotField>
    <pivotField name="Выберите количество спален:" axis="axisPage" multipleItemSelectionAllowed="1" showAll="0">
      <items count="9">
        <item x="4"/>
        <item x="0"/>
        <item x="5"/>
        <item x="1"/>
        <item x="2"/>
        <item x="7"/>
        <item x="3"/>
        <item x="6"/>
        <item t="default"/>
      </items>
    </pivotField>
    <pivotField dataField="1" numFmtId="164" showAll="0"/>
    <pivotField dataField="1" showAll="0"/>
    <pivotField numFmtId="3" showAll="0"/>
    <pivotField dataField="1" numFmtId="3" showAll="0">
      <items count="43">
        <item x="5"/>
        <item x="38"/>
        <item x="10"/>
        <item x="26"/>
        <item x="28"/>
        <item x="16"/>
        <item x="21"/>
        <item x="27"/>
        <item x="41"/>
        <item x="14"/>
        <item x="13"/>
        <item x="20"/>
        <item x="11"/>
        <item x="8"/>
        <item x="9"/>
        <item x="39"/>
        <item x="6"/>
        <item x="31"/>
        <item x="17"/>
        <item x="36"/>
        <item x="37"/>
        <item x="40"/>
        <item x="35"/>
        <item x="24"/>
        <item x="30"/>
        <item x="12"/>
        <item x="19"/>
        <item x="22"/>
        <item x="7"/>
        <item x="18"/>
        <item x="2"/>
        <item x="15"/>
        <item x="29"/>
        <item x="34"/>
        <item x="33"/>
        <item x="32"/>
        <item x="0"/>
        <item x="25"/>
        <item x="3"/>
        <item x="4"/>
        <item x="1"/>
        <item x="23"/>
        <item t="default"/>
      </items>
    </pivotField>
    <pivotField dataField="1" numFmtId="3" showAll="0"/>
    <pivotField axis="axisRow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3" hier="-1"/>
  </pageFields>
  <dataFields count="5">
    <dataField name="Количество квартир" fld="2" subtotal="count" baseField="9" baseItem="0"/>
    <dataField name="Средняя площадь квартиры" fld="4" subtotal="average" baseField="9" baseItem="0"/>
    <dataField name="Средняя цена за м², руб" fld="8" subtotal="average" baseField="9" baseItem="0" numFmtId="3"/>
    <dataField name="Средняя базовая стоимость тыс. руб." fld="5" subtotal="average" baseField="9" baseItem="0" numFmtId="3"/>
    <dataField name="Средняя 100% стоимость, млн. руб." fld="7" subtotal="average" baseField="9" baseItem="0" numFmtId="164"/>
  </dataFields>
  <formats count="48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9" type="button" dataOnly="0" labelOnly="1" outline="0" axis="axisRow" fieldPosition="0"/>
    </format>
    <format dxfId="44">
      <pivotArea dataOnly="0" labelOnly="1" fieldPosition="0">
        <references count="1">
          <reference field="9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2">
          <reference field="3" count="0"/>
          <reference field="9" count="1" selected="0">
            <x v="0"/>
          </reference>
        </references>
      </pivotArea>
    </format>
    <format dxfId="41">
      <pivotArea dataOnly="0" labelOnly="1" fieldPosition="0">
        <references count="2">
          <reference field="3" count="6">
            <x v="0"/>
            <x v="1"/>
            <x v="2"/>
            <x v="3"/>
            <x v="4"/>
            <x v="6"/>
          </reference>
          <reference field="9" count="1" selected="0">
            <x v="1"/>
          </reference>
        </references>
      </pivotArea>
    </format>
    <format dxfId="40">
      <pivotArea dataOnly="0" labelOnly="1" fieldPosition="0">
        <references count="2">
          <reference field="3" count="1">
            <x v="2"/>
          </reference>
          <reference field="9" count="1" selected="0">
            <x v="2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8">
      <pivotArea field="9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6">
      <pivotArea field="9" type="button" dataOnly="0" labelOnly="1" outline="0" axis="axisRow" fieldPosition="0"/>
    </format>
    <format dxfId="3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4">
      <pivotArea dataOnly="0" outline="0" fieldPosition="0">
        <references count="1">
          <reference field="4294967294" count="1">
            <x v="1"/>
          </reference>
        </references>
      </pivotArea>
    </format>
    <format dxfId="33">
      <pivotArea outline="0" collapsedLevelsAreSubtotals="1" fieldPosition="0"/>
    </format>
    <format dxfId="32">
      <pivotArea dataOnly="0" labelOnly="1" fieldPosition="0">
        <references count="1">
          <reference field="9" count="0"/>
        </references>
      </pivotArea>
    </format>
    <format dxfId="31">
      <pivotArea dataOnly="0" labelOnly="1" grandRow="1" outline="0" fieldPosition="0"/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  <format dxfId="28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9" type="button" dataOnly="0" labelOnly="1" outline="0" axis="axisRow" fieldPosition="0"/>
    </format>
    <format dxfId="23">
      <pivotArea dataOnly="0" labelOnly="1" fieldPosition="0">
        <references count="1">
          <reference field="9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">
      <pivotArea grandRow="1"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9" type="button" dataOnly="0" labelOnly="1" outline="0" axis="axisRow" fieldPosition="0"/>
    </format>
    <format dxfId="16">
      <pivotArea dataOnly="0" labelOnly="1" fieldPosition="0">
        <references count="1">
          <reference field="9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9" type="button" dataOnly="0" labelOnly="1" outline="0" axis="axisRow" fieldPosition="0"/>
    </format>
    <format dxfId="10">
      <pivotArea dataOnly="0" labelOnly="1" fieldPosition="0">
        <references count="1">
          <reference field="9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collapsedLevelsAreSubtotals="1" fieldPosition="0">
        <references count="1">
          <reference field="9" count="0"/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9" type="button" dataOnly="0" labelOnly="1" outline="0" axis="axisRow" fieldPosition="0"/>
    </format>
    <format dxfId="3">
      <pivotArea dataOnly="0" labelOnly="1" fieldPosition="0">
        <references count="1">
          <reference field="9" count="0"/>
        </references>
      </pivotArea>
    </format>
    <format dxfId="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onditionalFormats count="5">
    <conditionalFormat priority="1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9" count="3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9" count="3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3">
              <x v="0"/>
              <x v="1"/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9" count="3">
              <x v="0"/>
              <x v="1"/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43063-7183-4405-9859-465B686C733D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Статус квартиры">
  <location ref="A5:F9" firstHeaderRow="0" firstDataRow="1" firstDataCol="1" rowPageCount="3" colPageCount="1"/>
  <pivotFields count="10">
    <pivotField name="Выберите корпус:" axis="axisPage" multipleItemSelectionAllowed="1" showAll="0">
      <items count="4">
        <item x="0"/>
        <item x="1"/>
        <item x="2"/>
        <item t="default"/>
      </items>
    </pivotField>
    <pivotField name="Выберите этаж:" axis="axisPage" multipleItemSelectionAllowed="1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37">
        <item x="3"/>
        <item x="4"/>
        <item x="27"/>
        <item x="29"/>
        <item x="28"/>
        <item x="32"/>
        <item x="33"/>
        <item x="31"/>
        <item x="34"/>
        <item x="30"/>
        <item x="19"/>
        <item x="21"/>
        <item x="20"/>
        <item x="24"/>
        <item x="25"/>
        <item x="23"/>
        <item x="26"/>
        <item x="22"/>
        <item x="13"/>
        <item x="12"/>
        <item x="16"/>
        <item x="17"/>
        <item x="15"/>
        <item x="18"/>
        <item x="14"/>
        <item x="5"/>
        <item x="7"/>
        <item x="6"/>
        <item x="9"/>
        <item x="10"/>
        <item x="8"/>
        <item x="1"/>
        <item x="0"/>
        <item x="2"/>
        <item x="38"/>
        <item x="40"/>
        <item x="39"/>
        <item x="44"/>
        <item x="42"/>
        <item x="43"/>
        <item x="41"/>
        <item x="35"/>
        <item x="36"/>
        <item x="37"/>
        <item x="11"/>
        <item x="46"/>
        <item x="48"/>
        <item x="49"/>
        <item x="88"/>
        <item x="45"/>
        <item x="87"/>
        <item x="90"/>
        <item x="92"/>
        <item x="91"/>
        <item x="89"/>
        <item x="81"/>
        <item x="79"/>
        <item x="80"/>
        <item x="84"/>
        <item x="85"/>
        <item x="83"/>
        <item x="86"/>
        <item x="82"/>
        <item x="73"/>
        <item x="71"/>
        <item x="72"/>
        <item x="76"/>
        <item x="77"/>
        <item x="75"/>
        <item x="78"/>
        <item x="74"/>
        <item x="65"/>
        <item x="63"/>
        <item x="64"/>
        <item x="68"/>
        <item x="69"/>
        <item x="67"/>
        <item x="70"/>
        <item x="66"/>
        <item x="57"/>
        <item x="55"/>
        <item x="56"/>
        <item x="60"/>
        <item x="61"/>
        <item x="59"/>
        <item x="62"/>
        <item x="58"/>
        <item x="51"/>
        <item x="50"/>
        <item x="53"/>
        <item x="54"/>
        <item x="52"/>
        <item x="47"/>
        <item x="95"/>
        <item x="130"/>
        <item x="132"/>
        <item x="131"/>
        <item x="134"/>
        <item x="135"/>
        <item x="133"/>
        <item x="123"/>
        <item x="125"/>
        <item x="124"/>
        <item x="127"/>
        <item x="128"/>
        <item x="129"/>
        <item x="126"/>
        <item x="116"/>
        <item x="118"/>
        <item x="117"/>
        <item x="120"/>
        <item x="121"/>
        <item x="122"/>
        <item x="119"/>
        <item x="109"/>
        <item x="111"/>
        <item x="110"/>
        <item x="113"/>
        <item x="114"/>
        <item x="115"/>
        <item x="112"/>
        <item x="102"/>
        <item x="104"/>
        <item x="103"/>
        <item x="106"/>
        <item x="107"/>
        <item x="108"/>
        <item x="105"/>
        <item x="96"/>
        <item x="98"/>
        <item x="97"/>
        <item x="100"/>
        <item x="101"/>
        <item x="99"/>
        <item x="93"/>
        <item x="94"/>
        <item t="default"/>
      </items>
    </pivotField>
    <pivotField name="Выберите количество спален:" axis="axisPage" multipleItemSelectionAllowed="1" showAll="0">
      <items count="9">
        <item x="4"/>
        <item x="0"/>
        <item x="5"/>
        <item x="1"/>
        <item x="2"/>
        <item x="7"/>
        <item x="3"/>
        <item x="6"/>
        <item t="default"/>
      </items>
    </pivotField>
    <pivotField dataField="1" numFmtId="164" showAll="0"/>
    <pivotField dataField="1" showAll="0"/>
    <pivotField numFmtId="3" showAll="0"/>
    <pivotField dataField="1" numFmtId="3" showAll="0">
      <items count="43">
        <item x="5"/>
        <item x="38"/>
        <item x="10"/>
        <item x="26"/>
        <item x="28"/>
        <item x="16"/>
        <item x="21"/>
        <item x="27"/>
        <item x="41"/>
        <item x="14"/>
        <item x="13"/>
        <item x="20"/>
        <item x="11"/>
        <item x="8"/>
        <item x="9"/>
        <item x="39"/>
        <item x="6"/>
        <item x="31"/>
        <item x="17"/>
        <item x="36"/>
        <item x="37"/>
        <item x="40"/>
        <item x="35"/>
        <item x="24"/>
        <item x="30"/>
        <item x="12"/>
        <item x="19"/>
        <item x="22"/>
        <item x="7"/>
        <item x="18"/>
        <item x="2"/>
        <item x="15"/>
        <item x="29"/>
        <item x="34"/>
        <item x="33"/>
        <item x="32"/>
        <item x="0"/>
        <item x="25"/>
        <item x="3"/>
        <item x="4"/>
        <item x="1"/>
        <item x="23"/>
        <item t="default"/>
      </items>
    </pivotField>
    <pivotField dataField="1" numFmtId="3" showAll="0"/>
    <pivotField axis="axisRow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3" hier="-1"/>
  </pageFields>
  <dataFields count="5">
    <dataField name="Количество квартир" fld="2" subtotal="count" baseField="9" baseItem="0"/>
    <dataField name="Средняя площадь квартиры" fld="4" subtotal="average" baseField="9" baseItem="0"/>
    <dataField name="Средняя цена за м², руб" fld="8" subtotal="average" baseField="9" baseItem="0" numFmtId="3"/>
    <dataField name="Средняя базовая стоимость тыс. руб." fld="5" subtotal="average" baseField="9" baseItem="0" numFmtId="3"/>
    <dataField name="Средняя 100% стоимость, млн. руб." fld="7" subtotal="average" baseField="9" baseItem="0" numFmtId="164"/>
  </dataFields>
  <formats count="49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9" type="button" dataOnly="0" labelOnly="1" outline="0" axis="axisRow" fieldPosition="0"/>
    </format>
    <format dxfId="93">
      <pivotArea dataOnly="0" labelOnly="1" fieldPosition="0">
        <references count="1">
          <reference field="9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2">
          <reference field="3" count="0"/>
          <reference field="9" count="1" selected="0">
            <x v="0"/>
          </reference>
        </references>
      </pivotArea>
    </format>
    <format dxfId="90">
      <pivotArea dataOnly="0" labelOnly="1" fieldPosition="0">
        <references count="2">
          <reference field="3" count="6">
            <x v="0"/>
            <x v="1"/>
            <x v="2"/>
            <x v="3"/>
            <x v="4"/>
            <x v="6"/>
          </reference>
          <reference field="9" count="1" selected="0">
            <x v="1"/>
          </reference>
        </references>
      </pivotArea>
    </format>
    <format dxfId="89">
      <pivotArea dataOnly="0" labelOnly="1" fieldPosition="0">
        <references count="2">
          <reference field="3" count="1">
            <x v="2"/>
          </reference>
          <reference field="9" count="1" selected="0">
            <x v="2"/>
          </reference>
        </references>
      </pivotArea>
    </format>
    <format dxfId="8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7">
      <pivotArea field="9" type="button" dataOnly="0" labelOnly="1" outline="0" axis="axisRow" fieldPosition="0"/>
    </format>
    <format dxfId="8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5">
      <pivotArea field="9" type="button" dataOnly="0" labelOnly="1" outline="0" axis="axisRow" fieldPosition="0"/>
    </format>
    <format dxfId="8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3">
      <pivotArea dataOnly="0" outline="0" fieldPosition="0">
        <references count="1">
          <reference field="4294967294" count="1">
            <x v="1"/>
          </reference>
        </references>
      </pivotArea>
    </format>
    <format dxfId="82">
      <pivotArea outline="0" collapsedLevelsAreSubtotals="1" fieldPosition="0"/>
    </format>
    <format dxfId="81">
      <pivotArea dataOnly="0" labelOnly="1" fieldPosition="0">
        <references count="1">
          <reference field="9" count="0"/>
        </references>
      </pivotArea>
    </format>
    <format dxfId="80">
      <pivotArea dataOnly="0" labelOnly="1" grandRow="1" outline="0" fieldPosition="0"/>
    </format>
    <format dxfId="7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8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  <format dxfId="77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7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9" type="button" dataOnly="0" labelOnly="1" outline="0" axis="axisRow" fieldPosition="0"/>
    </format>
    <format dxfId="72">
      <pivotArea dataOnly="0" labelOnly="1" fieldPosition="0">
        <references count="1">
          <reference field="9" count="0"/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9">
      <pivotArea grandRow="1" outline="0" collapsedLevelsAreSubtotals="1" fieldPosition="0"/>
    </format>
    <format dxfId="68">
      <pivotArea type="all" dataOnly="0" outline="0" fieldPosition="0"/>
    </format>
    <format dxfId="67">
      <pivotArea collapsedLevelsAreSubtotals="1" fieldPosition="0">
        <references count="1">
          <reference field="9" count="0"/>
        </references>
      </pivotArea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9" type="button" dataOnly="0" labelOnly="1" outline="0" axis="axisRow" fieldPosition="0"/>
    </format>
    <format dxfId="63">
      <pivotArea dataOnly="0" labelOnly="1" fieldPosition="0">
        <references count="1">
          <reference field="9" count="0"/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9" type="button" dataOnly="0" labelOnly="1" outline="0" axis="axisRow" fieldPosition="0"/>
    </format>
    <format dxfId="57">
      <pivotArea dataOnly="0" labelOnly="1" fieldPosition="0">
        <references count="1">
          <reference field="9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9" type="button" dataOnly="0" labelOnly="1" outline="0" axis="axisRow" fieldPosition="0"/>
    </format>
    <format dxfId="51">
      <pivotArea dataOnly="0" labelOnly="1" fieldPosition="0">
        <references count="1">
          <reference field="9" count="0"/>
        </references>
      </pivotArea>
    </format>
    <format dxfId="5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9">
      <pivotArea grandRow="1" outline="0" collapsedLevelsAreSubtotals="1" fieldPosition="0"/>
    </format>
    <format dxfId="48">
      <pivotArea dataOnly="0" labelOnly="1" grandRow="1" outline="0" fieldPosition="0"/>
    </format>
  </formats>
  <conditionalFormats count="5">
    <conditionalFormat priority="6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9" count="3">
              <x v="0"/>
              <x v="1"/>
              <x v="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9" count="3">
              <x v="0"/>
              <x v="1"/>
              <x v="2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3">
              <x v="0"/>
              <x v="1"/>
              <x v="2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9" count="3">
              <x v="0"/>
              <x v="1"/>
              <x v="2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3"/>
  <sheetViews>
    <sheetView showGridLines="0" topLeftCell="A10" workbookViewId="0">
      <selection activeCell="C7" sqref="C7:I7"/>
    </sheetView>
  </sheetViews>
  <sheetFormatPr defaultColWidth="12.5703125" defaultRowHeight="15.75" customHeight="1" x14ac:dyDescent="0.2"/>
  <cols>
    <col min="2" max="3" width="17.42578125" customWidth="1"/>
  </cols>
  <sheetData>
    <row r="1" spans="1:10" ht="15.75" customHeight="1" x14ac:dyDescent="0.35">
      <c r="A1" s="190" t="s">
        <v>0</v>
      </c>
      <c r="B1" s="191"/>
      <c r="C1" s="191"/>
      <c r="D1" s="191"/>
      <c r="E1" s="191"/>
      <c r="F1" s="191"/>
      <c r="G1" s="191"/>
      <c r="H1" s="1"/>
      <c r="I1" s="1"/>
      <c r="J1" s="1"/>
    </row>
    <row r="2" spans="1:10" ht="12.75" x14ac:dyDescent="0.2">
      <c r="A2" s="2" t="s">
        <v>1</v>
      </c>
      <c r="B2" s="3"/>
      <c r="C2" s="3"/>
      <c r="D2" s="1"/>
      <c r="E2" s="1"/>
      <c r="F2" s="1"/>
      <c r="G2" s="1"/>
      <c r="H2" s="1"/>
      <c r="I2" s="1"/>
      <c r="J2" s="1"/>
    </row>
    <row r="3" spans="1:10" ht="15.75" customHeight="1" x14ac:dyDescent="0.25">
      <c r="A3" s="4">
        <v>1</v>
      </c>
      <c r="B3" s="192" t="s">
        <v>2</v>
      </c>
      <c r="C3" s="191"/>
      <c r="D3" s="191"/>
      <c r="E3" s="191"/>
      <c r="F3" s="191"/>
      <c r="G3" s="191"/>
      <c r="H3" s="191"/>
      <c r="I3" s="191"/>
      <c r="J3" s="191"/>
    </row>
    <row r="4" spans="1:10" ht="14.25" x14ac:dyDescent="0.2">
      <c r="A4" s="5">
        <v>2</v>
      </c>
      <c r="B4" s="193" t="s">
        <v>3</v>
      </c>
      <c r="C4" s="191"/>
      <c r="D4" s="7"/>
      <c r="E4" s="7"/>
      <c r="F4" s="1"/>
      <c r="G4" s="1"/>
      <c r="H4" s="1"/>
      <c r="I4" s="1"/>
      <c r="J4" s="1"/>
    </row>
    <row r="5" spans="1:10" ht="14.25" x14ac:dyDescent="0.2">
      <c r="A5" s="5">
        <v>3</v>
      </c>
      <c r="B5" s="193" t="s">
        <v>4</v>
      </c>
      <c r="C5" s="191"/>
      <c r="D5" s="7"/>
      <c r="E5" s="7"/>
      <c r="F5" s="1"/>
      <c r="G5" s="1"/>
      <c r="H5" s="1"/>
      <c r="I5" s="1"/>
      <c r="J5" s="1"/>
    </row>
    <row r="6" spans="1:10" ht="14.25" x14ac:dyDescent="0.2">
      <c r="A6" s="8"/>
      <c r="B6" s="5" t="s">
        <v>5</v>
      </c>
      <c r="C6" s="194" t="s">
        <v>6</v>
      </c>
      <c r="D6" s="191"/>
      <c r="E6" s="191"/>
      <c r="F6" s="191"/>
      <c r="G6" s="1"/>
      <c r="H6" s="1"/>
      <c r="I6" s="1"/>
      <c r="J6" s="1"/>
    </row>
    <row r="7" spans="1:10" ht="14.25" x14ac:dyDescent="0.2">
      <c r="A7" s="8"/>
      <c r="B7" s="5" t="s">
        <v>7</v>
      </c>
      <c r="C7" s="194" t="s">
        <v>8</v>
      </c>
      <c r="D7" s="191"/>
      <c r="E7" s="191"/>
      <c r="F7" s="191"/>
      <c r="G7" s="191"/>
      <c r="H7" s="191"/>
      <c r="I7" s="191"/>
      <c r="J7" s="1"/>
    </row>
    <row r="8" spans="1:10" ht="14.25" x14ac:dyDescent="0.2">
      <c r="A8" s="1"/>
      <c r="B8" s="5" t="s">
        <v>9</v>
      </c>
      <c r="C8" s="194" t="s">
        <v>10</v>
      </c>
      <c r="D8" s="191"/>
      <c r="E8" s="191"/>
      <c r="F8" s="191"/>
      <c r="G8" s="191"/>
      <c r="H8" s="1"/>
      <c r="I8" s="1"/>
      <c r="J8" s="1"/>
    </row>
    <row r="9" spans="1:10" ht="14.25" x14ac:dyDescent="0.2">
      <c r="A9" s="1"/>
      <c r="B9" s="5" t="s">
        <v>11</v>
      </c>
      <c r="C9" s="194" t="s">
        <v>12</v>
      </c>
      <c r="D9" s="191"/>
      <c r="E9" s="191"/>
      <c r="F9" s="191"/>
      <c r="G9" s="191"/>
      <c r="H9" s="191"/>
      <c r="I9" s="191"/>
      <c r="J9" s="191"/>
    </row>
    <row r="10" spans="1:10" ht="14.25" x14ac:dyDescent="0.2">
      <c r="A10" s="5">
        <v>4</v>
      </c>
      <c r="B10" s="193" t="s">
        <v>13</v>
      </c>
      <c r="C10" s="191"/>
      <c r="D10" s="7"/>
      <c r="E10" s="7"/>
      <c r="F10" s="1"/>
      <c r="G10" s="1"/>
      <c r="H10" s="1"/>
      <c r="I10" s="1"/>
      <c r="J10" s="1"/>
    </row>
    <row r="11" spans="1:10" ht="14.25" x14ac:dyDescent="0.2">
      <c r="A11" s="8"/>
      <c r="B11" s="6" t="s">
        <v>14</v>
      </c>
      <c r="C11" s="9"/>
      <c r="D11" s="7"/>
      <c r="E11" s="7"/>
      <c r="F11" s="1"/>
      <c r="G11" s="1"/>
      <c r="H11" s="1"/>
      <c r="I11" s="1"/>
      <c r="J11" s="1"/>
    </row>
    <row r="12" spans="1:10" ht="14.25" x14ac:dyDescent="0.2">
      <c r="A12" s="8"/>
      <c r="B12" s="10" t="s">
        <v>15</v>
      </c>
      <c r="C12" s="11" t="s">
        <v>16</v>
      </c>
      <c r="D12" s="7"/>
      <c r="E12" s="7"/>
      <c r="F12" s="1"/>
      <c r="G12" s="1"/>
      <c r="H12" s="1"/>
      <c r="I12" s="1"/>
      <c r="J12" s="1"/>
    </row>
    <row r="13" spans="1:10" ht="14.25" x14ac:dyDescent="0.2">
      <c r="A13" s="8"/>
      <c r="B13" s="12" t="s">
        <v>17</v>
      </c>
      <c r="C13" s="13" t="s">
        <v>18</v>
      </c>
      <c r="D13" s="7"/>
      <c r="E13" s="7"/>
      <c r="F13" s="1"/>
      <c r="G13" s="1"/>
      <c r="H13" s="1"/>
      <c r="I13" s="1"/>
      <c r="J13" s="1"/>
    </row>
    <row r="14" spans="1:10" ht="14.25" x14ac:dyDescent="0.2">
      <c r="A14" s="8"/>
      <c r="B14" s="14" t="s">
        <v>19</v>
      </c>
      <c r="C14" s="13" t="s">
        <v>20</v>
      </c>
      <c r="D14" s="7"/>
      <c r="E14" s="7"/>
      <c r="F14" s="1"/>
      <c r="G14" s="1"/>
      <c r="H14" s="1"/>
      <c r="I14" s="1"/>
      <c r="J14" s="1"/>
    </row>
    <row r="15" spans="1:10" ht="14.25" x14ac:dyDescent="0.2">
      <c r="A15" s="8"/>
      <c r="B15" s="15" t="s">
        <v>21</v>
      </c>
      <c r="C15" s="13" t="s">
        <v>22</v>
      </c>
      <c r="D15" s="7"/>
      <c r="E15" s="7"/>
      <c r="F15" s="1"/>
      <c r="G15" s="1"/>
      <c r="H15" s="1"/>
      <c r="I15" s="1"/>
      <c r="J15" s="1"/>
    </row>
    <row r="16" spans="1:10" ht="14.25" x14ac:dyDescent="0.2">
      <c r="A16" s="8"/>
      <c r="B16" s="16"/>
      <c r="C16" s="9"/>
      <c r="D16" s="7"/>
      <c r="E16" s="7"/>
      <c r="F16" s="1"/>
      <c r="G16" s="1"/>
      <c r="H16" s="1"/>
      <c r="I16" s="1"/>
      <c r="J16" s="1"/>
    </row>
    <row r="17" spans="1:10" ht="14.25" x14ac:dyDescent="0.2">
      <c r="A17" s="5">
        <v>5</v>
      </c>
      <c r="B17" s="193" t="s">
        <v>23</v>
      </c>
      <c r="C17" s="191"/>
      <c r="D17" s="191"/>
      <c r="E17" s="191"/>
      <c r="F17" s="191"/>
      <c r="G17" s="191"/>
      <c r="H17" s="191"/>
      <c r="I17" s="191"/>
      <c r="J17" s="191"/>
    </row>
    <row r="18" spans="1:10" ht="14.25" x14ac:dyDescent="0.2">
      <c r="A18" s="8"/>
      <c r="B18" s="16"/>
      <c r="C18" s="9"/>
      <c r="D18" s="7"/>
      <c r="E18" s="7"/>
      <c r="F18" s="1"/>
      <c r="G18" s="1"/>
      <c r="H18" s="1"/>
      <c r="I18" s="1"/>
      <c r="J18" s="1"/>
    </row>
    <row r="19" spans="1:10" ht="14.25" x14ac:dyDescent="0.2">
      <c r="A19" s="5">
        <v>6</v>
      </c>
      <c r="B19" s="193" t="s">
        <v>24</v>
      </c>
      <c r="C19" s="191"/>
      <c r="D19" s="191"/>
      <c r="E19" s="191"/>
      <c r="F19" s="191"/>
      <c r="G19" s="191"/>
      <c r="H19" s="191"/>
      <c r="I19" s="191"/>
      <c r="J19" s="191"/>
    </row>
    <row r="20" spans="1:10" ht="14.25" x14ac:dyDescent="0.2">
      <c r="A20" s="8"/>
      <c r="B20" s="16"/>
      <c r="C20" s="9"/>
      <c r="D20" s="7"/>
      <c r="E20" s="7"/>
      <c r="F20" s="1"/>
      <c r="G20" s="1"/>
      <c r="H20" s="1"/>
      <c r="I20" s="1"/>
      <c r="J20" s="1"/>
    </row>
    <row r="21" spans="1:10" ht="14.25" x14ac:dyDescent="0.2">
      <c r="A21" s="17" t="s">
        <v>25</v>
      </c>
      <c r="B21" s="193" t="s">
        <v>26</v>
      </c>
      <c r="C21" s="191"/>
      <c r="D21" s="7"/>
      <c r="E21" s="7"/>
      <c r="F21" s="1"/>
      <c r="G21" s="1"/>
      <c r="H21" s="1"/>
      <c r="I21" s="1"/>
      <c r="J21" s="1"/>
    </row>
    <row r="22" spans="1:10" ht="14.25" x14ac:dyDescent="0.2">
      <c r="A22" s="1"/>
      <c r="B22" s="193" t="s">
        <v>27</v>
      </c>
      <c r="C22" s="191"/>
      <c r="D22" s="7"/>
      <c r="E22" s="7"/>
      <c r="F22" s="1"/>
      <c r="G22" s="1"/>
      <c r="H22" s="1"/>
      <c r="I22" s="1"/>
      <c r="J22" s="1"/>
    </row>
    <row r="23" spans="1:10" ht="14.25" x14ac:dyDescent="0.2">
      <c r="A23" s="1"/>
      <c r="B23" s="191"/>
      <c r="C23" s="191"/>
      <c r="D23" s="7"/>
      <c r="E23" s="7"/>
      <c r="F23" s="1"/>
      <c r="G23" s="1"/>
      <c r="H23" s="1"/>
      <c r="I23" s="1"/>
      <c r="J23" s="1"/>
    </row>
    <row r="24" spans="1:10" ht="14.25" x14ac:dyDescent="0.2">
      <c r="A24" s="1"/>
      <c r="B24" s="191"/>
      <c r="C24" s="191"/>
      <c r="D24" s="7"/>
      <c r="E24" s="7"/>
      <c r="F24" s="1"/>
      <c r="G24" s="1"/>
      <c r="H24" s="1"/>
      <c r="I24" s="1"/>
      <c r="J24" s="1"/>
    </row>
    <row r="25" spans="1:10" ht="14.25" x14ac:dyDescent="0.2">
      <c r="A25" s="1"/>
      <c r="B25" s="191"/>
      <c r="C25" s="191"/>
      <c r="D25" s="7"/>
      <c r="E25" s="7"/>
      <c r="F25" s="1"/>
      <c r="G25" s="1"/>
      <c r="H25" s="1"/>
      <c r="I25" s="1"/>
      <c r="J25" s="1"/>
    </row>
    <row r="26" spans="1:10" ht="15.75" customHeight="1" x14ac:dyDescent="0.25">
      <c r="A26" s="1"/>
      <c r="B26" s="19" t="s">
        <v>28</v>
      </c>
      <c r="C26" s="18" t="s">
        <v>29</v>
      </c>
      <c r="D26" s="7"/>
      <c r="E26" s="7"/>
      <c r="F26" s="1"/>
      <c r="G26" s="1"/>
      <c r="H26" s="1"/>
      <c r="I26" s="1"/>
      <c r="J26" s="1"/>
    </row>
    <row r="27" spans="1:10" ht="14.25" x14ac:dyDescent="0.2">
      <c r="A27" s="1"/>
      <c r="B27" s="193" t="s">
        <v>30</v>
      </c>
      <c r="C27" s="191"/>
      <c r="D27" s="191"/>
      <c r="E27" s="191"/>
      <c r="F27" s="191"/>
      <c r="G27" s="191"/>
      <c r="H27" s="191"/>
      <c r="I27" s="191"/>
      <c r="J27" s="191"/>
    </row>
    <row r="28" spans="1:10" ht="14.25" x14ac:dyDescent="0.2">
      <c r="A28" s="1"/>
      <c r="B28" s="193" t="s">
        <v>31</v>
      </c>
      <c r="C28" s="191"/>
      <c r="D28" s="191"/>
      <c r="E28" s="191"/>
      <c r="F28" s="191"/>
      <c r="G28" s="191"/>
      <c r="H28" s="191"/>
      <c r="I28" s="1"/>
      <c r="J28" s="1"/>
    </row>
    <row r="29" spans="1:10" ht="42.75" x14ac:dyDescent="0.2">
      <c r="A29" s="1"/>
      <c r="B29" s="20" t="s">
        <v>32</v>
      </c>
      <c r="C29" s="21" t="s">
        <v>33</v>
      </c>
      <c r="D29" s="7"/>
      <c r="E29" s="7"/>
      <c r="F29" s="1"/>
      <c r="G29" s="1"/>
      <c r="H29" s="1"/>
      <c r="I29" s="1"/>
      <c r="J29" s="1"/>
    </row>
    <row r="30" spans="1:10" ht="14.25" x14ac:dyDescent="0.2">
      <c r="A30" s="1"/>
      <c r="B30" s="22" t="s">
        <v>34</v>
      </c>
      <c r="C30" s="23" t="s">
        <v>35</v>
      </c>
      <c r="D30" s="7"/>
      <c r="E30" s="7"/>
      <c r="F30" s="1"/>
      <c r="G30" s="1"/>
      <c r="H30" s="1"/>
      <c r="I30" s="1"/>
      <c r="J30" s="1"/>
    </row>
    <row r="31" spans="1:10" ht="14.25" x14ac:dyDescent="0.2">
      <c r="A31" s="1"/>
      <c r="B31" s="22" t="s">
        <v>36</v>
      </c>
      <c r="C31" s="23">
        <v>1</v>
      </c>
      <c r="D31" s="7"/>
      <c r="E31" s="7"/>
      <c r="F31" s="1"/>
      <c r="G31" s="1"/>
      <c r="H31" s="1"/>
      <c r="I31" s="1"/>
      <c r="J31" s="1"/>
    </row>
    <row r="32" spans="1:10" ht="14.25" x14ac:dyDescent="0.2">
      <c r="A32" s="1"/>
      <c r="B32" s="22" t="s">
        <v>37</v>
      </c>
      <c r="C32" s="23">
        <v>2</v>
      </c>
      <c r="D32" s="7"/>
      <c r="E32" s="7"/>
      <c r="F32" s="1"/>
      <c r="G32" s="1"/>
      <c r="H32" s="1"/>
      <c r="I32" s="1"/>
      <c r="J32" s="1"/>
    </row>
    <row r="33" spans="1:10" ht="14.25" x14ac:dyDescent="0.2">
      <c r="A33" s="1"/>
      <c r="B33" s="22" t="s">
        <v>38</v>
      </c>
      <c r="C33" s="23">
        <v>3</v>
      </c>
      <c r="D33" s="7"/>
      <c r="E33" s="7"/>
      <c r="F33" s="1"/>
      <c r="G33" s="1"/>
      <c r="H33" s="1"/>
      <c r="I33" s="1"/>
      <c r="J33" s="1"/>
    </row>
    <row r="34" spans="1:10" ht="14.25" x14ac:dyDescent="0.2">
      <c r="A34" s="1"/>
      <c r="B34" s="22" t="s">
        <v>39</v>
      </c>
      <c r="C34" s="23">
        <v>4</v>
      </c>
      <c r="D34" s="7"/>
      <c r="E34" s="7"/>
      <c r="F34" s="1"/>
      <c r="G34" s="1"/>
      <c r="H34" s="1"/>
      <c r="I34" s="1"/>
      <c r="J34" s="1"/>
    </row>
    <row r="35" spans="1:10" ht="15.75" customHeight="1" x14ac:dyDescent="0.25">
      <c r="A35" s="1"/>
      <c r="B35" s="19" t="s">
        <v>40</v>
      </c>
      <c r="C35" s="18" t="s">
        <v>41</v>
      </c>
      <c r="D35" s="7"/>
      <c r="E35" s="7"/>
      <c r="F35" s="1"/>
      <c r="G35" s="1"/>
      <c r="H35" s="1"/>
      <c r="I35" s="1"/>
      <c r="J35" s="1"/>
    </row>
    <row r="36" spans="1:10" ht="15.75" customHeight="1" x14ac:dyDescent="0.25">
      <c r="A36" s="1"/>
      <c r="B36" s="19" t="s">
        <v>42</v>
      </c>
      <c r="C36" s="18" t="s">
        <v>43</v>
      </c>
      <c r="D36" s="7"/>
      <c r="E36" s="7"/>
      <c r="F36" s="1"/>
      <c r="G36" s="1"/>
      <c r="H36" s="1"/>
      <c r="I36" s="1"/>
      <c r="J36" s="1"/>
    </row>
    <row r="37" spans="1:10" ht="15.75" customHeight="1" x14ac:dyDescent="0.25">
      <c r="A37" s="1"/>
      <c r="B37" s="71">
        <v>535.6</v>
      </c>
      <c r="C37" s="193" t="s">
        <v>44</v>
      </c>
      <c r="D37" s="191"/>
      <c r="E37" s="7"/>
      <c r="F37" s="1"/>
      <c r="G37" s="1"/>
      <c r="H37" s="1"/>
      <c r="I37" s="1"/>
      <c r="J37" s="1"/>
    </row>
    <row r="38" spans="1:10" ht="15" x14ac:dyDescent="0.25">
      <c r="A38" s="1"/>
      <c r="B38" s="19" t="s">
        <v>45</v>
      </c>
      <c r="C38" s="193" t="s">
        <v>46</v>
      </c>
      <c r="D38" s="191"/>
      <c r="E38" s="7"/>
      <c r="F38" s="1"/>
      <c r="G38" s="1"/>
      <c r="H38" s="1"/>
      <c r="I38" s="1"/>
      <c r="J38" s="1"/>
    </row>
    <row r="39" spans="1:10" ht="15" x14ac:dyDescent="0.25">
      <c r="A39" s="1"/>
      <c r="B39" s="19" t="s">
        <v>47</v>
      </c>
      <c r="C39" s="193" t="s">
        <v>48</v>
      </c>
      <c r="D39" s="191"/>
      <c r="E39" s="191"/>
      <c r="F39" s="1"/>
      <c r="G39" s="1"/>
      <c r="H39" s="1"/>
      <c r="I39" s="1"/>
      <c r="J39" s="1"/>
    </row>
    <row r="40" spans="1:10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" x14ac:dyDescent="0.25">
      <c r="A41" s="4">
        <v>7</v>
      </c>
      <c r="B41" s="192" t="s">
        <v>49</v>
      </c>
      <c r="C41" s="191"/>
      <c r="D41" s="191"/>
      <c r="E41" s="191"/>
      <c r="F41" s="191"/>
      <c r="G41" s="191"/>
      <c r="H41" s="191"/>
      <c r="I41" s="191"/>
      <c r="J41" s="191"/>
    </row>
    <row r="42" spans="1:10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5" x14ac:dyDescent="0.25">
      <c r="A43" s="4">
        <v>8</v>
      </c>
      <c r="B43" s="192" t="s">
        <v>50</v>
      </c>
      <c r="C43" s="191"/>
      <c r="D43" s="191"/>
      <c r="E43" s="191"/>
      <c r="F43" s="191"/>
      <c r="G43" s="1"/>
      <c r="H43" s="1"/>
      <c r="I43" s="1"/>
      <c r="J43" s="1"/>
    </row>
  </sheetData>
  <mergeCells count="21">
    <mergeCell ref="C38:D38"/>
    <mergeCell ref="C39:E39"/>
    <mergeCell ref="B41:J41"/>
    <mergeCell ref="B43:F43"/>
    <mergeCell ref="C9:J9"/>
    <mergeCell ref="B10:C10"/>
    <mergeCell ref="B17:J17"/>
    <mergeCell ref="B19:J19"/>
    <mergeCell ref="B21:C21"/>
    <mergeCell ref="B22:C22"/>
    <mergeCell ref="B23:C25"/>
    <mergeCell ref="C7:I7"/>
    <mergeCell ref="C8:G8"/>
    <mergeCell ref="B27:J27"/>
    <mergeCell ref="B28:H28"/>
    <mergeCell ref="C37:D37"/>
    <mergeCell ref="A1:G1"/>
    <mergeCell ref="B3:J3"/>
    <mergeCell ref="B4:C4"/>
    <mergeCell ref="B5:C5"/>
    <mergeCell ref="C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36" zoomScaleNormal="100" workbookViewId="0">
      <selection activeCell="N75" sqref="N75:O75"/>
    </sheetView>
  </sheetViews>
  <sheetFormatPr defaultColWidth="12.5703125" defaultRowHeight="15.75" customHeight="1" x14ac:dyDescent="0.2"/>
  <cols>
    <col min="1" max="1" width="17.42578125" customWidth="1"/>
  </cols>
  <sheetData>
    <row r="1" spans="1:26" ht="15.75" customHeight="1" x14ac:dyDescent="0.25">
      <c r="A1" s="204" t="s">
        <v>51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4"/>
      <c r="T1" s="24"/>
      <c r="U1" s="24"/>
      <c r="V1" s="24"/>
      <c r="W1" s="24"/>
      <c r="X1" s="24"/>
      <c r="Y1" s="24"/>
      <c r="Z1" s="24"/>
    </row>
    <row r="2" spans="1:26" ht="12.75" x14ac:dyDescent="0.2">
      <c r="A2" s="25"/>
      <c r="B2" s="221" t="s">
        <v>52</v>
      </c>
      <c r="C2" s="222"/>
      <c r="D2" s="222"/>
      <c r="E2" s="222"/>
      <c r="F2" s="222"/>
      <c r="G2" s="223"/>
      <c r="H2" s="221" t="s">
        <v>53</v>
      </c>
      <c r="I2" s="222"/>
      <c r="J2" s="222"/>
      <c r="K2" s="222"/>
      <c r="L2" s="222"/>
      <c r="M2" s="222"/>
      <c r="N2" s="222"/>
      <c r="O2" s="222"/>
      <c r="P2" s="222"/>
      <c r="Q2" s="223"/>
      <c r="R2" s="26"/>
      <c r="S2" s="24"/>
      <c r="T2" s="24"/>
      <c r="U2" s="24"/>
      <c r="V2" s="24"/>
      <c r="W2" s="24"/>
      <c r="X2" s="24"/>
      <c r="Y2" s="24"/>
      <c r="Z2" s="24"/>
    </row>
    <row r="3" spans="1:26" ht="12.75" x14ac:dyDescent="0.2">
      <c r="A3" s="210">
        <v>7</v>
      </c>
      <c r="B3" s="27" t="s">
        <v>54</v>
      </c>
      <c r="C3" s="28" t="s">
        <v>55</v>
      </c>
      <c r="D3" s="232" t="s">
        <v>56</v>
      </c>
      <c r="E3" s="207"/>
      <c r="F3" s="232" t="s">
        <v>57</v>
      </c>
      <c r="G3" s="208"/>
      <c r="H3" s="27" t="s">
        <v>58</v>
      </c>
      <c r="I3" s="28" t="s">
        <v>59</v>
      </c>
      <c r="J3" s="229" t="s">
        <v>60</v>
      </c>
      <c r="K3" s="226" t="s">
        <v>61</v>
      </c>
      <c r="L3" s="29"/>
      <c r="M3" s="29"/>
      <c r="N3" s="29"/>
      <c r="O3" s="30"/>
      <c r="P3" s="229" t="s">
        <v>62</v>
      </c>
      <c r="Q3" s="226" t="s">
        <v>63</v>
      </c>
      <c r="R3" s="210">
        <v>7</v>
      </c>
      <c r="S3" s="24"/>
      <c r="T3" s="24"/>
      <c r="U3" s="24"/>
      <c r="V3" s="24"/>
      <c r="W3" s="24"/>
      <c r="X3" s="24"/>
      <c r="Y3" s="24"/>
      <c r="Z3" s="24"/>
    </row>
    <row r="4" spans="1:26" ht="12.75" x14ac:dyDescent="0.2">
      <c r="A4" s="211"/>
      <c r="B4" s="31">
        <v>159.69</v>
      </c>
      <c r="C4" s="32">
        <v>700</v>
      </c>
      <c r="D4" s="230">
        <v>267.99</v>
      </c>
      <c r="E4" s="191"/>
      <c r="F4" s="231">
        <v>700</v>
      </c>
      <c r="G4" s="199"/>
      <c r="H4" s="31">
        <v>174.86</v>
      </c>
      <c r="I4" s="32">
        <v>341.25</v>
      </c>
      <c r="J4" s="196"/>
      <c r="K4" s="199"/>
      <c r="L4" s="29"/>
      <c r="M4" s="29"/>
      <c r="N4" s="29"/>
      <c r="O4" s="30"/>
      <c r="P4" s="196"/>
      <c r="Q4" s="199"/>
      <c r="R4" s="211"/>
      <c r="S4" s="24"/>
      <c r="T4" s="24"/>
      <c r="U4" s="24"/>
      <c r="V4" s="24"/>
      <c r="W4" s="24"/>
      <c r="X4" s="24"/>
      <c r="Y4" s="24"/>
      <c r="Z4" s="24"/>
    </row>
    <row r="5" spans="1:26" ht="12.75" x14ac:dyDescent="0.2">
      <c r="A5" s="212"/>
      <c r="B5" s="213" t="s">
        <v>64</v>
      </c>
      <c r="C5" s="201"/>
      <c r="D5" s="213" t="s">
        <v>65</v>
      </c>
      <c r="E5" s="205"/>
      <c r="F5" s="205"/>
      <c r="G5" s="201"/>
      <c r="H5" s="213" t="s">
        <v>66</v>
      </c>
      <c r="I5" s="201"/>
      <c r="J5" s="227">
        <v>330.26</v>
      </c>
      <c r="K5" s="226">
        <v>397.45100000000002</v>
      </c>
      <c r="L5" s="34"/>
      <c r="M5" s="34"/>
      <c r="N5" s="34"/>
      <c r="O5" s="26"/>
      <c r="P5" s="227">
        <v>338.61</v>
      </c>
      <c r="Q5" s="226">
        <v>397.45100000000002</v>
      </c>
      <c r="R5" s="212"/>
      <c r="S5" s="24"/>
      <c r="T5" s="24"/>
      <c r="U5" s="24"/>
      <c r="V5" s="24"/>
      <c r="W5" s="24"/>
      <c r="X5" s="24"/>
      <c r="Y5" s="24"/>
      <c r="Z5" s="24"/>
    </row>
    <row r="6" spans="1:26" ht="12.75" x14ac:dyDescent="0.2">
      <c r="A6" s="210">
        <v>6</v>
      </c>
      <c r="B6" s="35" t="s">
        <v>67</v>
      </c>
      <c r="C6" s="36" t="s">
        <v>68</v>
      </c>
      <c r="D6" s="35" t="s">
        <v>58</v>
      </c>
      <c r="E6" s="36" t="s">
        <v>69</v>
      </c>
      <c r="F6" s="27" t="s">
        <v>56</v>
      </c>
      <c r="G6" s="28" t="s">
        <v>70</v>
      </c>
      <c r="H6" s="27" t="s">
        <v>58</v>
      </c>
      <c r="I6" s="28" t="s">
        <v>71</v>
      </c>
      <c r="J6" s="196"/>
      <c r="K6" s="199"/>
      <c r="L6" s="27" t="s">
        <v>72</v>
      </c>
      <c r="M6" s="28" t="s">
        <v>73</v>
      </c>
      <c r="N6" s="27" t="s">
        <v>72</v>
      </c>
      <c r="O6" s="28" t="s">
        <v>74</v>
      </c>
      <c r="P6" s="196"/>
      <c r="Q6" s="199"/>
      <c r="R6" s="210">
        <v>6</v>
      </c>
      <c r="S6" s="24"/>
      <c r="T6" s="24"/>
      <c r="U6" s="24"/>
      <c r="V6" s="24"/>
      <c r="W6" s="24"/>
      <c r="X6" s="24"/>
      <c r="Y6" s="24"/>
      <c r="Z6" s="24"/>
    </row>
    <row r="7" spans="1:26" ht="12.75" x14ac:dyDescent="0.2">
      <c r="A7" s="211"/>
      <c r="B7" s="37"/>
      <c r="C7" s="38"/>
      <c r="D7" s="37">
        <v>217.87</v>
      </c>
      <c r="E7" s="38"/>
      <c r="F7" s="31">
        <v>110.6</v>
      </c>
      <c r="G7" s="32">
        <v>427.45</v>
      </c>
      <c r="H7" s="31">
        <v>174.87</v>
      </c>
      <c r="I7" s="32">
        <v>330.75</v>
      </c>
      <c r="J7" s="228" t="s">
        <v>75</v>
      </c>
      <c r="K7" s="199"/>
      <c r="L7" s="31">
        <v>112.04</v>
      </c>
      <c r="M7" s="32">
        <v>406.85</v>
      </c>
      <c r="N7" s="31">
        <v>112.1</v>
      </c>
      <c r="O7" s="32">
        <v>406.85</v>
      </c>
      <c r="P7" s="228" t="s">
        <v>76</v>
      </c>
      <c r="Q7" s="199"/>
      <c r="R7" s="211"/>
      <c r="S7" s="24"/>
      <c r="T7" s="24"/>
      <c r="U7" s="24"/>
      <c r="V7" s="24"/>
      <c r="W7" s="24"/>
      <c r="X7" s="24"/>
      <c r="Y7" s="24"/>
      <c r="Z7" s="24"/>
    </row>
    <row r="8" spans="1:26" ht="12.75" x14ac:dyDescent="0.2">
      <c r="A8" s="212"/>
      <c r="B8" s="202" t="s">
        <v>77</v>
      </c>
      <c r="C8" s="201"/>
      <c r="D8" s="202" t="s">
        <v>77</v>
      </c>
      <c r="E8" s="201"/>
      <c r="F8" s="213" t="s">
        <v>78</v>
      </c>
      <c r="G8" s="201"/>
      <c r="H8" s="213" t="s">
        <v>79</v>
      </c>
      <c r="I8" s="201"/>
      <c r="J8" s="200"/>
      <c r="K8" s="201"/>
      <c r="L8" s="213" t="s">
        <v>80</v>
      </c>
      <c r="M8" s="201"/>
      <c r="N8" s="213" t="s">
        <v>81</v>
      </c>
      <c r="O8" s="201"/>
      <c r="P8" s="200"/>
      <c r="Q8" s="201"/>
      <c r="R8" s="212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10">
        <v>5</v>
      </c>
      <c r="B9" s="27" t="s">
        <v>67</v>
      </c>
      <c r="C9" s="28" t="s">
        <v>82</v>
      </c>
      <c r="D9" s="35" t="s">
        <v>58</v>
      </c>
      <c r="E9" s="36" t="s">
        <v>83</v>
      </c>
      <c r="F9" s="27" t="s">
        <v>56</v>
      </c>
      <c r="G9" s="28" t="s">
        <v>84</v>
      </c>
      <c r="H9" s="27" t="s">
        <v>58</v>
      </c>
      <c r="I9" s="28" t="s">
        <v>85</v>
      </c>
      <c r="J9" s="35" t="s">
        <v>56</v>
      </c>
      <c r="K9" s="36" t="s">
        <v>86</v>
      </c>
      <c r="L9" s="27" t="s">
        <v>72</v>
      </c>
      <c r="M9" s="28" t="s">
        <v>87</v>
      </c>
      <c r="N9" s="27" t="s">
        <v>72</v>
      </c>
      <c r="O9" s="28" t="s">
        <v>88</v>
      </c>
      <c r="P9" s="27" t="s">
        <v>89</v>
      </c>
      <c r="Q9" s="28" t="s">
        <v>90</v>
      </c>
      <c r="R9" s="210">
        <v>5</v>
      </c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211"/>
      <c r="B10" s="31">
        <v>71.03</v>
      </c>
      <c r="C10" s="32">
        <v>406.85</v>
      </c>
      <c r="D10" s="37">
        <v>232.97</v>
      </c>
      <c r="E10" s="38"/>
      <c r="F10" s="31">
        <v>110.73</v>
      </c>
      <c r="G10" s="32">
        <v>406.85</v>
      </c>
      <c r="H10" s="31">
        <v>174.86</v>
      </c>
      <c r="I10" s="32">
        <v>320.25</v>
      </c>
      <c r="J10" s="37">
        <v>157.79</v>
      </c>
      <c r="K10" s="40">
        <v>381.1</v>
      </c>
      <c r="L10" s="31">
        <v>112.12</v>
      </c>
      <c r="M10" s="32">
        <v>381.1</v>
      </c>
      <c r="N10" s="31">
        <v>112.06</v>
      </c>
      <c r="O10" s="32">
        <v>381.1</v>
      </c>
      <c r="P10" s="31">
        <v>162.51</v>
      </c>
      <c r="Q10" s="32">
        <v>381.1</v>
      </c>
      <c r="R10" s="211"/>
      <c r="S10" s="24"/>
      <c r="T10" s="24"/>
      <c r="U10" s="24"/>
      <c r="V10" s="24"/>
      <c r="W10" s="24"/>
      <c r="X10" s="24"/>
      <c r="Y10" s="24"/>
      <c r="Z10" s="24"/>
    </row>
    <row r="11" spans="1:26" ht="12.75" x14ac:dyDescent="0.2">
      <c r="A11" s="212"/>
      <c r="B11" s="213" t="s">
        <v>91</v>
      </c>
      <c r="C11" s="201"/>
      <c r="D11" s="202" t="s">
        <v>77</v>
      </c>
      <c r="E11" s="201"/>
      <c r="F11" s="213" t="s">
        <v>92</v>
      </c>
      <c r="G11" s="201"/>
      <c r="H11" s="213" t="s">
        <v>93</v>
      </c>
      <c r="I11" s="201"/>
      <c r="J11" s="202" t="s">
        <v>77</v>
      </c>
      <c r="K11" s="201"/>
      <c r="L11" s="213" t="s">
        <v>94</v>
      </c>
      <c r="M11" s="201"/>
      <c r="N11" s="213" t="s">
        <v>95</v>
      </c>
      <c r="O11" s="201"/>
      <c r="P11" s="213" t="s">
        <v>96</v>
      </c>
      <c r="Q11" s="201"/>
      <c r="R11" s="212"/>
      <c r="S11" s="24"/>
      <c r="T11" s="24"/>
      <c r="U11" s="24"/>
      <c r="V11" s="24"/>
      <c r="W11" s="24"/>
      <c r="X11" s="24"/>
      <c r="Y11" s="24"/>
      <c r="Z11" s="24"/>
    </row>
    <row r="12" spans="1:26" ht="12.75" x14ac:dyDescent="0.2">
      <c r="A12" s="210">
        <v>4</v>
      </c>
      <c r="B12" s="74" t="s">
        <v>67</v>
      </c>
      <c r="C12" s="36" t="s">
        <v>97</v>
      </c>
      <c r="D12" s="35" t="s">
        <v>58</v>
      </c>
      <c r="E12" s="36" t="s">
        <v>98</v>
      </c>
      <c r="F12" s="35" t="s">
        <v>56</v>
      </c>
      <c r="G12" s="36" t="s">
        <v>99</v>
      </c>
      <c r="H12" s="35" t="s">
        <v>58</v>
      </c>
      <c r="I12" s="41" t="s">
        <v>100</v>
      </c>
      <c r="J12" s="35" t="s">
        <v>56</v>
      </c>
      <c r="K12" s="36" t="s">
        <v>101</v>
      </c>
      <c r="L12" s="35" t="s">
        <v>72</v>
      </c>
      <c r="M12" s="36" t="s">
        <v>102</v>
      </c>
      <c r="N12" s="35" t="s">
        <v>72</v>
      </c>
      <c r="O12" s="36" t="s">
        <v>103</v>
      </c>
      <c r="P12" s="35" t="s">
        <v>89</v>
      </c>
      <c r="Q12" s="36" t="s">
        <v>104</v>
      </c>
      <c r="R12" s="210">
        <v>4</v>
      </c>
      <c r="S12" s="24"/>
      <c r="T12" s="24"/>
      <c r="U12" s="24"/>
      <c r="V12" s="24"/>
      <c r="W12" s="24"/>
      <c r="X12" s="24"/>
      <c r="Y12" s="24"/>
      <c r="Z12" s="24"/>
    </row>
    <row r="13" spans="1:26" ht="12.75" x14ac:dyDescent="0.2">
      <c r="A13" s="211"/>
      <c r="B13" s="37">
        <v>71.03</v>
      </c>
      <c r="C13" s="40">
        <v>381.1</v>
      </c>
      <c r="D13" s="37">
        <v>232.97</v>
      </c>
      <c r="E13" s="38"/>
      <c r="F13" s="37">
        <v>110.73</v>
      </c>
      <c r="G13" s="40">
        <v>381.1</v>
      </c>
      <c r="H13" s="37">
        <v>174.86</v>
      </c>
      <c r="I13" s="40">
        <v>264.60000000000002</v>
      </c>
      <c r="J13" s="37">
        <v>157.79</v>
      </c>
      <c r="K13" s="40">
        <v>362.25</v>
      </c>
      <c r="L13" s="37">
        <v>112.12</v>
      </c>
      <c r="M13" s="40">
        <v>362.25</v>
      </c>
      <c r="N13" s="37">
        <v>112.06</v>
      </c>
      <c r="O13" s="38"/>
      <c r="P13" s="37">
        <v>162.51</v>
      </c>
      <c r="Q13" s="38"/>
      <c r="R13" s="211"/>
      <c r="S13" s="24"/>
      <c r="T13" s="24"/>
      <c r="U13" s="24"/>
      <c r="V13" s="24"/>
      <c r="W13" s="24"/>
      <c r="X13" s="24"/>
      <c r="Y13" s="24"/>
      <c r="Z13" s="24"/>
    </row>
    <row r="14" spans="1:26" ht="12.75" x14ac:dyDescent="0.2">
      <c r="A14" s="212"/>
      <c r="B14" s="202" t="s">
        <v>77</v>
      </c>
      <c r="C14" s="201"/>
      <c r="D14" s="202" t="s">
        <v>77</v>
      </c>
      <c r="E14" s="201"/>
      <c r="F14" s="202" t="s">
        <v>77</v>
      </c>
      <c r="G14" s="201"/>
      <c r="H14" s="202" t="s">
        <v>77</v>
      </c>
      <c r="I14" s="201"/>
      <c r="J14" s="202" t="s">
        <v>77</v>
      </c>
      <c r="K14" s="201"/>
      <c r="L14" s="202" t="s">
        <v>77</v>
      </c>
      <c r="M14" s="201"/>
      <c r="N14" s="202" t="s">
        <v>77</v>
      </c>
      <c r="O14" s="201"/>
      <c r="P14" s="202" t="s">
        <v>77</v>
      </c>
      <c r="Q14" s="201"/>
      <c r="R14" s="212"/>
      <c r="S14" s="24"/>
      <c r="T14" s="24"/>
      <c r="U14" s="24"/>
      <c r="V14" s="24"/>
      <c r="W14" s="24"/>
      <c r="X14" s="24"/>
      <c r="Y14" s="24"/>
      <c r="Z14" s="24"/>
    </row>
    <row r="15" spans="1:26" ht="12.75" x14ac:dyDescent="0.2">
      <c r="A15" s="210">
        <v>3</v>
      </c>
      <c r="B15" s="35" t="s">
        <v>67</v>
      </c>
      <c r="C15" s="36" t="s">
        <v>105</v>
      </c>
      <c r="D15" s="35" t="s">
        <v>58</v>
      </c>
      <c r="E15" s="36" t="s">
        <v>106</v>
      </c>
      <c r="F15" s="35" t="s">
        <v>56</v>
      </c>
      <c r="G15" s="36" t="s">
        <v>107</v>
      </c>
      <c r="H15" s="35" t="s">
        <v>58</v>
      </c>
      <c r="I15" s="36" t="s">
        <v>108</v>
      </c>
      <c r="J15" s="35" t="s">
        <v>56</v>
      </c>
      <c r="K15" s="36" t="s">
        <v>109</v>
      </c>
      <c r="L15" s="35" t="s">
        <v>72</v>
      </c>
      <c r="M15" s="36" t="s">
        <v>110</v>
      </c>
      <c r="N15" s="35" t="s">
        <v>72</v>
      </c>
      <c r="O15" s="36" t="s">
        <v>111</v>
      </c>
      <c r="P15" s="35" t="s">
        <v>89</v>
      </c>
      <c r="Q15" s="36" t="s">
        <v>112</v>
      </c>
      <c r="R15" s="210">
        <v>3</v>
      </c>
      <c r="S15" s="24"/>
      <c r="T15" s="24"/>
      <c r="U15" s="24"/>
      <c r="V15" s="24"/>
      <c r="W15" s="24"/>
      <c r="X15" s="24"/>
      <c r="Y15" s="24"/>
      <c r="Z15" s="24"/>
    </row>
    <row r="16" spans="1:26" ht="12.75" x14ac:dyDescent="0.2">
      <c r="A16" s="211"/>
      <c r="B16" s="37">
        <v>71.02</v>
      </c>
      <c r="C16" s="40">
        <v>367.5</v>
      </c>
      <c r="D16" s="37">
        <v>232.68</v>
      </c>
      <c r="E16" s="38"/>
      <c r="F16" s="37">
        <v>110.72</v>
      </c>
      <c r="G16" s="38"/>
      <c r="H16" s="37">
        <v>163.22</v>
      </c>
      <c r="I16" s="38"/>
      <c r="J16" s="37">
        <v>157.80000000000001</v>
      </c>
      <c r="K16" s="40">
        <v>341.25</v>
      </c>
      <c r="L16" s="37">
        <v>112.07</v>
      </c>
      <c r="M16" s="38"/>
      <c r="N16" s="37">
        <v>112.06</v>
      </c>
      <c r="O16" s="38"/>
      <c r="P16" s="37">
        <v>162.5</v>
      </c>
      <c r="Q16" s="38"/>
      <c r="R16" s="211"/>
      <c r="S16" s="24"/>
      <c r="T16" s="24"/>
      <c r="U16" s="24"/>
      <c r="V16" s="24"/>
      <c r="W16" s="24"/>
      <c r="X16" s="24"/>
      <c r="Y16" s="24"/>
      <c r="Z16" s="24"/>
    </row>
    <row r="17" spans="1:26" ht="12.75" x14ac:dyDescent="0.2">
      <c r="A17" s="212"/>
      <c r="B17" s="202" t="s">
        <v>77</v>
      </c>
      <c r="C17" s="201"/>
      <c r="D17" s="202" t="s">
        <v>77</v>
      </c>
      <c r="E17" s="201"/>
      <c r="F17" s="202" t="s">
        <v>77</v>
      </c>
      <c r="G17" s="201"/>
      <c r="H17" s="202" t="s">
        <v>77</v>
      </c>
      <c r="I17" s="201"/>
      <c r="J17" s="202" t="s">
        <v>77</v>
      </c>
      <c r="K17" s="201"/>
      <c r="L17" s="202" t="s">
        <v>77</v>
      </c>
      <c r="M17" s="201"/>
      <c r="N17" s="202" t="s">
        <v>77</v>
      </c>
      <c r="O17" s="201"/>
      <c r="P17" s="202" t="s">
        <v>77</v>
      </c>
      <c r="Q17" s="201"/>
      <c r="R17" s="212"/>
      <c r="S17" s="24"/>
      <c r="T17" s="24"/>
      <c r="U17" s="24"/>
      <c r="V17" s="24"/>
      <c r="W17" s="24"/>
      <c r="X17" s="24"/>
      <c r="Y17" s="24"/>
      <c r="Z17" s="24"/>
    </row>
    <row r="18" spans="1:26" ht="12.75" x14ac:dyDescent="0.2">
      <c r="A18" s="210">
        <v>2</v>
      </c>
      <c r="B18" s="35" t="s">
        <v>67</v>
      </c>
      <c r="C18" s="36" t="s">
        <v>113</v>
      </c>
      <c r="D18" s="35" t="s">
        <v>58</v>
      </c>
      <c r="E18" s="36" t="s">
        <v>114</v>
      </c>
      <c r="F18" s="35" t="s">
        <v>56</v>
      </c>
      <c r="G18" s="36" t="s">
        <v>115</v>
      </c>
      <c r="H18" s="35" t="s">
        <v>58</v>
      </c>
      <c r="I18" s="36" t="s">
        <v>116</v>
      </c>
      <c r="J18" s="35" t="s">
        <v>56</v>
      </c>
      <c r="K18" s="36" t="s">
        <v>117</v>
      </c>
      <c r="L18" s="35" t="s">
        <v>72</v>
      </c>
      <c r="M18" s="41" t="s">
        <v>118</v>
      </c>
      <c r="N18" s="27" t="s">
        <v>72</v>
      </c>
      <c r="O18" s="28" t="s">
        <v>119</v>
      </c>
      <c r="P18" s="35" t="s">
        <v>89</v>
      </c>
      <c r="Q18" s="36" t="s">
        <v>120</v>
      </c>
      <c r="R18" s="210">
        <v>2</v>
      </c>
      <c r="S18" s="24"/>
      <c r="T18" s="24"/>
      <c r="U18" s="24"/>
      <c r="V18" s="24"/>
      <c r="W18" s="24"/>
      <c r="X18" s="24"/>
      <c r="Y18" s="24"/>
      <c r="Z18" s="24"/>
    </row>
    <row r="19" spans="1:26" ht="12.75" x14ac:dyDescent="0.2">
      <c r="A19" s="211"/>
      <c r="B19" s="37">
        <v>71.02</v>
      </c>
      <c r="C19" s="38"/>
      <c r="D19" s="37">
        <v>232.68</v>
      </c>
      <c r="E19" s="38"/>
      <c r="F19" s="37">
        <v>110.72</v>
      </c>
      <c r="G19" s="38"/>
      <c r="H19" s="37">
        <v>163.22</v>
      </c>
      <c r="I19" s="38"/>
      <c r="J19" s="37">
        <v>157.80000000000001</v>
      </c>
      <c r="K19" s="40">
        <v>330.75</v>
      </c>
      <c r="L19" s="37">
        <v>112.07</v>
      </c>
      <c r="M19" s="40">
        <v>273</v>
      </c>
      <c r="N19" s="31">
        <v>112.06</v>
      </c>
      <c r="O19" s="32">
        <v>315</v>
      </c>
      <c r="P19" s="37">
        <v>162.5</v>
      </c>
      <c r="Q19" s="38"/>
      <c r="R19" s="211"/>
      <c r="S19" s="24"/>
      <c r="T19" s="24"/>
      <c r="U19" s="24"/>
      <c r="V19" s="24"/>
      <c r="W19" s="24"/>
      <c r="X19" s="24"/>
      <c r="Y19" s="24"/>
      <c r="Z19" s="24"/>
    </row>
    <row r="20" spans="1:26" ht="12.75" x14ac:dyDescent="0.2">
      <c r="A20" s="212"/>
      <c r="B20" s="202" t="s">
        <v>77</v>
      </c>
      <c r="C20" s="201"/>
      <c r="D20" s="202" t="s">
        <v>77</v>
      </c>
      <c r="E20" s="201"/>
      <c r="F20" s="202" t="s">
        <v>77</v>
      </c>
      <c r="G20" s="201"/>
      <c r="H20" s="202" t="s">
        <v>77</v>
      </c>
      <c r="I20" s="201"/>
      <c r="J20" s="202" t="s">
        <v>77</v>
      </c>
      <c r="K20" s="201"/>
      <c r="L20" s="202" t="s">
        <v>77</v>
      </c>
      <c r="M20" s="201"/>
      <c r="N20" s="213" t="s">
        <v>121</v>
      </c>
      <c r="O20" s="201"/>
      <c r="P20" s="202" t="s">
        <v>77</v>
      </c>
      <c r="Q20" s="201"/>
      <c r="R20" s="212"/>
      <c r="S20" s="24"/>
      <c r="T20" s="24"/>
      <c r="U20" s="24"/>
      <c r="V20" s="24"/>
      <c r="W20" s="24"/>
      <c r="X20" s="24"/>
      <c r="Y20" s="24"/>
      <c r="Z20" s="24"/>
    </row>
    <row r="21" spans="1:26" ht="12.75" x14ac:dyDescent="0.2">
      <c r="A21" s="210">
        <v>1</v>
      </c>
      <c r="B21" s="35" t="s">
        <v>67</v>
      </c>
      <c r="C21" s="41" t="s">
        <v>122</v>
      </c>
      <c r="D21" s="35" t="s">
        <v>58</v>
      </c>
      <c r="E21" s="41" t="s">
        <v>123</v>
      </c>
      <c r="F21" s="35" t="s">
        <v>124</v>
      </c>
      <c r="G21" s="41" t="s">
        <v>125</v>
      </c>
      <c r="H21" s="35" t="s">
        <v>58</v>
      </c>
      <c r="I21" s="36" t="s">
        <v>126</v>
      </c>
      <c r="J21" s="29"/>
      <c r="K21" s="30"/>
      <c r="L21" s="35" t="s">
        <v>124</v>
      </c>
      <c r="M21" s="36" t="s">
        <v>127</v>
      </c>
      <c r="N21" s="35" t="s">
        <v>72</v>
      </c>
      <c r="O21" s="36" t="s">
        <v>128</v>
      </c>
      <c r="P21" s="35" t="s">
        <v>54</v>
      </c>
      <c r="Q21" s="36" t="s">
        <v>129</v>
      </c>
      <c r="R21" s="210">
        <v>1</v>
      </c>
      <c r="S21" s="24"/>
      <c r="T21" s="24"/>
      <c r="U21" s="24"/>
      <c r="V21" s="24"/>
      <c r="W21" s="24"/>
      <c r="X21" s="24"/>
      <c r="Y21" s="24"/>
      <c r="Z21" s="24"/>
    </row>
    <row r="22" spans="1:26" ht="12.75" x14ac:dyDescent="0.2">
      <c r="A22" s="211"/>
      <c r="B22" s="37">
        <v>69.819999999999993</v>
      </c>
      <c r="C22" s="40">
        <v>308.7</v>
      </c>
      <c r="D22" s="37">
        <v>229.69</v>
      </c>
      <c r="E22" s="40">
        <v>385.875</v>
      </c>
      <c r="F22" s="37">
        <v>107.71</v>
      </c>
      <c r="G22" s="40">
        <v>308.7</v>
      </c>
      <c r="H22" s="37">
        <v>167.06</v>
      </c>
      <c r="I22" s="38"/>
      <c r="J22" s="29"/>
      <c r="K22" s="30"/>
      <c r="L22" s="37">
        <v>141.44</v>
      </c>
      <c r="M22" s="40">
        <v>309.75</v>
      </c>
      <c r="N22" s="37">
        <v>111.16</v>
      </c>
      <c r="O22" s="38"/>
      <c r="P22" s="37">
        <v>86.1</v>
      </c>
      <c r="Q22" s="40">
        <v>264.60000000000002</v>
      </c>
      <c r="R22" s="211"/>
      <c r="S22" s="24"/>
      <c r="T22" s="24"/>
      <c r="U22" s="24"/>
      <c r="V22" s="24"/>
      <c r="W22" s="24"/>
      <c r="X22" s="24"/>
      <c r="Y22" s="24"/>
      <c r="Z22" s="24"/>
    </row>
    <row r="23" spans="1:26" ht="12.75" x14ac:dyDescent="0.2">
      <c r="A23" s="212"/>
      <c r="B23" s="202" t="s">
        <v>77</v>
      </c>
      <c r="C23" s="201"/>
      <c r="D23" s="202" t="s">
        <v>77</v>
      </c>
      <c r="E23" s="201"/>
      <c r="F23" s="202" t="s">
        <v>77</v>
      </c>
      <c r="G23" s="201"/>
      <c r="H23" s="202" t="s">
        <v>77</v>
      </c>
      <c r="I23" s="201"/>
      <c r="J23" s="34"/>
      <c r="K23" s="26"/>
      <c r="L23" s="202" t="s">
        <v>77</v>
      </c>
      <c r="M23" s="201"/>
      <c r="N23" s="202" t="s">
        <v>77</v>
      </c>
      <c r="O23" s="201"/>
      <c r="P23" s="202" t="s">
        <v>77</v>
      </c>
      <c r="Q23" s="201"/>
      <c r="R23" s="212"/>
      <c r="S23" s="24"/>
      <c r="T23" s="24"/>
      <c r="U23" s="24"/>
      <c r="V23" s="24"/>
      <c r="W23" s="24"/>
      <c r="X23" s="24"/>
      <c r="Y23" s="24"/>
      <c r="Z23" s="24"/>
    </row>
    <row r="24" spans="1:26" ht="12.75" x14ac:dyDescent="0.2">
      <c r="A24" s="42"/>
      <c r="B24" s="43">
        <v>7</v>
      </c>
      <c r="C24" s="42"/>
      <c r="D24" s="43">
        <v>7</v>
      </c>
      <c r="E24" s="42"/>
      <c r="F24" s="43">
        <v>6</v>
      </c>
      <c r="G24" s="42"/>
      <c r="H24" s="43">
        <v>7</v>
      </c>
      <c r="I24" s="42"/>
      <c r="J24" s="43">
        <v>5</v>
      </c>
      <c r="K24" s="42"/>
      <c r="L24" s="43">
        <v>6</v>
      </c>
      <c r="M24" s="42"/>
      <c r="N24" s="43">
        <v>6</v>
      </c>
      <c r="O24" s="42"/>
      <c r="P24" s="43">
        <v>6</v>
      </c>
      <c r="Q24" s="42"/>
      <c r="R24" s="42"/>
      <c r="S24" s="24"/>
      <c r="T24" s="24"/>
      <c r="U24" s="24"/>
      <c r="V24" s="24"/>
      <c r="W24" s="24"/>
      <c r="X24" s="24"/>
      <c r="Y24" s="24"/>
      <c r="Z24" s="24"/>
    </row>
    <row r="25" spans="1:26" ht="12.75" x14ac:dyDescent="0.2">
      <c r="A25" s="96" t="s">
        <v>288</v>
      </c>
      <c r="B25" s="42" t="b">
        <f>ISEVEN(COLUMN()-COLUMN($A$3))</f>
        <v>0</v>
      </c>
      <c r="C25" s="42" t="b">
        <f t="shared" ref="C25:Q25" si="0">ISEVEN(COLUMN()-COLUMN($A$3))</f>
        <v>1</v>
      </c>
      <c r="D25" s="42" t="b">
        <f t="shared" si="0"/>
        <v>0</v>
      </c>
      <c r="E25" s="42" t="b">
        <f t="shared" si="0"/>
        <v>1</v>
      </c>
      <c r="F25" s="42" t="b">
        <f t="shared" si="0"/>
        <v>0</v>
      </c>
      <c r="G25" s="42" t="b">
        <f t="shared" si="0"/>
        <v>1</v>
      </c>
      <c r="H25" s="42" t="b">
        <f t="shared" si="0"/>
        <v>0</v>
      </c>
      <c r="I25" s="42" t="b">
        <f t="shared" si="0"/>
        <v>1</v>
      </c>
      <c r="J25" s="42" t="b">
        <f t="shared" si="0"/>
        <v>0</v>
      </c>
      <c r="K25" s="42" t="b">
        <f t="shared" si="0"/>
        <v>1</v>
      </c>
      <c r="L25" s="42" t="b">
        <f t="shared" si="0"/>
        <v>0</v>
      </c>
      <c r="M25" s="42" t="b">
        <f t="shared" si="0"/>
        <v>1</v>
      </c>
      <c r="N25" s="42" t="b">
        <f t="shared" si="0"/>
        <v>0</v>
      </c>
      <c r="O25" s="42" t="b">
        <f t="shared" si="0"/>
        <v>1</v>
      </c>
      <c r="P25" s="42" t="b">
        <f t="shared" si="0"/>
        <v>0</v>
      </c>
      <c r="Q25" s="42" t="b">
        <f t="shared" si="0"/>
        <v>1</v>
      </c>
      <c r="R25" s="42"/>
      <c r="S25" s="24"/>
      <c r="T25" s="24"/>
      <c r="U25" s="24"/>
      <c r="V25" s="24"/>
      <c r="W25" s="24"/>
      <c r="X25" s="24"/>
      <c r="Y25" s="24"/>
      <c r="Z25" s="24"/>
    </row>
    <row r="26" spans="1:26" ht="12.75" x14ac:dyDescent="0.2">
      <c r="A26" s="96" t="s">
        <v>290</v>
      </c>
      <c r="B26" s="42">
        <v>1</v>
      </c>
      <c r="C26" s="42">
        <v>2</v>
      </c>
      <c r="D26" s="42">
        <v>3</v>
      </c>
      <c r="E26" s="42">
        <v>4</v>
      </c>
      <c r="F26" s="42">
        <v>5</v>
      </c>
      <c r="G26" s="42">
        <v>6</v>
      </c>
      <c r="H26" s="42">
        <v>7</v>
      </c>
      <c r="I26" s="42">
        <v>8</v>
      </c>
      <c r="J26" s="42">
        <v>9</v>
      </c>
      <c r="K26" s="42">
        <v>10</v>
      </c>
      <c r="L26" s="42">
        <v>11</v>
      </c>
      <c r="M26" s="42">
        <v>12</v>
      </c>
      <c r="N26" s="42">
        <v>13</v>
      </c>
      <c r="O26" s="42">
        <v>14</v>
      </c>
      <c r="P26" s="42">
        <v>15</v>
      </c>
      <c r="Q26" s="42">
        <v>16</v>
      </c>
      <c r="R26" s="42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25">
      <c r="A27" s="204" t="s">
        <v>130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4"/>
      <c r="T27" s="24"/>
      <c r="U27" s="24"/>
      <c r="V27" s="24"/>
      <c r="W27" s="24"/>
      <c r="X27" s="24"/>
      <c r="Y27" s="24"/>
      <c r="Z27" s="24"/>
    </row>
    <row r="28" spans="1:26" ht="12.75" x14ac:dyDescent="0.2">
      <c r="A28" s="26"/>
      <c r="B28" s="206" t="s">
        <v>52</v>
      </c>
      <c r="C28" s="207"/>
      <c r="D28" s="207"/>
      <c r="E28" s="207"/>
      <c r="F28" s="207"/>
      <c r="G28" s="208"/>
      <c r="H28" s="206" t="s">
        <v>53</v>
      </c>
      <c r="I28" s="207"/>
      <c r="J28" s="207"/>
      <c r="K28" s="207"/>
      <c r="L28" s="207"/>
      <c r="M28" s="207"/>
      <c r="N28" s="207"/>
      <c r="O28" s="207"/>
      <c r="P28" s="207"/>
      <c r="Q28" s="208"/>
      <c r="R28" s="26"/>
      <c r="S28" s="24"/>
      <c r="T28" s="24"/>
      <c r="U28" s="24"/>
      <c r="V28" s="24"/>
      <c r="W28" s="24"/>
      <c r="X28" s="24"/>
      <c r="Y28" s="24"/>
      <c r="Z28" s="24"/>
    </row>
    <row r="29" spans="1:26" ht="12.75" x14ac:dyDescent="0.2">
      <c r="A29" s="210">
        <v>7</v>
      </c>
      <c r="B29" s="44" t="s">
        <v>124</v>
      </c>
      <c r="C29" s="45" t="s">
        <v>131</v>
      </c>
      <c r="D29" s="46" t="s">
        <v>132</v>
      </c>
      <c r="E29" s="47" t="s">
        <v>133</v>
      </c>
      <c r="F29" s="209"/>
      <c r="G29" s="191"/>
      <c r="H29" s="44" t="s">
        <v>58</v>
      </c>
      <c r="I29" s="45" t="s">
        <v>134</v>
      </c>
      <c r="J29" s="215" t="s">
        <v>60</v>
      </c>
      <c r="K29" s="216" t="s">
        <v>135</v>
      </c>
      <c r="L29" s="209"/>
      <c r="M29" s="191"/>
      <c r="N29" s="209"/>
      <c r="O29" s="191"/>
      <c r="P29" s="215" t="s">
        <v>60</v>
      </c>
      <c r="Q29" s="216" t="s">
        <v>136</v>
      </c>
      <c r="R29" s="210">
        <v>7</v>
      </c>
      <c r="S29" s="24"/>
      <c r="T29" s="24"/>
      <c r="U29" s="24"/>
      <c r="V29" s="24"/>
      <c r="W29" s="24"/>
      <c r="X29" s="24"/>
      <c r="Y29" s="24"/>
      <c r="Z29" s="24"/>
    </row>
    <row r="30" spans="1:26" ht="12.75" x14ac:dyDescent="0.2">
      <c r="A30" s="211"/>
      <c r="B30" s="31">
        <v>107.73</v>
      </c>
      <c r="C30" s="32">
        <v>450</v>
      </c>
      <c r="D30" s="74" t="s">
        <v>137</v>
      </c>
      <c r="E30" s="36" t="s">
        <v>138</v>
      </c>
      <c r="F30" s="191"/>
      <c r="G30" s="191"/>
      <c r="H30" s="31">
        <v>174.83</v>
      </c>
      <c r="I30" s="32">
        <v>336</v>
      </c>
      <c r="J30" s="196"/>
      <c r="K30" s="199"/>
      <c r="L30" s="191"/>
      <c r="M30" s="191"/>
      <c r="N30" s="191"/>
      <c r="O30" s="191"/>
      <c r="P30" s="196"/>
      <c r="Q30" s="199"/>
      <c r="R30" s="211"/>
      <c r="S30" s="24"/>
      <c r="T30" s="24"/>
      <c r="U30" s="24"/>
      <c r="V30" s="24"/>
      <c r="W30" s="24"/>
      <c r="X30" s="24"/>
      <c r="Y30" s="24"/>
      <c r="Z30" s="24"/>
    </row>
    <row r="31" spans="1:26" ht="12.75" x14ac:dyDescent="0.2">
      <c r="A31" s="212"/>
      <c r="B31" s="214" t="s">
        <v>139</v>
      </c>
      <c r="C31" s="201"/>
      <c r="D31" s="195">
        <v>652.28</v>
      </c>
      <c r="E31" s="197"/>
      <c r="F31" s="191"/>
      <c r="G31" s="191"/>
      <c r="H31" s="213" t="s">
        <v>140</v>
      </c>
      <c r="I31" s="201"/>
      <c r="J31" s="195">
        <v>330.17</v>
      </c>
      <c r="K31" s="197"/>
      <c r="L31" s="191"/>
      <c r="M31" s="191"/>
      <c r="N31" s="191"/>
      <c r="O31" s="191"/>
      <c r="P31" s="217">
        <v>330.27</v>
      </c>
      <c r="Q31" s="218"/>
      <c r="R31" s="212"/>
      <c r="S31" s="24"/>
      <c r="T31" s="24"/>
      <c r="U31" s="24"/>
      <c r="V31" s="24"/>
      <c r="W31" s="24"/>
      <c r="X31" s="24"/>
      <c r="Y31" s="24"/>
      <c r="Z31" s="24"/>
    </row>
    <row r="32" spans="1:26" ht="12.75" x14ac:dyDescent="0.2">
      <c r="A32" s="210">
        <v>6</v>
      </c>
      <c r="B32" s="48" t="s">
        <v>72</v>
      </c>
      <c r="C32" s="49" t="s">
        <v>141</v>
      </c>
      <c r="D32" s="196"/>
      <c r="E32" s="191"/>
      <c r="F32" s="50" t="s">
        <v>67</v>
      </c>
      <c r="G32" s="49" t="s">
        <v>142</v>
      </c>
      <c r="H32" s="33" t="s">
        <v>58</v>
      </c>
      <c r="I32" s="51" t="s">
        <v>143</v>
      </c>
      <c r="J32" s="196"/>
      <c r="K32" s="191"/>
      <c r="L32" s="50" t="s">
        <v>72</v>
      </c>
      <c r="M32" s="49" t="s">
        <v>144</v>
      </c>
      <c r="N32" s="52" t="s">
        <v>72</v>
      </c>
      <c r="O32" s="53" t="s">
        <v>145</v>
      </c>
      <c r="P32" s="191"/>
      <c r="Q32" s="199"/>
      <c r="R32" s="210">
        <v>6</v>
      </c>
      <c r="S32" s="24"/>
      <c r="T32" s="24"/>
      <c r="U32" s="24"/>
      <c r="V32" s="24"/>
      <c r="W32" s="24"/>
      <c r="X32" s="24"/>
      <c r="Y32" s="24"/>
      <c r="Z32" s="24"/>
    </row>
    <row r="33" spans="1:26" ht="12.75" x14ac:dyDescent="0.2">
      <c r="A33" s="211"/>
      <c r="B33" s="37">
        <v>110.43</v>
      </c>
      <c r="C33" s="38"/>
      <c r="D33" s="198" t="s">
        <v>77</v>
      </c>
      <c r="E33" s="199"/>
      <c r="F33" s="37">
        <v>70.8</v>
      </c>
      <c r="G33" s="38"/>
      <c r="H33" s="31">
        <v>174.87</v>
      </c>
      <c r="I33" s="32">
        <v>325.5</v>
      </c>
      <c r="J33" s="198" t="s">
        <v>77</v>
      </c>
      <c r="K33" s="199"/>
      <c r="L33" s="37">
        <v>111.92</v>
      </c>
      <c r="M33" s="40">
        <v>406.85</v>
      </c>
      <c r="N33" s="54">
        <v>112.09</v>
      </c>
      <c r="O33" s="55">
        <v>406.85</v>
      </c>
      <c r="P33" s="198" t="s">
        <v>77</v>
      </c>
      <c r="Q33" s="199"/>
      <c r="R33" s="211"/>
      <c r="S33" s="24"/>
      <c r="T33" s="24"/>
      <c r="U33" s="24"/>
      <c r="V33" s="24"/>
      <c r="W33" s="24"/>
      <c r="X33" s="24"/>
      <c r="Y33" s="24"/>
      <c r="Z33" s="24"/>
    </row>
    <row r="34" spans="1:26" ht="12.75" x14ac:dyDescent="0.2">
      <c r="A34" s="212"/>
      <c r="B34" s="202" t="s">
        <v>77</v>
      </c>
      <c r="C34" s="201"/>
      <c r="D34" s="200"/>
      <c r="E34" s="201"/>
      <c r="F34" s="202" t="s">
        <v>77</v>
      </c>
      <c r="G34" s="201"/>
      <c r="H34" s="214" t="s">
        <v>146</v>
      </c>
      <c r="I34" s="201"/>
      <c r="J34" s="200"/>
      <c r="K34" s="201"/>
      <c r="L34" s="202" t="s">
        <v>77</v>
      </c>
      <c r="M34" s="201"/>
      <c r="N34" s="203" t="s">
        <v>147</v>
      </c>
      <c r="O34" s="201"/>
      <c r="P34" s="200"/>
      <c r="Q34" s="201"/>
      <c r="R34" s="212"/>
      <c r="S34" s="24"/>
      <c r="T34" s="24"/>
      <c r="U34" s="24"/>
      <c r="V34" s="24"/>
      <c r="W34" s="24"/>
      <c r="X34" s="24"/>
      <c r="Y34" s="24"/>
      <c r="Z34" s="24"/>
    </row>
    <row r="35" spans="1:26" ht="12.75" x14ac:dyDescent="0.2">
      <c r="A35" s="210">
        <v>5</v>
      </c>
      <c r="B35" s="48" t="s">
        <v>124</v>
      </c>
      <c r="C35" s="49" t="s">
        <v>148</v>
      </c>
      <c r="D35" s="48" t="s">
        <v>58</v>
      </c>
      <c r="E35" s="49" t="s">
        <v>149</v>
      </c>
      <c r="F35" s="48" t="s">
        <v>67</v>
      </c>
      <c r="G35" s="49" t="s">
        <v>150</v>
      </c>
      <c r="H35" s="33" t="s">
        <v>151</v>
      </c>
      <c r="I35" s="51" t="s">
        <v>152</v>
      </c>
      <c r="J35" s="48" t="s">
        <v>89</v>
      </c>
      <c r="K35" s="49" t="s">
        <v>153</v>
      </c>
      <c r="L35" s="33" t="s">
        <v>72</v>
      </c>
      <c r="M35" s="51" t="s">
        <v>154</v>
      </c>
      <c r="N35" s="52" t="s">
        <v>72</v>
      </c>
      <c r="O35" s="53" t="s">
        <v>155</v>
      </c>
      <c r="P35" s="33" t="s">
        <v>89</v>
      </c>
      <c r="Q35" s="51" t="s">
        <v>156</v>
      </c>
      <c r="R35" s="210">
        <v>5</v>
      </c>
      <c r="S35" s="24"/>
      <c r="T35" s="24"/>
      <c r="U35" s="24"/>
      <c r="V35" s="24"/>
      <c r="W35" s="24"/>
      <c r="X35" s="24"/>
      <c r="Y35" s="24"/>
      <c r="Z35" s="24"/>
    </row>
    <row r="36" spans="1:26" ht="12.75" x14ac:dyDescent="0.2">
      <c r="A36" s="211"/>
      <c r="B36" s="37">
        <v>110.75</v>
      </c>
      <c r="C36" s="38"/>
      <c r="D36" s="37">
        <v>232.87</v>
      </c>
      <c r="E36" s="38"/>
      <c r="F36" s="37">
        <v>71.06</v>
      </c>
      <c r="G36" s="38"/>
      <c r="H36" s="31">
        <v>174.91</v>
      </c>
      <c r="I36" s="32">
        <v>315</v>
      </c>
      <c r="J36" s="37">
        <v>157.76</v>
      </c>
      <c r="K36" s="56">
        <v>381100</v>
      </c>
      <c r="L36" s="31">
        <v>112.08</v>
      </c>
      <c r="M36" s="32">
        <v>381.1</v>
      </c>
      <c r="N36" s="54">
        <v>112.11</v>
      </c>
      <c r="O36" s="55">
        <v>381.1</v>
      </c>
      <c r="P36" s="31">
        <v>157.88</v>
      </c>
      <c r="Q36" s="32">
        <v>381.1</v>
      </c>
      <c r="R36" s="211"/>
      <c r="S36" s="24"/>
      <c r="T36" s="24"/>
      <c r="U36" s="24"/>
      <c r="V36" s="24"/>
      <c r="W36" s="24"/>
      <c r="X36" s="24"/>
      <c r="Y36" s="24"/>
      <c r="Z36" s="24"/>
    </row>
    <row r="37" spans="1:26" ht="12.75" x14ac:dyDescent="0.2">
      <c r="A37" s="212"/>
      <c r="B37" s="202" t="s">
        <v>77</v>
      </c>
      <c r="C37" s="201"/>
      <c r="D37" s="202" t="s">
        <v>77</v>
      </c>
      <c r="E37" s="201"/>
      <c r="F37" s="202" t="s">
        <v>77</v>
      </c>
      <c r="G37" s="201"/>
      <c r="H37" s="213" t="s">
        <v>157</v>
      </c>
      <c r="I37" s="201"/>
      <c r="J37" s="202" t="s">
        <v>77</v>
      </c>
      <c r="K37" s="201"/>
      <c r="L37" s="213" t="s">
        <v>158</v>
      </c>
      <c r="M37" s="201"/>
      <c r="N37" s="219" t="s">
        <v>159</v>
      </c>
      <c r="O37" s="201"/>
      <c r="P37" s="213" t="s">
        <v>160</v>
      </c>
      <c r="Q37" s="201"/>
      <c r="R37" s="212"/>
      <c r="S37" s="24"/>
      <c r="T37" s="24"/>
      <c r="U37" s="24"/>
      <c r="V37" s="24"/>
      <c r="W37" s="24"/>
      <c r="X37" s="24"/>
      <c r="Y37" s="24"/>
      <c r="Z37" s="24"/>
    </row>
    <row r="38" spans="1:26" ht="12.75" x14ac:dyDescent="0.2">
      <c r="A38" s="210">
        <v>4</v>
      </c>
      <c r="B38" s="48" t="s">
        <v>124</v>
      </c>
      <c r="C38" s="49" t="s">
        <v>161</v>
      </c>
      <c r="D38" s="48" t="s">
        <v>58</v>
      </c>
      <c r="E38" s="49" t="s">
        <v>162</v>
      </c>
      <c r="F38" s="48" t="s">
        <v>67</v>
      </c>
      <c r="G38" s="49" t="s">
        <v>163</v>
      </c>
      <c r="H38" s="48" t="s">
        <v>58</v>
      </c>
      <c r="I38" s="49" t="s">
        <v>164</v>
      </c>
      <c r="J38" s="48" t="s">
        <v>89</v>
      </c>
      <c r="K38" s="49" t="s">
        <v>165</v>
      </c>
      <c r="L38" s="48" t="s">
        <v>72</v>
      </c>
      <c r="M38" s="49" t="s">
        <v>166</v>
      </c>
      <c r="N38" s="52" t="s">
        <v>72</v>
      </c>
      <c r="O38" s="53" t="s">
        <v>167</v>
      </c>
      <c r="P38" s="33" t="s">
        <v>89</v>
      </c>
      <c r="Q38" s="51" t="s">
        <v>168</v>
      </c>
      <c r="R38" s="210">
        <v>4</v>
      </c>
      <c r="S38" s="24"/>
      <c r="T38" s="24"/>
      <c r="U38" s="24"/>
      <c r="V38" s="24"/>
      <c r="W38" s="24"/>
      <c r="X38" s="24"/>
      <c r="Y38" s="24"/>
      <c r="Z38" s="24"/>
    </row>
    <row r="39" spans="1:26" ht="12.75" x14ac:dyDescent="0.2">
      <c r="A39" s="211"/>
      <c r="B39" s="37">
        <v>110.75</v>
      </c>
      <c r="C39" s="57"/>
      <c r="D39" s="37">
        <v>232.87</v>
      </c>
      <c r="E39" s="57"/>
      <c r="F39" s="37">
        <v>71.06</v>
      </c>
      <c r="G39" s="57"/>
      <c r="H39" s="37">
        <v>174.91</v>
      </c>
      <c r="I39" s="40">
        <v>294</v>
      </c>
      <c r="J39" s="37">
        <v>157.76</v>
      </c>
      <c r="K39" s="40">
        <v>362.25</v>
      </c>
      <c r="L39" s="37">
        <v>112.08</v>
      </c>
      <c r="M39" s="40">
        <v>362.25</v>
      </c>
      <c r="N39" s="54">
        <v>112.11</v>
      </c>
      <c r="O39" s="55">
        <v>362.25</v>
      </c>
      <c r="P39" s="31">
        <v>157.88</v>
      </c>
      <c r="Q39" s="32">
        <v>362.25</v>
      </c>
      <c r="R39" s="211"/>
      <c r="S39" s="24"/>
      <c r="T39" s="24"/>
      <c r="U39" s="24"/>
      <c r="V39" s="24"/>
      <c r="W39" s="24"/>
      <c r="X39" s="24"/>
      <c r="Y39" s="24"/>
      <c r="Z39" s="24"/>
    </row>
    <row r="40" spans="1:26" ht="12.75" x14ac:dyDescent="0.2">
      <c r="A40" s="212"/>
      <c r="B40" s="202" t="s">
        <v>77</v>
      </c>
      <c r="C40" s="201"/>
      <c r="D40" s="202" t="s">
        <v>77</v>
      </c>
      <c r="E40" s="201"/>
      <c r="F40" s="202" t="s">
        <v>77</v>
      </c>
      <c r="G40" s="201"/>
      <c r="H40" s="202" t="s">
        <v>77</v>
      </c>
      <c r="I40" s="201"/>
      <c r="J40" s="202" t="s">
        <v>77</v>
      </c>
      <c r="K40" s="201"/>
      <c r="L40" s="202" t="s">
        <v>77</v>
      </c>
      <c r="M40" s="201"/>
      <c r="N40" s="203" t="s">
        <v>169</v>
      </c>
      <c r="O40" s="201"/>
      <c r="P40" s="214" t="s">
        <v>170</v>
      </c>
      <c r="Q40" s="201"/>
      <c r="R40" s="212"/>
      <c r="S40" s="24"/>
      <c r="T40" s="24"/>
      <c r="U40" s="24"/>
      <c r="V40" s="24"/>
      <c r="W40" s="24"/>
      <c r="X40" s="24"/>
      <c r="Y40" s="24"/>
      <c r="Z40" s="24"/>
    </row>
    <row r="41" spans="1:26" ht="12.75" x14ac:dyDescent="0.2">
      <c r="A41" s="210">
        <v>3</v>
      </c>
      <c r="B41" s="48" t="s">
        <v>124</v>
      </c>
      <c r="C41" s="49" t="s">
        <v>171</v>
      </c>
      <c r="D41" s="48" t="s">
        <v>58</v>
      </c>
      <c r="E41" s="49" t="s">
        <v>172</v>
      </c>
      <c r="F41" s="48" t="s">
        <v>67</v>
      </c>
      <c r="G41" s="49" t="s">
        <v>173</v>
      </c>
      <c r="H41" s="48" t="s">
        <v>151</v>
      </c>
      <c r="I41" s="49" t="s">
        <v>174</v>
      </c>
      <c r="J41" s="48" t="s">
        <v>89</v>
      </c>
      <c r="K41" s="49" t="s">
        <v>175</v>
      </c>
      <c r="L41" s="48" t="s">
        <v>72</v>
      </c>
      <c r="M41" s="49" t="s">
        <v>176</v>
      </c>
      <c r="N41" s="52" t="s">
        <v>72</v>
      </c>
      <c r="O41" s="53" t="s">
        <v>177</v>
      </c>
      <c r="P41" s="48" t="s">
        <v>89</v>
      </c>
      <c r="Q41" s="49" t="s">
        <v>178</v>
      </c>
      <c r="R41" s="210">
        <v>3</v>
      </c>
      <c r="S41" s="24"/>
      <c r="T41" s="24"/>
      <c r="U41" s="24"/>
      <c r="V41" s="24"/>
      <c r="W41" s="24"/>
      <c r="X41" s="24"/>
      <c r="Y41" s="24"/>
      <c r="Z41" s="24"/>
    </row>
    <row r="42" spans="1:26" ht="12.75" x14ac:dyDescent="0.2">
      <c r="A42" s="211"/>
      <c r="B42" s="37">
        <v>110.73</v>
      </c>
      <c r="C42" s="57"/>
      <c r="D42" s="37">
        <v>232.87</v>
      </c>
      <c r="E42" s="57"/>
      <c r="F42" s="37">
        <v>71.28</v>
      </c>
      <c r="G42" s="38"/>
      <c r="H42" s="37">
        <v>170.24</v>
      </c>
      <c r="I42" s="38"/>
      <c r="J42" s="37">
        <v>157.71</v>
      </c>
      <c r="K42" s="57"/>
      <c r="L42" s="37">
        <v>112.09</v>
      </c>
      <c r="M42" s="57"/>
      <c r="N42" s="54">
        <v>112.12</v>
      </c>
      <c r="O42" s="55">
        <v>341.25</v>
      </c>
      <c r="P42" s="37">
        <v>157.78</v>
      </c>
      <c r="Q42" s="40">
        <v>341.25</v>
      </c>
      <c r="R42" s="211"/>
      <c r="S42" s="24"/>
      <c r="T42" s="24"/>
      <c r="U42" s="24"/>
      <c r="V42" s="24"/>
      <c r="W42" s="24"/>
      <c r="X42" s="24"/>
      <c r="Y42" s="24"/>
      <c r="Z42" s="24"/>
    </row>
    <row r="43" spans="1:26" ht="12.75" x14ac:dyDescent="0.2">
      <c r="A43" s="212"/>
      <c r="B43" s="202" t="s">
        <v>77</v>
      </c>
      <c r="C43" s="201"/>
      <c r="D43" s="202" t="s">
        <v>77</v>
      </c>
      <c r="E43" s="201"/>
      <c r="F43" s="202" t="s">
        <v>77</v>
      </c>
      <c r="G43" s="201"/>
      <c r="H43" s="202" t="s">
        <v>77</v>
      </c>
      <c r="I43" s="201"/>
      <c r="J43" s="202" t="s">
        <v>77</v>
      </c>
      <c r="K43" s="201"/>
      <c r="L43" s="202" t="s">
        <v>77</v>
      </c>
      <c r="M43" s="201"/>
      <c r="N43" s="203" t="s">
        <v>179</v>
      </c>
      <c r="O43" s="201"/>
      <c r="P43" s="202" t="s">
        <v>77</v>
      </c>
      <c r="Q43" s="201"/>
      <c r="R43" s="212"/>
      <c r="S43" s="24"/>
      <c r="T43" s="24"/>
      <c r="U43" s="24"/>
      <c r="V43" s="24"/>
      <c r="W43" s="24"/>
      <c r="X43" s="24"/>
      <c r="Y43" s="24"/>
      <c r="Z43" s="24"/>
    </row>
    <row r="44" spans="1:26" ht="12.75" x14ac:dyDescent="0.2">
      <c r="A44" s="210">
        <v>2</v>
      </c>
      <c r="B44" s="48" t="s">
        <v>124</v>
      </c>
      <c r="C44" s="49" t="s">
        <v>180</v>
      </c>
      <c r="D44" s="48" t="s">
        <v>58</v>
      </c>
      <c r="E44" s="49" t="s">
        <v>181</v>
      </c>
      <c r="F44" s="48" t="s">
        <v>67</v>
      </c>
      <c r="G44" s="49" t="s">
        <v>182</v>
      </c>
      <c r="H44" s="48" t="s">
        <v>58</v>
      </c>
      <c r="I44" s="49" t="s">
        <v>183</v>
      </c>
      <c r="J44" s="33" t="s">
        <v>89</v>
      </c>
      <c r="K44" s="51" t="s">
        <v>184</v>
      </c>
      <c r="L44" s="48" t="s">
        <v>72</v>
      </c>
      <c r="M44" s="49" t="s">
        <v>185</v>
      </c>
      <c r="N44" s="52" t="s">
        <v>72</v>
      </c>
      <c r="O44" s="53" t="s">
        <v>186</v>
      </c>
      <c r="P44" s="48" t="s">
        <v>89</v>
      </c>
      <c r="Q44" s="58" t="s">
        <v>187</v>
      </c>
      <c r="R44" s="210">
        <v>2</v>
      </c>
      <c r="S44" s="24"/>
      <c r="T44" s="24"/>
      <c r="U44" s="24"/>
      <c r="V44" s="24"/>
      <c r="W44" s="24"/>
      <c r="X44" s="24"/>
      <c r="Y44" s="24"/>
      <c r="Z44" s="24"/>
    </row>
    <row r="45" spans="1:26" ht="12.75" x14ac:dyDescent="0.2">
      <c r="A45" s="211"/>
      <c r="B45" s="37">
        <v>110.73</v>
      </c>
      <c r="C45" s="57"/>
      <c r="D45" s="37">
        <v>232.87</v>
      </c>
      <c r="E45" s="57"/>
      <c r="F45" s="37">
        <v>71.28</v>
      </c>
      <c r="G45" s="40">
        <v>463.5</v>
      </c>
      <c r="H45" s="37">
        <v>170.24</v>
      </c>
      <c r="I45" s="38"/>
      <c r="J45" s="31">
        <v>157.71</v>
      </c>
      <c r="K45" s="32">
        <v>350</v>
      </c>
      <c r="L45" s="37">
        <v>112.09</v>
      </c>
      <c r="M45" s="40">
        <v>300</v>
      </c>
      <c r="N45" s="54">
        <v>112.12</v>
      </c>
      <c r="O45" s="55">
        <v>315</v>
      </c>
      <c r="P45" s="37">
        <v>157.78</v>
      </c>
      <c r="Q45" s="40">
        <v>330.75</v>
      </c>
      <c r="R45" s="211"/>
      <c r="S45" s="24"/>
      <c r="T45" s="24"/>
      <c r="U45" s="24"/>
      <c r="V45" s="24"/>
      <c r="W45" s="24"/>
      <c r="X45" s="24"/>
      <c r="Y45" s="24"/>
      <c r="Z45" s="24"/>
    </row>
    <row r="46" spans="1:26" ht="12.75" x14ac:dyDescent="0.2">
      <c r="A46" s="212"/>
      <c r="B46" s="202" t="s">
        <v>77</v>
      </c>
      <c r="C46" s="201"/>
      <c r="D46" s="202" t="s">
        <v>77</v>
      </c>
      <c r="E46" s="201"/>
      <c r="F46" s="202" t="s">
        <v>77</v>
      </c>
      <c r="G46" s="201"/>
      <c r="H46" s="202" t="s">
        <v>77</v>
      </c>
      <c r="I46" s="201"/>
      <c r="J46" s="214" t="s">
        <v>188</v>
      </c>
      <c r="K46" s="201"/>
      <c r="L46" s="202" t="s">
        <v>77</v>
      </c>
      <c r="M46" s="201"/>
      <c r="N46" s="219" t="s">
        <v>189</v>
      </c>
      <c r="O46" s="201"/>
      <c r="P46" s="202" t="s">
        <v>77</v>
      </c>
      <c r="Q46" s="201"/>
      <c r="R46" s="212"/>
      <c r="S46" s="24"/>
      <c r="T46" s="24"/>
      <c r="U46" s="24"/>
      <c r="V46" s="24"/>
      <c r="W46" s="24"/>
      <c r="X46" s="24"/>
      <c r="Y46" s="24"/>
      <c r="Z46" s="24"/>
    </row>
    <row r="47" spans="1:26" ht="12.75" x14ac:dyDescent="0.2">
      <c r="A47" s="210">
        <v>1</v>
      </c>
      <c r="B47" s="209"/>
      <c r="C47" s="191"/>
      <c r="D47" s="59" t="s">
        <v>58</v>
      </c>
      <c r="E47" s="51" t="s">
        <v>190</v>
      </c>
      <c r="F47" s="33" t="s">
        <v>67</v>
      </c>
      <c r="G47" s="51" t="s">
        <v>191</v>
      </c>
      <c r="H47" s="48" t="s">
        <v>58</v>
      </c>
      <c r="I47" s="49" t="s">
        <v>192</v>
      </c>
      <c r="J47" s="48" t="s">
        <v>54</v>
      </c>
      <c r="K47" s="49" t="s">
        <v>193</v>
      </c>
      <c r="L47" s="48" t="s">
        <v>124</v>
      </c>
      <c r="M47" s="49" t="s">
        <v>194</v>
      </c>
      <c r="N47" s="52" t="s">
        <v>124</v>
      </c>
      <c r="O47" s="53" t="s">
        <v>195</v>
      </c>
      <c r="P47" s="209"/>
      <c r="Q47" s="191"/>
      <c r="R47" s="210">
        <v>1</v>
      </c>
      <c r="S47" s="24"/>
      <c r="T47" s="24"/>
      <c r="U47" s="24"/>
      <c r="V47" s="24"/>
      <c r="W47" s="24"/>
      <c r="X47" s="24"/>
      <c r="Y47" s="24"/>
      <c r="Z47" s="24"/>
    </row>
    <row r="48" spans="1:26" ht="12.75" x14ac:dyDescent="0.2">
      <c r="A48" s="211"/>
      <c r="B48" s="191"/>
      <c r="C48" s="191"/>
      <c r="D48" s="60">
        <v>229.77</v>
      </c>
      <c r="E48" s="32">
        <v>500</v>
      </c>
      <c r="F48" s="31">
        <v>69.790000000000006</v>
      </c>
      <c r="G48" s="32">
        <v>420</v>
      </c>
      <c r="H48" s="37">
        <v>173.85</v>
      </c>
      <c r="I48" s="38"/>
      <c r="J48" s="37">
        <v>86.09</v>
      </c>
      <c r="K48" s="40">
        <v>294</v>
      </c>
      <c r="L48" s="37">
        <v>111.17</v>
      </c>
      <c r="M48" s="38"/>
      <c r="N48" s="54">
        <v>141.49</v>
      </c>
      <c r="O48" s="55">
        <v>309.75</v>
      </c>
      <c r="P48" s="191"/>
      <c r="Q48" s="191"/>
      <c r="R48" s="211"/>
      <c r="S48" s="24"/>
      <c r="T48" s="24"/>
      <c r="U48" s="24"/>
      <c r="V48" s="24"/>
      <c r="W48" s="24"/>
      <c r="X48" s="24"/>
      <c r="Y48" s="24"/>
      <c r="Z48" s="24"/>
    </row>
    <row r="49" spans="1:26" ht="12.75" x14ac:dyDescent="0.2">
      <c r="A49" s="212"/>
      <c r="B49" s="191"/>
      <c r="C49" s="191"/>
      <c r="D49" s="220" t="s">
        <v>196</v>
      </c>
      <c r="E49" s="201"/>
      <c r="F49" s="214" t="s">
        <v>197</v>
      </c>
      <c r="G49" s="201"/>
      <c r="H49" s="202" t="s">
        <v>77</v>
      </c>
      <c r="I49" s="201"/>
      <c r="J49" s="202" t="s">
        <v>77</v>
      </c>
      <c r="K49" s="201"/>
      <c r="L49" s="202" t="s">
        <v>77</v>
      </c>
      <c r="M49" s="201"/>
      <c r="N49" s="203" t="s">
        <v>198</v>
      </c>
      <c r="O49" s="201"/>
      <c r="P49" s="191"/>
      <c r="Q49" s="191"/>
      <c r="R49" s="212"/>
      <c r="S49" s="24"/>
      <c r="T49" s="24"/>
      <c r="U49" s="24"/>
      <c r="V49" s="24"/>
      <c r="W49" s="24"/>
      <c r="X49" s="24"/>
      <c r="Y49" s="24"/>
      <c r="Z49" s="24"/>
    </row>
    <row r="50" spans="1:26" ht="12.75" x14ac:dyDescent="0.2">
      <c r="A50" s="42"/>
      <c r="B50" s="43">
        <v>6</v>
      </c>
      <c r="C50" s="42"/>
      <c r="D50" s="43">
        <v>6</v>
      </c>
      <c r="E50" s="42"/>
      <c r="F50" s="43">
        <v>6</v>
      </c>
      <c r="G50" s="42"/>
      <c r="H50" s="43">
        <v>7</v>
      </c>
      <c r="I50" s="42"/>
      <c r="J50" s="43">
        <v>6</v>
      </c>
      <c r="K50" s="42"/>
      <c r="L50" s="43">
        <v>6</v>
      </c>
      <c r="M50" s="42"/>
      <c r="N50" s="43">
        <v>6</v>
      </c>
      <c r="O50" s="42"/>
      <c r="P50" s="43">
        <v>5</v>
      </c>
      <c r="Q50" s="42"/>
      <c r="R50" s="42"/>
      <c r="S50" s="24"/>
      <c r="T50" s="24"/>
      <c r="U50" s="24"/>
      <c r="V50" s="24"/>
      <c r="W50" s="24"/>
      <c r="X50" s="24"/>
      <c r="Y50" s="24"/>
      <c r="Z50" s="24"/>
    </row>
    <row r="51" spans="1:26" ht="12.7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24"/>
      <c r="T51" s="24"/>
      <c r="U51" s="24"/>
      <c r="V51" s="24"/>
      <c r="W51" s="24"/>
      <c r="X51" s="24"/>
      <c r="Y51" s="24"/>
      <c r="Z51" s="24"/>
    </row>
    <row r="52" spans="1:26" ht="12.7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24"/>
      <c r="T52" s="24"/>
      <c r="U52" s="24"/>
      <c r="V52" s="24"/>
      <c r="W52" s="24"/>
      <c r="X52" s="24"/>
      <c r="Y52" s="24"/>
      <c r="Z52" s="24"/>
    </row>
    <row r="53" spans="1:26" x14ac:dyDescent="0.25">
      <c r="A53" s="204" t="s">
        <v>199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42"/>
      <c r="R53" s="42"/>
      <c r="S53" s="24"/>
      <c r="T53" s="24"/>
      <c r="U53" s="24"/>
      <c r="V53" s="24"/>
      <c r="W53" s="24"/>
      <c r="X53" s="24"/>
      <c r="Y53" s="24"/>
      <c r="Z53" s="24"/>
    </row>
    <row r="54" spans="1:26" ht="12.75" x14ac:dyDescent="0.2">
      <c r="A54" s="26"/>
      <c r="B54" s="221" t="s">
        <v>52</v>
      </c>
      <c r="C54" s="222"/>
      <c r="D54" s="222"/>
      <c r="E54" s="222"/>
      <c r="F54" s="222"/>
      <c r="G54" s="223"/>
      <c r="H54" s="221" t="s">
        <v>53</v>
      </c>
      <c r="I54" s="222"/>
      <c r="J54" s="222"/>
      <c r="K54" s="222"/>
      <c r="L54" s="222"/>
      <c r="M54" s="222"/>
      <c r="N54" s="222"/>
      <c r="O54" s="223"/>
      <c r="P54" s="26"/>
      <c r="Q54" s="42"/>
      <c r="R54" s="42"/>
      <c r="S54" s="24"/>
      <c r="T54" s="24"/>
      <c r="U54" s="24"/>
      <c r="V54" s="24"/>
      <c r="W54" s="24"/>
      <c r="X54" s="24"/>
      <c r="Y54" s="24"/>
      <c r="Z54" s="24"/>
    </row>
    <row r="55" spans="1:26" ht="12.75" x14ac:dyDescent="0.2">
      <c r="A55" s="210">
        <v>7</v>
      </c>
      <c r="B55" s="35" t="s">
        <v>60</v>
      </c>
      <c r="C55" s="61"/>
      <c r="D55" s="62" t="s">
        <v>200</v>
      </c>
      <c r="E55" s="224" t="s">
        <v>201</v>
      </c>
      <c r="F55" s="207"/>
      <c r="G55" s="208"/>
      <c r="H55" s="35" t="s">
        <v>202</v>
      </c>
      <c r="I55" s="36" t="s">
        <v>203</v>
      </c>
      <c r="J55" s="35" t="s">
        <v>89</v>
      </c>
      <c r="K55" s="36" t="s">
        <v>204</v>
      </c>
      <c r="L55" s="29"/>
      <c r="M55" s="29"/>
      <c r="N55" s="29"/>
      <c r="O55" s="30"/>
      <c r="P55" s="210">
        <v>7</v>
      </c>
      <c r="Q55" s="42"/>
      <c r="R55" s="42"/>
      <c r="S55" s="24"/>
      <c r="T55" s="24"/>
      <c r="U55" s="24"/>
      <c r="V55" s="24"/>
      <c r="W55" s="24"/>
      <c r="X55" s="24"/>
      <c r="Y55" s="24"/>
      <c r="Z55" s="24"/>
    </row>
    <row r="56" spans="1:26" ht="12.75" x14ac:dyDescent="0.2">
      <c r="A56" s="211"/>
      <c r="B56" s="37">
        <v>528.55999999999995</v>
      </c>
      <c r="C56" s="63"/>
      <c r="D56" s="64" t="s">
        <v>137</v>
      </c>
      <c r="E56" s="209"/>
      <c r="F56" s="191"/>
      <c r="G56" s="199"/>
      <c r="H56" s="37">
        <v>221</v>
      </c>
      <c r="I56" s="40">
        <v>525</v>
      </c>
      <c r="J56" s="35" t="s">
        <v>137</v>
      </c>
      <c r="K56" s="36" t="s">
        <v>138</v>
      </c>
      <c r="L56" s="29"/>
      <c r="M56" s="29"/>
      <c r="N56" s="29"/>
      <c r="O56" s="30"/>
      <c r="P56" s="211"/>
      <c r="Q56" s="42"/>
      <c r="R56" s="42"/>
      <c r="S56" s="24"/>
      <c r="T56" s="24"/>
      <c r="U56" s="24"/>
      <c r="V56" s="24"/>
      <c r="W56" s="24"/>
      <c r="X56" s="24"/>
      <c r="Y56" s="24"/>
      <c r="Z56" s="24"/>
    </row>
    <row r="57" spans="1:26" ht="12.75" x14ac:dyDescent="0.2">
      <c r="A57" s="212"/>
      <c r="B57" s="39" t="s">
        <v>77</v>
      </c>
      <c r="C57" s="65"/>
      <c r="D57" s="66" t="s">
        <v>205</v>
      </c>
      <c r="E57" s="65"/>
      <c r="F57" s="67"/>
      <c r="G57" s="68"/>
      <c r="H57" s="202" t="s">
        <v>77</v>
      </c>
      <c r="I57" s="201"/>
      <c r="J57" s="195">
        <v>298.24</v>
      </c>
      <c r="K57" s="218">
        <v>397.45100000000002</v>
      </c>
      <c r="L57" s="34"/>
      <c r="M57" s="34"/>
      <c r="N57" s="34"/>
      <c r="O57" s="26"/>
      <c r="P57" s="212"/>
      <c r="Q57" s="42"/>
      <c r="R57" s="42"/>
      <c r="S57" s="24"/>
      <c r="T57" s="24"/>
      <c r="U57" s="24"/>
      <c r="V57" s="24"/>
      <c r="W57" s="24"/>
      <c r="X57" s="24"/>
      <c r="Y57" s="24"/>
      <c r="Z57" s="24"/>
    </row>
    <row r="58" spans="1:26" ht="12.75" x14ac:dyDescent="0.2">
      <c r="A58" s="210">
        <v>6</v>
      </c>
      <c r="B58" s="27" t="s">
        <v>67</v>
      </c>
      <c r="C58" s="28" t="s">
        <v>206</v>
      </c>
      <c r="D58" s="35" t="s">
        <v>58</v>
      </c>
      <c r="E58" s="41" t="s">
        <v>207</v>
      </c>
      <c r="F58" s="35" t="s">
        <v>124</v>
      </c>
      <c r="G58" s="36" t="s">
        <v>208</v>
      </c>
      <c r="H58" s="35" t="s">
        <v>89</v>
      </c>
      <c r="I58" s="36" t="s">
        <v>209</v>
      </c>
      <c r="J58" s="196"/>
      <c r="K58" s="199"/>
      <c r="L58" s="27" t="s">
        <v>89</v>
      </c>
      <c r="M58" s="28" t="s">
        <v>210</v>
      </c>
      <c r="N58" s="27" t="s">
        <v>89</v>
      </c>
      <c r="O58" s="28" t="s">
        <v>211</v>
      </c>
      <c r="P58" s="210">
        <v>6</v>
      </c>
      <c r="Q58" s="42"/>
      <c r="R58" s="42"/>
      <c r="S58" s="24"/>
      <c r="T58" s="24"/>
      <c r="U58" s="24"/>
      <c r="V58" s="24"/>
      <c r="W58" s="24"/>
      <c r="X58" s="24"/>
      <c r="Y58" s="24"/>
      <c r="Z58" s="24"/>
    </row>
    <row r="59" spans="1:26" ht="12.75" x14ac:dyDescent="0.2">
      <c r="A59" s="211"/>
      <c r="B59" s="31">
        <v>70.37</v>
      </c>
      <c r="C59" s="32">
        <v>422.3</v>
      </c>
      <c r="D59" s="37">
        <v>219.37</v>
      </c>
      <c r="E59" s="40">
        <v>518.17499999999995</v>
      </c>
      <c r="F59" s="37">
        <v>114.03</v>
      </c>
      <c r="G59" s="40">
        <v>410</v>
      </c>
      <c r="H59" s="37">
        <v>180.92</v>
      </c>
      <c r="I59" s="40">
        <v>390</v>
      </c>
      <c r="J59" s="198" t="s">
        <v>77</v>
      </c>
      <c r="K59" s="199"/>
      <c r="L59" s="31">
        <v>154.94999999999999</v>
      </c>
      <c r="M59" s="32">
        <v>401.7</v>
      </c>
      <c r="N59" s="31">
        <v>138.47999999999999</v>
      </c>
      <c r="O59" s="32">
        <v>401.7</v>
      </c>
      <c r="P59" s="211"/>
      <c r="Q59" s="42"/>
      <c r="R59" s="42"/>
      <c r="S59" s="24"/>
      <c r="T59" s="24"/>
      <c r="U59" s="24"/>
      <c r="V59" s="24"/>
      <c r="W59" s="24"/>
      <c r="X59" s="24"/>
      <c r="Y59" s="24"/>
      <c r="Z59" s="24"/>
    </row>
    <row r="60" spans="1:26" ht="12.75" x14ac:dyDescent="0.2">
      <c r="A60" s="212"/>
      <c r="B60" s="214" t="s">
        <v>212</v>
      </c>
      <c r="C60" s="201"/>
      <c r="D60" s="202" t="s">
        <v>77</v>
      </c>
      <c r="E60" s="201"/>
      <c r="F60" s="202" t="s">
        <v>77</v>
      </c>
      <c r="G60" s="201"/>
      <c r="H60" s="202" t="s">
        <v>77</v>
      </c>
      <c r="I60" s="201"/>
      <c r="J60" s="200"/>
      <c r="K60" s="201"/>
      <c r="L60" s="214" t="s">
        <v>213</v>
      </c>
      <c r="M60" s="201"/>
      <c r="N60" s="214" t="s">
        <v>214</v>
      </c>
      <c r="O60" s="201"/>
      <c r="P60" s="212"/>
      <c r="Q60" s="42"/>
      <c r="R60" s="42"/>
      <c r="S60" s="24"/>
      <c r="T60" s="24"/>
      <c r="U60" s="24"/>
      <c r="V60" s="24"/>
      <c r="W60" s="24"/>
      <c r="X60" s="24"/>
      <c r="Y60" s="24"/>
      <c r="Z60" s="24"/>
    </row>
    <row r="61" spans="1:26" ht="12.75" x14ac:dyDescent="0.2">
      <c r="A61" s="210">
        <v>5</v>
      </c>
      <c r="B61" s="35" t="s">
        <v>54</v>
      </c>
      <c r="C61" s="36" t="s">
        <v>215</v>
      </c>
      <c r="D61" s="35" t="s">
        <v>58</v>
      </c>
      <c r="E61" s="36" t="s">
        <v>216</v>
      </c>
      <c r="F61" s="27" t="s">
        <v>124</v>
      </c>
      <c r="G61" s="28" t="s">
        <v>217</v>
      </c>
      <c r="H61" s="27" t="s">
        <v>56</v>
      </c>
      <c r="I61" s="28" t="s">
        <v>218</v>
      </c>
      <c r="J61" s="27" t="s">
        <v>89</v>
      </c>
      <c r="K61" s="28" t="s">
        <v>219</v>
      </c>
      <c r="L61" s="35" t="s">
        <v>56</v>
      </c>
      <c r="M61" s="36" t="s">
        <v>220</v>
      </c>
      <c r="N61" s="35" t="s">
        <v>56</v>
      </c>
      <c r="O61" s="36" t="s">
        <v>221</v>
      </c>
      <c r="P61" s="210">
        <v>5</v>
      </c>
      <c r="Q61" s="42"/>
      <c r="R61" s="42"/>
      <c r="S61" s="24"/>
      <c r="T61" s="24"/>
      <c r="U61" s="24"/>
      <c r="V61" s="24"/>
      <c r="W61" s="24"/>
      <c r="X61" s="24"/>
      <c r="Y61" s="24"/>
      <c r="Z61" s="24"/>
    </row>
    <row r="62" spans="1:26" ht="12.75" x14ac:dyDescent="0.2">
      <c r="A62" s="211"/>
      <c r="B62" s="37">
        <v>70.03</v>
      </c>
      <c r="C62" s="40">
        <v>390</v>
      </c>
      <c r="D62" s="37">
        <v>234.29</v>
      </c>
      <c r="E62" s="38"/>
      <c r="F62" s="31">
        <v>114.03</v>
      </c>
      <c r="G62" s="32">
        <v>422.3</v>
      </c>
      <c r="H62" s="31">
        <v>180.92</v>
      </c>
      <c r="I62" s="32">
        <v>381.1</v>
      </c>
      <c r="J62" s="31">
        <v>160.16999999999999</v>
      </c>
      <c r="K62" s="32">
        <v>406.85</v>
      </c>
      <c r="L62" s="37">
        <v>155.97999999999999</v>
      </c>
      <c r="M62" s="40">
        <v>330.75</v>
      </c>
      <c r="N62" s="37">
        <v>138.55000000000001</v>
      </c>
      <c r="O62" s="38"/>
      <c r="P62" s="211"/>
      <c r="Q62" s="42"/>
      <c r="R62" s="42"/>
      <c r="S62" s="24"/>
      <c r="T62" s="24"/>
      <c r="U62" s="24"/>
      <c r="V62" s="24"/>
      <c r="W62" s="24"/>
      <c r="X62" s="24"/>
      <c r="Y62" s="24"/>
      <c r="Z62" s="24"/>
    </row>
    <row r="63" spans="1:26" ht="12.75" x14ac:dyDescent="0.2">
      <c r="A63" s="212"/>
      <c r="B63" s="202" t="s">
        <v>77</v>
      </c>
      <c r="C63" s="201"/>
      <c r="D63" s="202" t="s">
        <v>77</v>
      </c>
      <c r="E63" s="201"/>
      <c r="F63" s="214" t="s">
        <v>222</v>
      </c>
      <c r="G63" s="201"/>
      <c r="H63" s="214" t="s">
        <v>223</v>
      </c>
      <c r="I63" s="201"/>
      <c r="J63" s="214" t="s">
        <v>224</v>
      </c>
      <c r="K63" s="201"/>
      <c r="L63" s="202" t="s">
        <v>77</v>
      </c>
      <c r="M63" s="201"/>
      <c r="N63" s="202" t="s">
        <v>77</v>
      </c>
      <c r="O63" s="201"/>
      <c r="P63" s="212"/>
      <c r="Q63" s="42"/>
      <c r="R63" s="42"/>
      <c r="S63" s="24"/>
      <c r="T63" s="24"/>
      <c r="U63" s="24"/>
      <c r="V63" s="24"/>
      <c r="W63" s="24"/>
      <c r="X63" s="24"/>
      <c r="Y63" s="24"/>
      <c r="Z63" s="24"/>
    </row>
    <row r="64" spans="1:26" ht="12.75" x14ac:dyDescent="0.2">
      <c r="A64" s="210">
        <v>4</v>
      </c>
      <c r="B64" s="35" t="s">
        <v>67</v>
      </c>
      <c r="C64" s="36" t="s">
        <v>225</v>
      </c>
      <c r="D64" s="35" t="s">
        <v>58</v>
      </c>
      <c r="E64" s="36" t="s">
        <v>226</v>
      </c>
      <c r="F64" s="35" t="s">
        <v>124</v>
      </c>
      <c r="G64" s="36" t="s">
        <v>227</v>
      </c>
      <c r="H64" s="27" t="s">
        <v>56</v>
      </c>
      <c r="I64" s="28" t="s">
        <v>228</v>
      </c>
      <c r="J64" s="35" t="s">
        <v>56</v>
      </c>
      <c r="K64" s="36" t="s">
        <v>229</v>
      </c>
      <c r="L64" s="27" t="s">
        <v>56</v>
      </c>
      <c r="M64" s="28" t="s">
        <v>230</v>
      </c>
      <c r="N64" s="27" t="s">
        <v>56</v>
      </c>
      <c r="O64" s="28" t="s">
        <v>231</v>
      </c>
      <c r="P64" s="210">
        <v>4</v>
      </c>
      <c r="Q64" s="42"/>
      <c r="R64" s="42"/>
      <c r="S64" s="24"/>
      <c r="T64" s="24"/>
      <c r="U64" s="24"/>
      <c r="V64" s="24"/>
      <c r="W64" s="24"/>
      <c r="X64" s="24"/>
      <c r="Y64" s="24"/>
      <c r="Z64" s="24"/>
    </row>
    <row r="65" spans="1:26" ht="12.75" x14ac:dyDescent="0.2">
      <c r="A65" s="211"/>
      <c r="B65" s="37">
        <v>70.37</v>
      </c>
      <c r="C65" s="40">
        <v>336</v>
      </c>
      <c r="D65" s="37">
        <v>234.29</v>
      </c>
      <c r="E65" s="38"/>
      <c r="F65" s="37">
        <v>114.03</v>
      </c>
      <c r="G65" s="38"/>
      <c r="H65" s="31">
        <v>180.92</v>
      </c>
      <c r="I65" s="32">
        <v>360</v>
      </c>
      <c r="J65" s="37">
        <v>160.16999999999999</v>
      </c>
      <c r="K65" s="38"/>
      <c r="L65" s="31">
        <v>155.97999999999999</v>
      </c>
      <c r="M65" s="69">
        <v>351750</v>
      </c>
      <c r="N65" s="31">
        <v>138.55000000000001</v>
      </c>
      <c r="O65" s="32">
        <v>351.75</v>
      </c>
      <c r="P65" s="211"/>
      <c r="Q65" s="42"/>
      <c r="R65" s="42"/>
      <c r="S65" s="24"/>
      <c r="T65" s="24"/>
      <c r="U65" s="24"/>
      <c r="V65" s="24"/>
      <c r="W65" s="24"/>
      <c r="X65" s="24"/>
      <c r="Y65" s="24"/>
      <c r="Z65" s="24"/>
    </row>
    <row r="66" spans="1:26" ht="12.75" x14ac:dyDescent="0.2">
      <c r="A66" s="212"/>
      <c r="B66" s="202" t="s">
        <v>77</v>
      </c>
      <c r="C66" s="201"/>
      <c r="D66" s="202" t="s">
        <v>77</v>
      </c>
      <c r="E66" s="201"/>
      <c r="F66" s="202" t="s">
        <v>77</v>
      </c>
      <c r="G66" s="201"/>
      <c r="H66" s="214" t="s">
        <v>232</v>
      </c>
      <c r="I66" s="201"/>
      <c r="J66" s="202" t="s">
        <v>77</v>
      </c>
      <c r="K66" s="201"/>
      <c r="L66" s="225" t="s">
        <v>233</v>
      </c>
      <c r="M66" s="201"/>
      <c r="N66" s="214" t="s">
        <v>234</v>
      </c>
      <c r="O66" s="201"/>
      <c r="P66" s="212"/>
      <c r="Q66" s="42"/>
      <c r="R66" s="42"/>
      <c r="S66" s="24"/>
      <c r="T66" s="24"/>
      <c r="U66" s="24"/>
      <c r="V66" s="24"/>
      <c r="W66" s="24"/>
      <c r="X66" s="24"/>
      <c r="Y66" s="24"/>
      <c r="Z66" s="24"/>
    </row>
    <row r="67" spans="1:26" ht="12.75" x14ac:dyDescent="0.2">
      <c r="A67" s="210">
        <v>3</v>
      </c>
      <c r="B67" s="35" t="s">
        <v>67</v>
      </c>
      <c r="C67" s="41" t="s">
        <v>235</v>
      </c>
      <c r="D67" s="35" t="s">
        <v>58</v>
      </c>
      <c r="E67" s="41" t="s">
        <v>236</v>
      </c>
      <c r="F67" s="35" t="s">
        <v>124</v>
      </c>
      <c r="G67" s="41" t="s">
        <v>237</v>
      </c>
      <c r="H67" s="35" t="s">
        <v>89</v>
      </c>
      <c r="I67" s="36" t="s">
        <v>238</v>
      </c>
      <c r="J67" s="35" t="s">
        <v>89</v>
      </c>
      <c r="K67" s="36" t="s">
        <v>239</v>
      </c>
      <c r="L67" s="27" t="s">
        <v>56</v>
      </c>
      <c r="M67" s="28" t="s">
        <v>240</v>
      </c>
      <c r="N67" s="35" t="s">
        <v>56</v>
      </c>
      <c r="O67" s="36" t="s">
        <v>241</v>
      </c>
      <c r="P67" s="210">
        <v>3</v>
      </c>
      <c r="Q67" s="42"/>
      <c r="R67" s="42"/>
      <c r="S67" s="24"/>
      <c r="T67" s="24"/>
      <c r="U67" s="24"/>
      <c r="V67" s="24"/>
      <c r="W67" s="24"/>
      <c r="X67" s="24"/>
      <c r="Y67" s="24"/>
      <c r="Z67" s="24"/>
    </row>
    <row r="68" spans="1:26" ht="12.75" x14ac:dyDescent="0.2">
      <c r="A68" s="211"/>
      <c r="B68" s="37">
        <v>70.37</v>
      </c>
      <c r="C68" s="40">
        <v>350</v>
      </c>
      <c r="D68" s="37">
        <v>234.29</v>
      </c>
      <c r="E68" s="40">
        <v>500</v>
      </c>
      <c r="F68" s="37">
        <v>114.03</v>
      </c>
      <c r="G68" s="40">
        <v>350</v>
      </c>
      <c r="H68" s="37">
        <v>180.92</v>
      </c>
      <c r="I68" s="38"/>
      <c r="J68" s="37">
        <v>160.16999999999999</v>
      </c>
      <c r="K68" s="38"/>
      <c r="L68" s="31">
        <v>155.97999999999999</v>
      </c>
      <c r="M68" s="32">
        <v>330.75</v>
      </c>
      <c r="N68" s="37">
        <v>138.55000000000001</v>
      </c>
      <c r="O68" s="38"/>
      <c r="P68" s="211"/>
      <c r="Q68" s="42"/>
      <c r="R68" s="42"/>
      <c r="S68" s="24"/>
      <c r="T68" s="24"/>
      <c r="U68" s="24"/>
      <c r="V68" s="24"/>
      <c r="W68" s="24"/>
      <c r="X68" s="24"/>
      <c r="Y68" s="24"/>
      <c r="Z68" s="24"/>
    </row>
    <row r="69" spans="1:26" ht="12.75" x14ac:dyDescent="0.2">
      <c r="A69" s="212"/>
      <c r="B69" s="202" t="s">
        <v>77</v>
      </c>
      <c r="C69" s="201"/>
      <c r="D69" s="202" t="s">
        <v>77</v>
      </c>
      <c r="E69" s="201"/>
      <c r="F69" s="202" t="s">
        <v>77</v>
      </c>
      <c r="G69" s="201"/>
      <c r="H69" s="202" t="s">
        <v>77</v>
      </c>
      <c r="I69" s="201"/>
      <c r="J69" s="202" t="s">
        <v>77</v>
      </c>
      <c r="K69" s="201"/>
      <c r="L69" s="214" t="s">
        <v>242</v>
      </c>
      <c r="M69" s="201"/>
      <c r="N69" s="202" t="s">
        <v>77</v>
      </c>
      <c r="O69" s="201"/>
      <c r="P69" s="212"/>
      <c r="Q69" s="42"/>
      <c r="R69" s="42"/>
      <c r="S69" s="24"/>
      <c r="T69" s="24"/>
      <c r="U69" s="24"/>
      <c r="V69" s="24"/>
      <c r="W69" s="24"/>
      <c r="X69" s="24"/>
      <c r="Y69" s="24"/>
      <c r="Z69" s="24"/>
    </row>
    <row r="70" spans="1:26" ht="12.75" x14ac:dyDescent="0.2">
      <c r="A70" s="210">
        <v>2</v>
      </c>
      <c r="B70" s="35" t="s">
        <v>67</v>
      </c>
      <c r="C70" s="36" t="s">
        <v>243</v>
      </c>
      <c r="D70" s="35" t="s">
        <v>58</v>
      </c>
      <c r="E70" s="41" t="s">
        <v>244</v>
      </c>
      <c r="F70" s="35" t="s">
        <v>124</v>
      </c>
      <c r="G70" s="36" t="s">
        <v>245</v>
      </c>
      <c r="H70" s="35" t="s">
        <v>56</v>
      </c>
      <c r="I70" s="36" t="s">
        <v>246</v>
      </c>
      <c r="J70" s="35" t="s">
        <v>56</v>
      </c>
      <c r="K70" s="36" t="s">
        <v>247</v>
      </c>
      <c r="L70" s="35" t="s">
        <v>89</v>
      </c>
      <c r="M70" s="36" t="s">
        <v>248</v>
      </c>
      <c r="N70" s="35" t="s">
        <v>56</v>
      </c>
      <c r="O70" s="41" t="s">
        <v>249</v>
      </c>
      <c r="P70" s="210">
        <v>2</v>
      </c>
      <c r="Q70" s="42"/>
      <c r="R70" s="42"/>
      <c r="S70" s="24"/>
      <c r="T70" s="24"/>
      <c r="U70" s="24"/>
      <c r="V70" s="24"/>
      <c r="W70" s="24"/>
      <c r="X70" s="24"/>
      <c r="Y70" s="24"/>
      <c r="Z70" s="24"/>
    </row>
    <row r="71" spans="1:26" ht="12.75" x14ac:dyDescent="0.2">
      <c r="A71" s="211"/>
      <c r="B71" s="37">
        <v>70.37</v>
      </c>
      <c r="C71" s="38"/>
      <c r="D71" s="37">
        <v>234.29</v>
      </c>
      <c r="E71" s="40">
        <v>490</v>
      </c>
      <c r="F71" s="37">
        <v>114.03</v>
      </c>
      <c r="G71" s="38"/>
      <c r="H71" s="37">
        <v>180.92</v>
      </c>
      <c r="I71" s="40">
        <v>255</v>
      </c>
      <c r="J71" s="37">
        <v>160.16999999999999</v>
      </c>
      <c r="K71" s="38"/>
      <c r="L71" s="37">
        <v>155.97999999999999</v>
      </c>
      <c r="M71" s="40">
        <v>304.5</v>
      </c>
      <c r="N71" s="37">
        <v>138.55000000000001</v>
      </c>
      <c r="O71" s="40">
        <v>231</v>
      </c>
      <c r="P71" s="211"/>
      <c r="Q71" s="42"/>
      <c r="R71" s="42"/>
      <c r="S71" s="24"/>
      <c r="T71" s="24"/>
      <c r="U71" s="24"/>
      <c r="V71" s="24"/>
      <c r="W71" s="24"/>
      <c r="X71" s="24"/>
      <c r="Y71" s="24"/>
      <c r="Z71" s="24"/>
    </row>
    <row r="72" spans="1:26" ht="12.75" x14ac:dyDescent="0.2">
      <c r="A72" s="212"/>
      <c r="B72" s="202" t="s">
        <v>77</v>
      </c>
      <c r="C72" s="201"/>
      <c r="D72" s="202" t="s">
        <v>77</v>
      </c>
      <c r="E72" s="201"/>
      <c r="F72" s="202" t="s">
        <v>77</v>
      </c>
      <c r="G72" s="201"/>
      <c r="H72" s="202" t="s">
        <v>77</v>
      </c>
      <c r="I72" s="201"/>
      <c r="J72" s="202" t="s">
        <v>77</v>
      </c>
      <c r="K72" s="201"/>
      <c r="L72" s="202" t="s">
        <v>77</v>
      </c>
      <c r="M72" s="201"/>
      <c r="N72" s="202" t="s">
        <v>77</v>
      </c>
      <c r="O72" s="201"/>
      <c r="P72" s="212"/>
      <c r="Q72" s="42"/>
      <c r="R72" s="42"/>
      <c r="S72" s="24"/>
      <c r="T72" s="24"/>
      <c r="U72" s="24"/>
      <c r="V72" s="24"/>
      <c r="W72" s="24"/>
      <c r="X72" s="24"/>
      <c r="Y72" s="24"/>
      <c r="Z72" s="24"/>
    </row>
    <row r="73" spans="1:26" ht="12.75" x14ac:dyDescent="0.2">
      <c r="A73" s="210">
        <v>1</v>
      </c>
      <c r="B73" s="27" t="s">
        <v>54</v>
      </c>
      <c r="C73" s="28" t="s">
        <v>250</v>
      </c>
      <c r="D73" s="35" t="s">
        <v>58</v>
      </c>
      <c r="E73" s="36" t="s">
        <v>251</v>
      </c>
      <c r="F73" s="27" t="s">
        <v>124</v>
      </c>
      <c r="G73" s="28" t="s">
        <v>252</v>
      </c>
      <c r="H73" s="35" t="s">
        <v>56</v>
      </c>
      <c r="I73" s="36" t="s">
        <v>253</v>
      </c>
      <c r="J73" s="27" t="s">
        <v>89</v>
      </c>
      <c r="K73" s="28" t="s">
        <v>254</v>
      </c>
      <c r="L73" s="29"/>
      <c r="M73" s="30"/>
      <c r="N73" s="27" t="s">
        <v>89</v>
      </c>
      <c r="O73" s="28" t="s">
        <v>255</v>
      </c>
      <c r="P73" s="210">
        <v>1</v>
      </c>
      <c r="Q73" s="42"/>
      <c r="R73" s="42"/>
      <c r="S73" s="24"/>
      <c r="T73" s="24"/>
      <c r="U73" s="24"/>
      <c r="V73" s="24"/>
      <c r="W73" s="24"/>
      <c r="X73" s="24"/>
      <c r="Y73" s="24"/>
      <c r="Z73" s="24"/>
    </row>
    <row r="74" spans="1:26" ht="12.75" x14ac:dyDescent="0.2">
      <c r="A74" s="211"/>
      <c r="B74" s="31">
        <v>69.37</v>
      </c>
      <c r="C74" s="32">
        <v>341.25</v>
      </c>
      <c r="D74" s="37">
        <v>281.93</v>
      </c>
      <c r="E74" s="40">
        <v>352.8</v>
      </c>
      <c r="F74" s="31">
        <v>136.19999999999999</v>
      </c>
      <c r="G74" s="32">
        <v>341.25</v>
      </c>
      <c r="H74" s="37">
        <v>207.89</v>
      </c>
      <c r="I74" s="40">
        <v>252</v>
      </c>
      <c r="J74" s="31">
        <v>193.8</v>
      </c>
      <c r="K74" s="32">
        <v>267.75</v>
      </c>
      <c r="L74" s="29"/>
      <c r="M74" s="30"/>
      <c r="N74" s="31">
        <v>169.07</v>
      </c>
      <c r="O74" s="32">
        <v>252</v>
      </c>
      <c r="P74" s="211"/>
      <c r="Q74" s="42"/>
      <c r="R74" s="42"/>
      <c r="S74" s="24"/>
      <c r="T74" s="24"/>
      <c r="U74" s="24"/>
      <c r="V74" s="24"/>
      <c r="W74" s="24"/>
      <c r="X74" s="24"/>
      <c r="Y74" s="24"/>
      <c r="Z74" s="24"/>
    </row>
    <row r="75" spans="1:26" ht="12.75" x14ac:dyDescent="0.2">
      <c r="A75" s="212"/>
      <c r="B75" s="214" t="s">
        <v>256</v>
      </c>
      <c r="C75" s="201"/>
      <c r="D75" s="202" t="s">
        <v>77</v>
      </c>
      <c r="E75" s="201"/>
      <c r="F75" s="214" t="s">
        <v>257</v>
      </c>
      <c r="G75" s="201"/>
      <c r="H75" s="202" t="s">
        <v>77</v>
      </c>
      <c r="I75" s="201"/>
      <c r="J75" s="214" t="s">
        <v>258</v>
      </c>
      <c r="K75" s="201"/>
      <c r="L75" s="34"/>
      <c r="M75" s="26"/>
      <c r="N75" s="214" t="s">
        <v>259</v>
      </c>
      <c r="O75" s="201"/>
      <c r="P75" s="212"/>
      <c r="Q75" s="42"/>
      <c r="R75" s="42"/>
      <c r="S75" s="24"/>
      <c r="T75" s="24"/>
      <c r="U75" s="24"/>
      <c r="V75" s="24"/>
      <c r="W75" s="24"/>
      <c r="X75" s="24"/>
      <c r="Y75" s="24"/>
      <c r="Z75" s="24"/>
    </row>
    <row r="76" spans="1:26" ht="12.75" x14ac:dyDescent="0.2">
      <c r="A76" s="42"/>
      <c r="B76" s="43">
        <v>7</v>
      </c>
      <c r="C76" s="42"/>
      <c r="D76" s="43">
        <v>6</v>
      </c>
      <c r="E76" s="42"/>
      <c r="F76" s="43">
        <v>6</v>
      </c>
      <c r="G76" s="42"/>
      <c r="H76" s="43">
        <v>7</v>
      </c>
      <c r="I76" s="42"/>
      <c r="J76" s="43">
        <v>6</v>
      </c>
      <c r="K76" s="42"/>
      <c r="L76" s="43">
        <v>5</v>
      </c>
      <c r="M76" s="42"/>
      <c r="N76" s="43">
        <v>6</v>
      </c>
      <c r="O76" s="42"/>
      <c r="P76" s="42"/>
      <c r="Q76" s="42"/>
      <c r="R76" s="42"/>
      <c r="S76" s="24"/>
      <c r="T76" s="24"/>
      <c r="U76" s="24"/>
      <c r="V76" s="24"/>
      <c r="W76" s="24"/>
      <c r="X76" s="24"/>
      <c r="Y76" s="24"/>
      <c r="Z76" s="24"/>
    </row>
    <row r="77" spans="1:26" ht="12.75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22">
    <mergeCell ref="A6:A8"/>
    <mergeCell ref="A9:A11"/>
    <mergeCell ref="B11:C11"/>
    <mergeCell ref="D11:E11"/>
    <mergeCell ref="F11:G11"/>
    <mergeCell ref="H11:I11"/>
    <mergeCell ref="J11:K11"/>
    <mergeCell ref="J29:J30"/>
    <mergeCell ref="K29:K30"/>
    <mergeCell ref="D8:E8"/>
    <mergeCell ref="F8:G8"/>
    <mergeCell ref="H23:I23"/>
    <mergeCell ref="J17:K17"/>
    <mergeCell ref="A12:A14"/>
    <mergeCell ref="L8:M8"/>
    <mergeCell ref="N8:O8"/>
    <mergeCell ref="B5:C5"/>
    <mergeCell ref="D5:G5"/>
    <mergeCell ref="J5:J6"/>
    <mergeCell ref="K5:K6"/>
    <mergeCell ref="J7:K8"/>
    <mergeCell ref="B8:C8"/>
    <mergeCell ref="H8:I8"/>
    <mergeCell ref="K3:K4"/>
    <mergeCell ref="P3:P4"/>
    <mergeCell ref="D4:E4"/>
    <mergeCell ref="F4:G4"/>
    <mergeCell ref="A1:R1"/>
    <mergeCell ref="B2:G2"/>
    <mergeCell ref="H2:Q2"/>
    <mergeCell ref="A3:A5"/>
    <mergeCell ref="D3:E3"/>
    <mergeCell ref="F3:G3"/>
    <mergeCell ref="J3:J4"/>
    <mergeCell ref="H5:I5"/>
    <mergeCell ref="L23:M23"/>
    <mergeCell ref="H20:I20"/>
    <mergeCell ref="J20:K20"/>
    <mergeCell ref="A21:A23"/>
    <mergeCell ref="R21:R23"/>
    <mergeCell ref="B23:C23"/>
    <mergeCell ref="D23:E23"/>
    <mergeCell ref="F23:G23"/>
    <mergeCell ref="L20:M20"/>
    <mergeCell ref="N20:O20"/>
    <mergeCell ref="L17:M17"/>
    <mergeCell ref="A18:A20"/>
    <mergeCell ref="R18:R20"/>
    <mergeCell ref="B20:C20"/>
    <mergeCell ref="D20:E20"/>
    <mergeCell ref="F20:G20"/>
    <mergeCell ref="P20:Q20"/>
    <mergeCell ref="N17:O17"/>
    <mergeCell ref="P17:Q17"/>
    <mergeCell ref="A15:A17"/>
    <mergeCell ref="R15:R17"/>
    <mergeCell ref="B17:C17"/>
    <mergeCell ref="D17:E17"/>
    <mergeCell ref="F17:G17"/>
    <mergeCell ref="H17:I17"/>
    <mergeCell ref="L11:M11"/>
    <mergeCell ref="N11:O11"/>
    <mergeCell ref="B14:C14"/>
    <mergeCell ref="D14:E14"/>
    <mergeCell ref="F14:G14"/>
    <mergeCell ref="H14:I14"/>
    <mergeCell ref="J14:K14"/>
    <mergeCell ref="L14:M14"/>
    <mergeCell ref="N14:O14"/>
    <mergeCell ref="R9:R11"/>
    <mergeCell ref="R12:R14"/>
    <mergeCell ref="Q3:Q4"/>
    <mergeCell ref="R3:R5"/>
    <mergeCell ref="P5:P6"/>
    <mergeCell ref="Q5:Q6"/>
    <mergeCell ref="R6:R8"/>
    <mergeCell ref="P7:Q8"/>
    <mergeCell ref="P11:Q11"/>
    <mergeCell ref="P14:Q14"/>
    <mergeCell ref="P61:P63"/>
    <mergeCell ref="J63:K63"/>
    <mergeCell ref="L63:M63"/>
    <mergeCell ref="N63:O63"/>
    <mergeCell ref="P64:P66"/>
    <mergeCell ref="N66:O66"/>
    <mergeCell ref="A70:A72"/>
    <mergeCell ref="A73:A75"/>
    <mergeCell ref="B66:C66"/>
    <mergeCell ref="D66:E66"/>
    <mergeCell ref="A67:A69"/>
    <mergeCell ref="B69:C69"/>
    <mergeCell ref="D69:E69"/>
    <mergeCell ref="F69:G69"/>
    <mergeCell ref="F72:G72"/>
    <mergeCell ref="J72:K72"/>
    <mergeCell ref="L72:M72"/>
    <mergeCell ref="J66:K66"/>
    <mergeCell ref="L66:M66"/>
    <mergeCell ref="P67:P69"/>
    <mergeCell ref="J69:K69"/>
    <mergeCell ref="L69:M69"/>
    <mergeCell ref="N69:O69"/>
    <mergeCell ref="P70:P72"/>
    <mergeCell ref="A61:A63"/>
    <mergeCell ref="B63:C63"/>
    <mergeCell ref="D63:E63"/>
    <mergeCell ref="F63:G63"/>
    <mergeCell ref="A64:A66"/>
    <mergeCell ref="F66:G66"/>
    <mergeCell ref="H63:I63"/>
    <mergeCell ref="H66:I66"/>
    <mergeCell ref="H69:I69"/>
    <mergeCell ref="A53:P53"/>
    <mergeCell ref="B54:G54"/>
    <mergeCell ref="H54:O54"/>
    <mergeCell ref="A55:A57"/>
    <mergeCell ref="E55:G55"/>
    <mergeCell ref="P55:P57"/>
    <mergeCell ref="E56:G56"/>
    <mergeCell ref="H57:I57"/>
    <mergeCell ref="J57:J58"/>
    <mergeCell ref="K57:K58"/>
    <mergeCell ref="A58:A60"/>
    <mergeCell ref="P58:P60"/>
    <mergeCell ref="J59:K60"/>
    <mergeCell ref="B60:C60"/>
    <mergeCell ref="N60:O60"/>
    <mergeCell ref="D60:E60"/>
    <mergeCell ref="F60:G60"/>
    <mergeCell ref="H60:I60"/>
    <mergeCell ref="L60:M60"/>
    <mergeCell ref="H75:I75"/>
    <mergeCell ref="J75:K75"/>
    <mergeCell ref="B72:C72"/>
    <mergeCell ref="D72:E72"/>
    <mergeCell ref="H72:I72"/>
    <mergeCell ref="P73:P75"/>
    <mergeCell ref="B75:C75"/>
    <mergeCell ref="D75:E75"/>
    <mergeCell ref="F75:G75"/>
    <mergeCell ref="N75:O75"/>
    <mergeCell ref="N72:O72"/>
    <mergeCell ref="B46:C46"/>
    <mergeCell ref="D46:E46"/>
    <mergeCell ref="F46:G46"/>
    <mergeCell ref="H46:I46"/>
    <mergeCell ref="J46:K46"/>
    <mergeCell ref="A44:A46"/>
    <mergeCell ref="A47:A49"/>
    <mergeCell ref="B47:C49"/>
    <mergeCell ref="D49:E49"/>
    <mergeCell ref="F49:G49"/>
    <mergeCell ref="H49:I49"/>
    <mergeCell ref="J49:K49"/>
    <mergeCell ref="N46:O46"/>
    <mergeCell ref="P46:Q46"/>
    <mergeCell ref="P47:Q49"/>
    <mergeCell ref="R47:R49"/>
    <mergeCell ref="L49:M49"/>
    <mergeCell ref="N49:O49"/>
    <mergeCell ref="L40:M40"/>
    <mergeCell ref="R41:R43"/>
    <mergeCell ref="L43:M43"/>
    <mergeCell ref="N43:O43"/>
    <mergeCell ref="P43:Q43"/>
    <mergeCell ref="R44:R46"/>
    <mergeCell ref="L46:M46"/>
    <mergeCell ref="N40:O40"/>
    <mergeCell ref="P40:Q40"/>
    <mergeCell ref="R38:R40"/>
    <mergeCell ref="F43:G43"/>
    <mergeCell ref="H43:I43"/>
    <mergeCell ref="A38:A40"/>
    <mergeCell ref="B40:C40"/>
    <mergeCell ref="D40:E40"/>
    <mergeCell ref="F40:G40"/>
    <mergeCell ref="H40:I40"/>
    <mergeCell ref="J40:K40"/>
    <mergeCell ref="A41:A43"/>
    <mergeCell ref="J43:K43"/>
    <mergeCell ref="B43:C43"/>
    <mergeCell ref="D43:E43"/>
    <mergeCell ref="P31:P32"/>
    <mergeCell ref="Q31:Q32"/>
    <mergeCell ref="R32:R34"/>
    <mergeCell ref="P33:Q34"/>
    <mergeCell ref="P37:Q37"/>
    <mergeCell ref="L29:M31"/>
    <mergeCell ref="N29:O31"/>
    <mergeCell ref="A35:A37"/>
    <mergeCell ref="B37:C37"/>
    <mergeCell ref="D37:E37"/>
    <mergeCell ref="F37:G37"/>
    <mergeCell ref="H37:I37"/>
    <mergeCell ref="J37:K37"/>
    <mergeCell ref="L37:M37"/>
    <mergeCell ref="N37:O37"/>
    <mergeCell ref="R35:R37"/>
    <mergeCell ref="J31:J32"/>
    <mergeCell ref="K31:K32"/>
    <mergeCell ref="J33:K34"/>
    <mergeCell ref="L34:M34"/>
    <mergeCell ref="N34:O34"/>
    <mergeCell ref="N23:O23"/>
    <mergeCell ref="P23:Q23"/>
    <mergeCell ref="A27:R27"/>
    <mergeCell ref="B28:G28"/>
    <mergeCell ref="H28:Q28"/>
    <mergeCell ref="F29:G31"/>
    <mergeCell ref="R29:R31"/>
    <mergeCell ref="H31:I31"/>
    <mergeCell ref="F34:G34"/>
    <mergeCell ref="H34:I34"/>
    <mergeCell ref="A29:A31"/>
    <mergeCell ref="B31:C31"/>
    <mergeCell ref="D31:D32"/>
    <mergeCell ref="E31:E32"/>
    <mergeCell ref="A32:A34"/>
    <mergeCell ref="D33:E34"/>
    <mergeCell ref="B34:C34"/>
    <mergeCell ref="P29:P30"/>
    <mergeCell ref="Q29:Q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73"/>
  <sheetViews>
    <sheetView tabSelected="1" workbookViewId="0">
      <pane ySplit="1" topLeftCell="A2" activePane="bottomLeft" state="frozen"/>
      <selection pane="bottomLeft" activeCell="C29" sqref="C29"/>
    </sheetView>
  </sheetViews>
  <sheetFormatPr defaultColWidth="12.5703125" defaultRowHeight="15.75" customHeight="1" x14ac:dyDescent="0.2"/>
  <cols>
    <col min="1" max="1" width="12.5703125" style="77"/>
    <col min="3" max="3" width="18.28515625" style="104" customWidth="1"/>
    <col min="4" max="4" width="22.5703125" customWidth="1"/>
    <col min="5" max="5" width="12.5703125" style="145"/>
    <col min="6" max="8" width="12.5703125" style="147"/>
    <col min="9" max="9" width="15.140625" style="147" customWidth="1"/>
    <col min="13" max="13" width="19.42578125" customWidth="1"/>
    <col min="14" max="14" width="28.7109375" customWidth="1"/>
  </cols>
  <sheetData>
    <row r="1" spans="1:16" s="70" customFormat="1" ht="63.75" customHeight="1" thickBot="1" x14ac:dyDescent="0.25">
      <c r="A1" s="95" t="s">
        <v>260</v>
      </c>
      <c r="B1" s="122" t="s">
        <v>261</v>
      </c>
      <c r="C1" s="156" t="s">
        <v>289</v>
      </c>
      <c r="D1" s="126" t="s">
        <v>262</v>
      </c>
      <c r="E1" s="106" t="s">
        <v>263</v>
      </c>
      <c r="F1" s="121" t="s">
        <v>266</v>
      </c>
      <c r="G1" s="121" t="s">
        <v>264</v>
      </c>
      <c r="H1" s="121" t="s">
        <v>315</v>
      </c>
      <c r="I1" s="121" t="s">
        <v>265</v>
      </c>
      <c r="J1" s="121" t="s">
        <v>16</v>
      </c>
    </row>
    <row r="2" spans="1:16" s="75" customFormat="1" ht="15.75" customHeight="1" x14ac:dyDescent="0.2">
      <c r="A2" s="104" t="s">
        <v>51</v>
      </c>
      <c r="B2" s="123">
        <v>7</v>
      </c>
      <c r="C2" s="104" t="s">
        <v>267</v>
      </c>
      <c r="D2" s="127">
        <v>1</v>
      </c>
      <c r="E2" s="89">
        <v>159.69</v>
      </c>
      <c r="F2" s="87">
        <v>700</v>
      </c>
      <c r="G2" s="88">
        <f>ROUND(F2* 1000/E2,0)</f>
        <v>4383</v>
      </c>
      <c r="H2" s="120">
        <f>102840360 / 1000000</f>
        <v>102.84036</v>
      </c>
      <c r="I2" s="88">
        <f>ROUND(H2 * 1000000/E2,0)</f>
        <v>644000</v>
      </c>
      <c r="J2" s="111">
        <v>1</v>
      </c>
      <c r="M2" s="233" t="s">
        <v>274</v>
      </c>
      <c r="N2" s="234"/>
    </row>
    <row r="3" spans="1:16" s="75" customFormat="1" ht="15.75" customHeight="1" x14ac:dyDescent="0.2">
      <c r="A3" s="104" t="s">
        <v>51</v>
      </c>
      <c r="B3" s="123">
        <v>7</v>
      </c>
      <c r="C3" s="104" t="s">
        <v>268</v>
      </c>
      <c r="D3" s="127">
        <v>3</v>
      </c>
      <c r="E3" s="89">
        <v>267.99</v>
      </c>
      <c r="F3" s="88">
        <v>700</v>
      </c>
      <c r="G3" s="88">
        <f t="shared" ref="G3:G36" si="0">ROUND(F3* 1000/E3,0)</f>
        <v>2612</v>
      </c>
      <c r="H3" s="120">
        <f>172585560 / 1000000</f>
        <v>172.58555999999999</v>
      </c>
      <c r="I3" s="88">
        <f t="shared" ref="I3:I36" si="1">ROUND(H3 * 1000000/E3,0)</f>
        <v>644000</v>
      </c>
      <c r="J3" s="111">
        <v>1</v>
      </c>
      <c r="M3" s="83" t="s">
        <v>272</v>
      </c>
      <c r="N3" s="84" t="s">
        <v>273</v>
      </c>
    </row>
    <row r="4" spans="1:16" s="75" customFormat="1" ht="15.75" customHeight="1" x14ac:dyDescent="0.2">
      <c r="A4" s="104" t="s">
        <v>51</v>
      </c>
      <c r="B4" s="123">
        <v>7</v>
      </c>
      <c r="C4" s="104" t="s">
        <v>269</v>
      </c>
      <c r="D4" s="127">
        <v>4</v>
      </c>
      <c r="E4" s="89">
        <v>174.86</v>
      </c>
      <c r="F4" s="120">
        <v>341.25</v>
      </c>
      <c r="G4" s="88">
        <f t="shared" si="0"/>
        <v>1952</v>
      </c>
      <c r="H4" s="120">
        <f>54897297 / 1000000</f>
        <v>54.897297000000002</v>
      </c>
      <c r="I4" s="88">
        <f t="shared" si="1"/>
        <v>313950</v>
      </c>
      <c r="J4" s="111">
        <v>1</v>
      </c>
      <c r="M4" s="79">
        <v>0</v>
      </c>
      <c r="N4" s="80" t="s">
        <v>35</v>
      </c>
    </row>
    <row r="5" spans="1:16" s="75" customFormat="1" ht="15.75" customHeight="1" x14ac:dyDescent="0.2">
      <c r="A5" s="104" t="s">
        <v>51</v>
      </c>
      <c r="B5" s="123">
        <v>7</v>
      </c>
      <c r="C5" s="104" t="s">
        <v>270</v>
      </c>
      <c r="D5" s="127">
        <v>6</v>
      </c>
      <c r="E5" s="89">
        <v>330.26</v>
      </c>
      <c r="F5" s="120">
        <v>397.45100000000002</v>
      </c>
      <c r="G5" s="88">
        <f t="shared" si="0"/>
        <v>1203</v>
      </c>
      <c r="H5" s="120">
        <f>120761194 / 1000000</f>
        <v>120.761194</v>
      </c>
      <c r="I5" s="88">
        <f t="shared" si="1"/>
        <v>365655</v>
      </c>
      <c r="J5" s="111">
        <v>1</v>
      </c>
      <c r="M5" s="79">
        <v>1</v>
      </c>
      <c r="N5" s="80" t="s">
        <v>275</v>
      </c>
      <c r="P5" s="75">
        <v>1000000</v>
      </c>
    </row>
    <row r="6" spans="1:16" s="75" customFormat="1" ht="15.75" customHeight="1" x14ac:dyDescent="0.2">
      <c r="A6" s="104" t="s">
        <v>51</v>
      </c>
      <c r="B6" s="123">
        <v>7</v>
      </c>
      <c r="C6" s="104" t="s">
        <v>271</v>
      </c>
      <c r="D6" s="127">
        <v>6</v>
      </c>
      <c r="E6" s="89">
        <v>338.61</v>
      </c>
      <c r="F6" s="120">
        <v>397.45100000000002</v>
      </c>
      <c r="G6" s="88">
        <f t="shared" si="0"/>
        <v>1174</v>
      </c>
      <c r="H6" s="120">
        <f>123814412 / 1000000</f>
        <v>123.814412</v>
      </c>
      <c r="I6" s="88">
        <f t="shared" si="1"/>
        <v>365655</v>
      </c>
      <c r="J6" s="111">
        <v>1</v>
      </c>
      <c r="M6" s="79">
        <v>2</v>
      </c>
      <c r="N6" s="80" t="s">
        <v>276</v>
      </c>
    </row>
    <row r="7" spans="1:16" s="75" customFormat="1" ht="15.75" customHeight="1" thickBot="1" x14ac:dyDescent="0.25">
      <c r="A7" s="104" t="s">
        <v>51</v>
      </c>
      <c r="B7" s="123">
        <v>6</v>
      </c>
      <c r="C7" s="157" t="s">
        <v>282</v>
      </c>
      <c r="D7" s="128">
        <v>0</v>
      </c>
      <c r="E7" s="90">
        <v>70.84</v>
      </c>
      <c r="F7" s="87">
        <v>0</v>
      </c>
      <c r="G7" s="88">
        <f t="shared" si="0"/>
        <v>0</v>
      </c>
      <c r="H7" s="87">
        <v>0</v>
      </c>
      <c r="I7" s="88">
        <f t="shared" si="1"/>
        <v>0</v>
      </c>
      <c r="J7" s="113">
        <v>0</v>
      </c>
      <c r="M7" s="81" t="s">
        <v>277</v>
      </c>
      <c r="N7" s="82" t="s">
        <v>278</v>
      </c>
    </row>
    <row r="8" spans="1:16" s="75" customFormat="1" ht="15.75" customHeight="1" thickBot="1" x14ac:dyDescent="0.25">
      <c r="A8" s="104" t="s">
        <v>51</v>
      </c>
      <c r="B8" s="123">
        <v>6</v>
      </c>
      <c r="C8" s="157" t="s">
        <v>283</v>
      </c>
      <c r="D8" s="129">
        <v>4</v>
      </c>
      <c r="E8" s="90">
        <v>217.87</v>
      </c>
      <c r="F8" s="88">
        <v>0</v>
      </c>
      <c r="G8" s="88">
        <f t="shared" si="0"/>
        <v>0</v>
      </c>
      <c r="H8" s="88">
        <v>0</v>
      </c>
      <c r="I8" s="88">
        <f t="shared" si="1"/>
        <v>0</v>
      </c>
      <c r="J8" s="114">
        <v>0</v>
      </c>
    </row>
    <row r="9" spans="1:16" s="75" customFormat="1" ht="15.75" customHeight="1" x14ac:dyDescent="0.2">
      <c r="A9" s="104" t="s">
        <v>51</v>
      </c>
      <c r="B9" s="123">
        <v>6</v>
      </c>
      <c r="C9" s="105" t="s">
        <v>284</v>
      </c>
      <c r="D9" s="128">
        <v>3</v>
      </c>
      <c r="E9" s="92">
        <v>110.6</v>
      </c>
      <c r="F9" s="120">
        <v>427.45</v>
      </c>
      <c r="G9" s="88">
        <f t="shared" si="0"/>
        <v>3865</v>
      </c>
      <c r="H9" s="120">
        <f>43493892 / 1000000</f>
        <v>43.493892000000002</v>
      </c>
      <c r="I9" s="88">
        <f t="shared" si="1"/>
        <v>393254</v>
      </c>
      <c r="J9" s="111">
        <v>1</v>
      </c>
      <c r="M9" s="233" t="s">
        <v>279</v>
      </c>
      <c r="N9" s="234"/>
    </row>
    <row r="10" spans="1:16" s="75" customFormat="1" ht="15.75" customHeight="1" x14ac:dyDescent="0.2">
      <c r="A10" s="104" t="s">
        <v>51</v>
      </c>
      <c r="B10" s="123">
        <v>6</v>
      </c>
      <c r="C10" s="105" t="s">
        <v>285</v>
      </c>
      <c r="D10" s="128">
        <v>4</v>
      </c>
      <c r="E10" s="89">
        <v>174.87</v>
      </c>
      <c r="F10" s="120">
        <v>330.75</v>
      </c>
      <c r="G10" s="88">
        <f t="shared" si="0"/>
        <v>1891</v>
      </c>
      <c r="H10" s="120">
        <f>53211192 / 1000000</f>
        <v>53.211191999999997</v>
      </c>
      <c r="I10" s="88">
        <f t="shared" si="1"/>
        <v>304290</v>
      </c>
      <c r="J10" s="111">
        <v>1</v>
      </c>
      <c r="M10" s="83" t="s">
        <v>16</v>
      </c>
      <c r="N10" s="84" t="s">
        <v>273</v>
      </c>
    </row>
    <row r="11" spans="1:16" s="75" customFormat="1" ht="15.75" customHeight="1" x14ac:dyDescent="0.2">
      <c r="A11" s="104" t="s">
        <v>51</v>
      </c>
      <c r="B11" s="123">
        <v>6</v>
      </c>
      <c r="C11" s="105" t="s">
        <v>286</v>
      </c>
      <c r="D11" s="128">
        <v>2</v>
      </c>
      <c r="E11" s="89">
        <v>112.04</v>
      </c>
      <c r="F11" s="120">
        <v>406.85</v>
      </c>
      <c r="G11" s="88">
        <f t="shared" si="0"/>
        <v>3631</v>
      </c>
      <c r="H11" s="120">
        <f>41936796 / 1000000</f>
        <v>41.936796000000001</v>
      </c>
      <c r="I11" s="88">
        <f t="shared" si="1"/>
        <v>374302</v>
      </c>
      <c r="J11" s="111">
        <v>1</v>
      </c>
      <c r="M11" s="108">
        <v>0</v>
      </c>
      <c r="N11" s="80" t="s">
        <v>77</v>
      </c>
    </row>
    <row r="12" spans="1:16" s="75" customFormat="1" ht="15.75" customHeight="1" x14ac:dyDescent="0.2">
      <c r="A12" s="104" t="s">
        <v>51</v>
      </c>
      <c r="B12" s="123">
        <v>6</v>
      </c>
      <c r="C12" s="105" t="s">
        <v>287</v>
      </c>
      <c r="D12" s="128">
        <v>2</v>
      </c>
      <c r="E12" s="89">
        <v>112.1</v>
      </c>
      <c r="F12" s="120">
        <v>406.85</v>
      </c>
      <c r="G12" s="88">
        <f t="shared" si="0"/>
        <v>3629</v>
      </c>
      <c r="H12" s="120">
        <f>41959254 / 1000000</f>
        <v>41.959254000000001</v>
      </c>
      <c r="I12" s="88">
        <f t="shared" si="1"/>
        <v>374302</v>
      </c>
      <c r="J12" s="111">
        <v>1</v>
      </c>
      <c r="M12" s="109">
        <v>1</v>
      </c>
      <c r="N12" s="80" t="s">
        <v>280</v>
      </c>
    </row>
    <row r="13" spans="1:16" ht="15.75" customHeight="1" thickBot="1" x14ac:dyDescent="0.25">
      <c r="A13" s="105" t="s">
        <v>51</v>
      </c>
      <c r="B13" s="124">
        <v>5</v>
      </c>
      <c r="C13" s="104" t="s">
        <v>314</v>
      </c>
      <c r="D13" s="130">
        <v>0</v>
      </c>
      <c r="E13" s="92">
        <v>71.03</v>
      </c>
      <c r="F13" s="102">
        <v>406.85</v>
      </c>
      <c r="G13" s="99">
        <f t="shared" si="0"/>
        <v>5728</v>
      </c>
      <c r="H13" s="102">
        <f>26586671 / 1000000</f>
        <v>26.586670999999999</v>
      </c>
      <c r="I13" s="99">
        <f t="shared" si="1"/>
        <v>374302</v>
      </c>
      <c r="J13" s="111">
        <v>1</v>
      </c>
      <c r="M13" s="110">
        <v>2</v>
      </c>
      <c r="N13" s="82" t="s">
        <v>281</v>
      </c>
    </row>
    <row r="14" spans="1:16" ht="15.75" customHeight="1" x14ac:dyDescent="0.2">
      <c r="A14" s="105" t="s">
        <v>51</v>
      </c>
      <c r="B14" s="125">
        <v>5</v>
      </c>
      <c r="C14" s="157" t="s">
        <v>297</v>
      </c>
      <c r="D14" s="131">
        <v>4</v>
      </c>
      <c r="E14" s="90">
        <v>232.97</v>
      </c>
      <c r="F14" s="99">
        <v>0</v>
      </c>
      <c r="G14" s="99">
        <f t="shared" si="0"/>
        <v>0</v>
      </c>
      <c r="H14" s="119">
        <v>0</v>
      </c>
      <c r="I14" s="99">
        <f t="shared" si="1"/>
        <v>0</v>
      </c>
      <c r="J14" s="115">
        <v>0</v>
      </c>
      <c r="M14" s="85"/>
      <c r="N14" s="85"/>
    </row>
    <row r="15" spans="1:16" ht="15.75" customHeight="1" x14ac:dyDescent="0.25">
      <c r="A15" s="105" t="s">
        <v>51</v>
      </c>
      <c r="B15" s="125">
        <v>5</v>
      </c>
      <c r="C15" s="105" t="s">
        <v>291</v>
      </c>
      <c r="D15" s="131">
        <v>3</v>
      </c>
      <c r="E15" s="92">
        <v>110.73</v>
      </c>
      <c r="F15" s="102">
        <v>406.85</v>
      </c>
      <c r="G15" s="99">
        <f t="shared" si="0"/>
        <v>3674</v>
      </c>
      <c r="H15" s="102">
        <f>41446460 / $P$5</f>
        <v>41.446460000000002</v>
      </c>
      <c r="I15" s="99">
        <f t="shared" si="1"/>
        <v>374302</v>
      </c>
      <c r="J15" s="112">
        <v>1</v>
      </c>
      <c r="K15" s="94"/>
    </row>
    <row r="16" spans="1:16" ht="15.75" customHeight="1" x14ac:dyDescent="0.2">
      <c r="A16" s="105" t="s">
        <v>51</v>
      </c>
      <c r="B16" s="125">
        <v>5</v>
      </c>
      <c r="C16" s="105" t="s">
        <v>292</v>
      </c>
      <c r="D16" s="131">
        <v>4</v>
      </c>
      <c r="E16" s="92">
        <v>174.86</v>
      </c>
      <c r="F16" s="102">
        <v>320.25</v>
      </c>
      <c r="G16" s="99">
        <f t="shared" si="0"/>
        <v>1831</v>
      </c>
      <c r="H16" s="102">
        <f>51519002 / P5</f>
        <v>51.519002</v>
      </c>
      <c r="I16" s="99">
        <f t="shared" si="1"/>
        <v>294630</v>
      </c>
      <c r="J16" s="112">
        <v>1</v>
      </c>
    </row>
    <row r="17" spans="1:10" ht="15.75" customHeight="1" x14ac:dyDescent="0.2">
      <c r="A17" s="105" t="s">
        <v>51</v>
      </c>
      <c r="B17" s="125">
        <v>5</v>
      </c>
      <c r="C17" s="157" t="s">
        <v>293</v>
      </c>
      <c r="D17" s="131">
        <v>3</v>
      </c>
      <c r="E17" s="90">
        <v>157.79</v>
      </c>
      <c r="F17" s="103">
        <v>381.1</v>
      </c>
      <c r="G17" s="99">
        <f t="shared" si="0"/>
        <v>2415</v>
      </c>
      <c r="H17" s="99">
        <v>0</v>
      </c>
      <c r="I17" s="99">
        <f t="shared" si="1"/>
        <v>0</v>
      </c>
      <c r="J17" s="115">
        <v>0</v>
      </c>
    </row>
    <row r="18" spans="1:10" ht="15.75" customHeight="1" x14ac:dyDescent="0.2">
      <c r="A18" s="105" t="s">
        <v>51</v>
      </c>
      <c r="B18" s="125">
        <v>5</v>
      </c>
      <c r="C18" s="105" t="s">
        <v>294</v>
      </c>
      <c r="D18" s="131">
        <v>2</v>
      </c>
      <c r="E18" s="92">
        <v>112.12</v>
      </c>
      <c r="F18" s="102">
        <v>381.1</v>
      </c>
      <c r="G18" s="99">
        <f t="shared" si="0"/>
        <v>3399</v>
      </c>
      <c r="H18" s="102">
        <f>39310617 / P5</f>
        <v>39.310617000000001</v>
      </c>
      <c r="I18" s="99">
        <f t="shared" si="1"/>
        <v>350612</v>
      </c>
      <c r="J18" s="112">
        <v>1</v>
      </c>
    </row>
    <row r="19" spans="1:10" ht="15.75" customHeight="1" x14ac:dyDescent="0.2">
      <c r="A19" s="105" t="s">
        <v>51</v>
      </c>
      <c r="B19" s="125">
        <v>5</v>
      </c>
      <c r="C19" s="105" t="s">
        <v>295</v>
      </c>
      <c r="D19" s="131">
        <v>2</v>
      </c>
      <c r="E19" s="92">
        <v>112.06</v>
      </c>
      <c r="F19" s="102">
        <v>381.1</v>
      </c>
      <c r="G19" s="99">
        <f t="shared" si="0"/>
        <v>3401</v>
      </c>
      <c r="H19" s="102">
        <f>39289581 /P5</f>
        <v>39.289580999999998</v>
      </c>
      <c r="I19" s="99">
        <f t="shared" si="1"/>
        <v>350612</v>
      </c>
      <c r="J19" s="112">
        <v>1</v>
      </c>
    </row>
    <row r="20" spans="1:10" ht="15.75" customHeight="1" x14ac:dyDescent="0.2">
      <c r="A20" s="105" t="s">
        <v>51</v>
      </c>
      <c r="B20" s="125">
        <v>5</v>
      </c>
      <c r="C20" s="105" t="s">
        <v>296</v>
      </c>
      <c r="D20" s="131">
        <v>3</v>
      </c>
      <c r="E20" s="92">
        <v>162.51</v>
      </c>
      <c r="F20" s="102">
        <v>381.1</v>
      </c>
      <c r="G20" s="99">
        <f t="shared" si="0"/>
        <v>2345</v>
      </c>
      <c r="H20" s="102">
        <f>56977956 / P5</f>
        <v>56.977955999999999</v>
      </c>
      <c r="I20" s="99">
        <f t="shared" si="1"/>
        <v>350612</v>
      </c>
      <c r="J20" s="112">
        <v>1</v>
      </c>
    </row>
    <row r="21" spans="1:10" ht="15.75" customHeight="1" x14ac:dyDescent="0.2">
      <c r="A21" s="105" t="s">
        <v>51</v>
      </c>
      <c r="B21" s="125">
        <v>4</v>
      </c>
      <c r="C21" s="157" t="s">
        <v>298</v>
      </c>
      <c r="D21" s="131">
        <v>0</v>
      </c>
      <c r="E21" s="90">
        <v>71.03</v>
      </c>
      <c r="F21" s="103">
        <v>381.1</v>
      </c>
      <c r="G21" s="99">
        <f t="shared" si="0"/>
        <v>5365</v>
      </c>
      <c r="H21" s="99">
        <v>0</v>
      </c>
      <c r="I21" s="99">
        <f t="shared" si="1"/>
        <v>0</v>
      </c>
      <c r="J21" s="115">
        <v>0</v>
      </c>
    </row>
    <row r="22" spans="1:10" ht="15.75" customHeight="1" x14ac:dyDescent="0.2">
      <c r="A22" s="105" t="s">
        <v>51</v>
      </c>
      <c r="B22" s="125">
        <v>4</v>
      </c>
      <c r="C22" s="157" t="s">
        <v>299</v>
      </c>
      <c r="D22" s="131">
        <v>4</v>
      </c>
      <c r="E22" s="90">
        <v>232.97</v>
      </c>
      <c r="F22" s="99">
        <v>0</v>
      </c>
      <c r="G22" s="99">
        <f t="shared" si="0"/>
        <v>0</v>
      </c>
      <c r="H22" s="99">
        <v>0</v>
      </c>
      <c r="I22" s="99">
        <f t="shared" si="1"/>
        <v>0</v>
      </c>
      <c r="J22" s="115">
        <v>0</v>
      </c>
    </row>
    <row r="23" spans="1:10" ht="15.75" customHeight="1" x14ac:dyDescent="0.2">
      <c r="A23" s="105" t="s">
        <v>51</v>
      </c>
      <c r="B23" s="125">
        <v>4</v>
      </c>
      <c r="C23" s="157" t="s">
        <v>300</v>
      </c>
      <c r="D23" s="131">
        <v>3</v>
      </c>
      <c r="E23" s="90">
        <v>110.73</v>
      </c>
      <c r="F23" s="103">
        <v>381.1</v>
      </c>
      <c r="G23" s="99">
        <f t="shared" si="0"/>
        <v>3442</v>
      </c>
      <c r="H23" s="99">
        <v>0</v>
      </c>
      <c r="I23" s="99">
        <f t="shared" si="1"/>
        <v>0</v>
      </c>
      <c r="J23" s="115">
        <v>0</v>
      </c>
    </row>
    <row r="24" spans="1:10" ht="15.75" customHeight="1" x14ac:dyDescent="0.2">
      <c r="A24" s="105" t="s">
        <v>51</v>
      </c>
      <c r="B24" s="125">
        <v>4</v>
      </c>
      <c r="C24" s="158" t="s">
        <v>301</v>
      </c>
      <c r="D24" s="131">
        <v>4</v>
      </c>
      <c r="E24" s="90">
        <v>174.86</v>
      </c>
      <c r="F24" s="103">
        <v>264.60000000000002</v>
      </c>
      <c r="G24" s="99">
        <f t="shared" si="0"/>
        <v>1513</v>
      </c>
      <c r="H24" s="99">
        <v>0</v>
      </c>
      <c r="I24" s="99">
        <f t="shared" si="1"/>
        <v>0</v>
      </c>
      <c r="J24" s="115">
        <v>0</v>
      </c>
    </row>
    <row r="25" spans="1:10" ht="15.75" customHeight="1" x14ac:dyDescent="0.2">
      <c r="A25" s="105" t="s">
        <v>51</v>
      </c>
      <c r="B25" s="125">
        <v>4</v>
      </c>
      <c r="C25" s="157" t="s">
        <v>302</v>
      </c>
      <c r="D25" s="131">
        <v>3</v>
      </c>
      <c r="E25" s="90">
        <v>157.79</v>
      </c>
      <c r="F25" s="103">
        <v>362.25</v>
      </c>
      <c r="G25" s="99">
        <f t="shared" si="0"/>
        <v>2296</v>
      </c>
      <c r="H25" s="99">
        <v>0</v>
      </c>
      <c r="I25" s="99">
        <f t="shared" si="1"/>
        <v>0</v>
      </c>
      <c r="J25" s="115">
        <v>0</v>
      </c>
    </row>
    <row r="26" spans="1:10" ht="15.75" customHeight="1" x14ac:dyDescent="0.2">
      <c r="A26" s="105" t="s">
        <v>51</v>
      </c>
      <c r="B26" s="125">
        <v>4</v>
      </c>
      <c r="C26" s="157" t="s">
        <v>303</v>
      </c>
      <c r="D26" s="131">
        <v>2</v>
      </c>
      <c r="E26" s="90">
        <v>112.12</v>
      </c>
      <c r="F26" s="103">
        <v>362.25</v>
      </c>
      <c r="G26" s="99">
        <f t="shared" si="0"/>
        <v>3231</v>
      </c>
      <c r="H26" s="99">
        <v>0</v>
      </c>
      <c r="I26" s="99">
        <f t="shared" si="1"/>
        <v>0</v>
      </c>
      <c r="J26" s="115">
        <v>0</v>
      </c>
    </row>
    <row r="27" spans="1:10" ht="15.75" customHeight="1" x14ac:dyDescent="0.2">
      <c r="A27" s="105" t="s">
        <v>51</v>
      </c>
      <c r="B27" s="125">
        <v>4</v>
      </c>
      <c r="C27" s="157" t="s">
        <v>304</v>
      </c>
      <c r="D27" s="131">
        <v>2</v>
      </c>
      <c r="E27" s="90">
        <v>112.06</v>
      </c>
      <c r="F27" s="99">
        <v>0</v>
      </c>
      <c r="G27" s="99">
        <f t="shared" si="0"/>
        <v>0</v>
      </c>
      <c r="H27" s="99">
        <v>0</v>
      </c>
      <c r="I27" s="99">
        <f t="shared" si="1"/>
        <v>0</v>
      </c>
      <c r="J27" s="115">
        <v>0</v>
      </c>
    </row>
    <row r="28" spans="1:10" ht="15.75" customHeight="1" x14ac:dyDescent="0.2">
      <c r="A28" s="105" t="s">
        <v>51</v>
      </c>
      <c r="B28" s="125">
        <v>4</v>
      </c>
      <c r="C28" s="157" t="s">
        <v>305</v>
      </c>
      <c r="D28" s="131">
        <v>3</v>
      </c>
      <c r="E28" s="90">
        <v>162.51</v>
      </c>
      <c r="F28" s="99">
        <v>0</v>
      </c>
      <c r="G28" s="99">
        <f t="shared" si="0"/>
        <v>0</v>
      </c>
      <c r="H28" s="99">
        <v>0</v>
      </c>
      <c r="I28" s="99">
        <f t="shared" si="1"/>
        <v>0</v>
      </c>
      <c r="J28" s="115">
        <v>0</v>
      </c>
    </row>
    <row r="29" spans="1:10" ht="15.75" customHeight="1" x14ac:dyDescent="0.2">
      <c r="A29" s="105" t="s">
        <v>51</v>
      </c>
      <c r="B29" s="125">
        <v>3</v>
      </c>
      <c r="C29" s="157" t="s">
        <v>306</v>
      </c>
      <c r="D29" s="131">
        <v>0</v>
      </c>
      <c r="E29" s="90">
        <v>71.02</v>
      </c>
      <c r="F29" s="103">
        <v>367.5</v>
      </c>
      <c r="G29" s="99">
        <f t="shared" si="0"/>
        <v>5175</v>
      </c>
      <c r="H29" s="99">
        <v>0</v>
      </c>
      <c r="I29" s="99">
        <f t="shared" si="1"/>
        <v>0</v>
      </c>
      <c r="J29" s="115">
        <v>0</v>
      </c>
    </row>
    <row r="30" spans="1:10" ht="15.75" customHeight="1" x14ac:dyDescent="0.2">
      <c r="A30" s="105" t="s">
        <v>51</v>
      </c>
      <c r="B30" s="125">
        <v>3</v>
      </c>
      <c r="C30" s="157" t="s">
        <v>307</v>
      </c>
      <c r="D30" s="131">
        <v>4</v>
      </c>
      <c r="E30" s="90">
        <v>232.68</v>
      </c>
      <c r="F30" s="99">
        <v>0</v>
      </c>
      <c r="G30" s="99">
        <f t="shared" si="0"/>
        <v>0</v>
      </c>
      <c r="H30" s="99">
        <v>0</v>
      </c>
      <c r="I30" s="99">
        <f t="shared" si="1"/>
        <v>0</v>
      </c>
      <c r="J30" s="115">
        <v>0</v>
      </c>
    </row>
    <row r="31" spans="1:10" ht="15.75" customHeight="1" x14ac:dyDescent="0.2">
      <c r="A31" s="105" t="s">
        <v>51</v>
      </c>
      <c r="B31" s="125">
        <v>3</v>
      </c>
      <c r="C31" s="157" t="s">
        <v>308</v>
      </c>
      <c r="D31" s="131">
        <v>3</v>
      </c>
      <c r="E31" s="90">
        <v>110.72</v>
      </c>
      <c r="F31" s="99">
        <v>0</v>
      </c>
      <c r="G31" s="99">
        <f t="shared" si="0"/>
        <v>0</v>
      </c>
      <c r="H31" s="99">
        <v>0</v>
      </c>
      <c r="I31" s="99">
        <f t="shared" si="1"/>
        <v>0</v>
      </c>
      <c r="J31" s="115">
        <v>0</v>
      </c>
    </row>
    <row r="32" spans="1:10" ht="15.75" customHeight="1" x14ac:dyDescent="0.2">
      <c r="A32" s="105" t="s">
        <v>51</v>
      </c>
      <c r="B32" s="125">
        <v>3</v>
      </c>
      <c r="C32" s="157" t="s">
        <v>309</v>
      </c>
      <c r="D32" s="131">
        <v>4</v>
      </c>
      <c r="E32" s="90">
        <v>163.22</v>
      </c>
      <c r="F32" s="99">
        <v>0</v>
      </c>
      <c r="G32" s="99">
        <f t="shared" si="0"/>
        <v>0</v>
      </c>
      <c r="H32" s="99">
        <v>0</v>
      </c>
      <c r="I32" s="99">
        <f t="shared" si="1"/>
        <v>0</v>
      </c>
      <c r="J32" s="115">
        <v>0</v>
      </c>
    </row>
    <row r="33" spans="1:10" ht="15.75" customHeight="1" x14ac:dyDescent="0.2">
      <c r="A33" s="105" t="s">
        <v>51</v>
      </c>
      <c r="B33" s="125">
        <v>3</v>
      </c>
      <c r="C33" s="157" t="s">
        <v>310</v>
      </c>
      <c r="D33" s="131">
        <v>3</v>
      </c>
      <c r="E33" s="90">
        <v>157.80000000000001</v>
      </c>
      <c r="F33" s="103">
        <v>341.25</v>
      </c>
      <c r="G33" s="99">
        <f t="shared" si="0"/>
        <v>2163</v>
      </c>
      <c r="H33" s="99">
        <v>0</v>
      </c>
      <c r="I33" s="99">
        <f t="shared" si="1"/>
        <v>0</v>
      </c>
      <c r="J33" s="115">
        <v>0</v>
      </c>
    </row>
    <row r="34" spans="1:10" ht="15.75" customHeight="1" x14ac:dyDescent="0.2">
      <c r="A34" s="105" t="s">
        <v>51</v>
      </c>
      <c r="B34" s="125">
        <v>3</v>
      </c>
      <c r="C34" s="157" t="s">
        <v>311</v>
      </c>
      <c r="D34" s="131">
        <v>2</v>
      </c>
      <c r="E34" s="90">
        <v>112.07</v>
      </c>
      <c r="F34" s="99">
        <v>0</v>
      </c>
      <c r="G34" s="99">
        <f t="shared" si="0"/>
        <v>0</v>
      </c>
      <c r="H34" s="99">
        <v>0</v>
      </c>
      <c r="I34" s="99">
        <f t="shared" si="1"/>
        <v>0</v>
      </c>
      <c r="J34" s="115">
        <v>0</v>
      </c>
    </row>
    <row r="35" spans="1:10" ht="15.75" customHeight="1" x14ac:dyDescent="0.2">
      <c r="A35" s="105" t="s">
        <v>51</v>
      </c>
      <c r="B35" s="125">
        <v>3</v>
      </c>
      <c r="C35" s="157" t="s">
        <v>312</v>
      </c>
      <c r="D35" s="131">
        <v>2</v>
      </c>
      <c r="E35" s="90">
        <v>112.06</v>
      </c>
      <c r="F35" s="99">
        <v>0</v>
      </c>
      <c r="G35" s="99">
        <f t="shared" si="0"/>
        <v>0</v>
      </c>
      <c r="H35" s="99">
        <v>0</v>
      </c>
      <c r="I35" s="99">
        <f t="shared" si="1"/>
        <v>0</v>
      </c>
      <c r="J35" s="115">
        <v>0</v>
      </c>
    </row>
    <row r="36" spans="1:10" ht="15.75" customHeight="1" x14ac:dyDescent="0.2">
      <c r="A36" s="105" t="s">
        <v>51</v>
      </c>
      <c r="B36" s="125">
        <v>3</v>
      </c>
      <c r="C36" s="157" t="s">
        <v>313</v>
      </c>
      <c r="D36" s="131">
        <v>3</v>
      </c>
      <c r="E36" s="90">
        <v>162.5</v>
      </c>
      <c r="F36" s="99">
        <v>0</v>
      </c>
      <c r="G36" s="99">
        <f t="shared" si="0"/>
        <v>0</v>
      </c>
      <c r="H36" s="99">
        <v>0</v>
      </c>
      <c r="I36" s="99">
        <f t="shared" si="1"/>
        <v>0</v>
      </c>
      <c r="J36" s="115">
        <v>0</v>
      </c>
    </row>
    <row r="37" spans="1:10" ht="15.75" customHeight="1" x14ac:dyDescent="0.2">
      <c r="A37" s="105" t="s">
        <v>51</v>
      </c>
      <c r="B37" s="98">
        <v>2</v>
      </c>
      <c r="C37" s="157" t="s">
        <v>306</v>
      </c>
      <c r="D37" s="131">
        <v>0</v>
      </c>
      <c r="E37" s="90">
        <v>71.02</v>
      </c>
      <c r="F37" s="103">
        <v>367.5</v>
      </c>
      <c r="G37" s="99">
        <f t="shared" ref="G37:G42" si="2">ROUND(F37* 1000/E37,0)</f>
        <v>5175</v>
      </c>
      <c r="H37" s="99">
        <v>0</v>
      </c>
      <c r="I37" s="99">
        <f t="shared" ref="I37:I42" si="3">ROUND(H37 * 1000000/E37,0)</f>
        <v>0</v>
      </c>
      <c r="J37" s="115">
        <v>0</v>
      </c>
    </row>
    <row r="38" spans="1:10" ht="15.75" customHeight="1" x14ac:dyDescent="0.2">
      <c r="A38" s="105" t="s">
        <v>51</v>
      </c>
      <c r="B38" s="98">
        <v>2</v>
      </c>
      <c r="C38" s="157" t="s">
        <v>307</v>
      </c>
      <c r="D38" s="131">
        <v>4</v>
      </c>
      <c r="E38" s="90">
        <v>232.68</v>
      </c>
      <c r="F38" s="99">
        <v>0</v>
      </c>
      <c r="G38" s="99">
        <f t="shared" si="2"/>
        <v>0</v>
      </c>
      <c r="H38" s="99">
        <v>0</v>
      </c>
      <c r="I38" s="99">
        <f t="shared" si="3"/>
        <v>0</v>
      </c>
      <c r="J38" s="115">
        <v>0</v>
      </c>
    </row>
    <row r="39" spans="1:10" ht="15.75" customHeight="1" x14ac:dyDescent="0.2">
      <c r="A39" s="105" t="s">
        <v>51</v>
      </c>
      <c r="B39" s="98">
        <v>2</v>
      </c>
      <c r="C39" s="157" t="s">
        <v>308</v>
      </c>
      <c r="D39" s="131">
        <v>3</v>
      </c>
      <c r="E39" s="90">
        <v>110.72</v>
      </c>
      <c r="F39" s="99">
        <v>0</v>
      </c>
      <c r="G39" s="99">
        <f t="shared" si="2"/>
        <v>0</v>
      </c>
      <c r="H39" s="99">
        <v>0</v>
      </c>
      <c r="I39" s="99">
        <f t="shared" si="3"/>
        <v>0</v>
      </c>
      <c r="J39" s="115">
        <v>0</v>
      </c>
    </row>
    <row r="40" spans="1:10" ht="15.75" customHeight="1" x14ac:dyDescent="0.2">
      <c r="A40" s="105" t="s">
        <v>51</v>
      </c>
      <c r="B40" s="98">
        <v>2</v>
      </c>
      <c r="C40" s="157" t="s">
        <v>309</v>
      </c>
      <c r="D40" s="132">
        <v>4</v>
      </c>
      <c r="E40" s="142">
        <v>163.22</v>
      </c>
      <c r="F40" s="118">
        <v>0</v>
      </c>
      <c r="G40" s="118">
        <f t="shared" si="2"/>
        <v>0</v>
      </c>
      <c r="H40" s="118">
        <v>0</v>
      </c>
      <c r="I40" s="118">
        <f t="shared" si="3"/>
        <v>0</v>
      </c>
      <c r="J40" s="115">
        <v>0</v>
      </c>
    </row>
    <row r="41" spans="1:10" ht="15.75" customHeight="1" x14ac:dyDescent="0.2">
      <c r="A41" s="105" t="s">
        <v>51</v>
      </c>
      <c r="B41" s="125">
        <v>2</v>
      </c>
      <c r="C41" s="157" t="s">
        <v>310</v>
      </c>
      <c r="D41" s="131">
        <v>3</v>
      </c>
      <c r="E41" s="90">
        <v>157.80000000000001</v>
      </c>
      <c r="F41" s="103">
        <v>341.25</v>
      </c>
      <c r="G41" s="99">
        <f t="shared" si="2"/>
        <v>2163</v>
      </c>
      <c r="H41" s="99">
        <v>0</v>
      </c>
      <c r="I41" s="99">
        <f t="shared" si="3"/>
        <v>0</v>
      </c>
      <c r="J41" s="115">
        <v>0</v>
      </c>
    </row>
    <row r="42" spans="1:10" ht="15.75" customHeight="1" x14ac:dyDescent="0.2">
      <c r="A42" s="105" t="s">
        <v>51</v>
      </c>
      <c r="B42" s="125">
        <v>2</v>
      </c>
      <c r="C42" s="158" t="s">
        <v>316</v>
      </c>
      <c r="D42" s="130">
        <v>2</v>
      </c>
      <c r="E42" s="92">
        <v>112.06</v>
      </c>
      <c r="F42" s="102">
        <v>315</v>
      </c>
      <c r="G42" s="99">
        <f t="shared" si="2"/>
        <v>2811</v>
      </c>
      <c r="H42" s="102">
        <f>32474988/P5</f>
        <v>32.474988000000003</v>
      </c>
      <c r="I42" s="99">
        <f t="shared" si="3"/>
        <v>289800</v>
      </c>
      <c r="J42" s="115">
        <v>0</v>
      </c>
    </row>
    <row r="43" spans="1:10" ht="15.75" customHeight="1" x14ac:dyDescent="0.2">
      <c r="A43" s="105" t="s">
        <v>51</v>
      </c>
      <c r="B43" s="125">
        <v>2</v>
      </c>
      <c r="C43" s="105" t="s">
        <v>317</v>
      </c>
      <c r="D43" s="131">
        <v>2</v>
      </c>
      <c r="E43" s="90">
        <v>112.06</v>
      </c>
      <c r="F43" s="99">
        <v>0</v>
      </c>
      <c r="G43" s="99">
        <f t="shared" ref="G43:G106" si="4">ROUND(F43* 1000/E43,0)</f>
        <v>0</v>
      </c>
      <c r="H43" s="99">
        <v>0</v>
      </c>
      <c r="I43" s="99">
        <f t="shared" ref="I43:I106" si="5">ROUND(H43 * 1000000/E43,0)</f>
        <v>0</v>
      </c>
      <c r="J43" s="115">
        <v>0</v>
      </c>
    </row>
    <row r="44" spans="1:10" ht="15.75" customHeight="1" x14ac:dyDescent="0.2">
      <c r="A44" s="105" t="s">
        <v>51</v>
      </c>
      <c r="B44" s="125">
        <v>2</v>
      </c>
      <c r="C44" s="157" t="s">
        <v>318</v>
      </c>
      <c r="D44" s="131">
        <v>3</v>
      </c>
      <c r="E44" s="90">
        <v>162.5</v>
      </c>
      <c r="F44" s="99">
        <v>0</v>
      </c>
      <c r="G44" s="99">
        <f t="shared" si="4"/>
        <v>0</v>
      </c>
      <c r="H44" s="99">
        <v>0</v>
      </c>
      <c r="I44" s="99">
        <f t="shared" si="5"/>
        <v>0</v>
      </c>
      <c r="J44" s="115">
        <v>0</v>
      </c>
    </row>
    <row r="45" spans="1:10" ht="15.75" customHeight="1" x14ac:dyDescent="0.2">
      <c r="A45" s="105" t="s">
        <v>51</v>
      </c>
      <c r="B45" s="125">
        <v>1</v>
      </c>
      <c r="C45" s="158" t="s">
        <v>319</v>
      </c>
      <c r="D45" s="131">
        <v>0</v>
      </c>
      <c r="E45" s="90">
        <v>69.819999999999993</v>
      </c>
      <c r="F45" s="103">
        <v>308.7</v>
      </c>
      <c r="G45" s="99">
        <f t="shared" si="4"/>
        <v>4421</v>
      </c>
      <c r="H45" s="99">
        <v>0</v>
      </c>
      <c r="I45" s="99">
        <f t="shared" si="5"/>
        <v>0</v>
      </c>
      <c r="J45" s="116">
        <v>0</v>
      </c>
    </row>
    <row r="46" spans="1:10" ht="15.75" customHeight="1" x14ac:dyDescent="0.2">
      <c r="A46" s="105" t="s">
        <v>51</v>
      </c>
      <c r="B46" s="125">
        <v>1</v>
      </c>
      <c r="C46" s="158" t="s">
        <v>320</v>
      </c>
      <c r="D46" s="131">
        <v>4</v>
      </c>
      <c r="E46" s="90">
        <v>229.69</v>
      </c>
      <c r="F46" s="103">
        <v>385.875</v>
      </c>
      <c r="G46" s="99">
        <f t="shared" si="4"/>
        <v>1680</v>
      </c>
      <c r="H46" s="99">
        <v>0</v>
      </c>
      <c r="I46" s="99">
        <f t="shared" si="5"/>
        <v>0</v>
      </c>
      <c r="J46" s="116">
        <v>0</v>
      </c>
    </row>
    <row r="47" spans="1:10" ht="15.75" customHeight="1" x14ac:dyDescent="0.2">
      <c r="A47" s="105" t="s">
        <v>51</v>
      </c>
      <c r="B47" s="125">
        <v>1</v>
      </c>
      <c r="C47" s="158" t="s">
        <v>321</v>
      </c>
      <c r="D47" s="131">
        <v>2</v>
      </c>
      <c r="E47" s="90">
        <v>107.71</v>
      </c>
      <c r="F47" s="103">
        <v>308.7</v>
      </c>
      <c r="G47" s="99">
        <f t="shared" si="4"/>
        <v>2866</v>
      </c>
      <c r="H47" s="99">
        <v>0</v>
      </c>
      <c r="I47" s="99">
        <f t="shared" si="5"/>
        <v>0</v>
      </c>
      <c r="J47" s="116">
        <v>0</v>
      </c>
    </row>
    <row r="48" spans="1:10" ht="15.75" customHeight="1" x14ac:dyDescent="0.2">
      <c r="A48" s="105" t="s">
        <v>51</v>
      </c>
      <c r="B48" s="125">
        <v>1</v>
      </c>
      <c r="C48" s="157" t="s">
        <v>322</v>
      </c>
      <c r="D48" s="131">
        <v>4</v>
      </c>
      <c r="E48" s="90">
        <v>167.06</v>
      </c>
      <c r="F48" s="99">
        <v>0</v>
      </c>
      <c r="G48" s="99">
        <f t="shared" si="4"/>
        <v>0</v>
      </c>
      <c r="H48" s="99">
        <v>0</v>
      </c>
      <c r="I48" s="99">
        <f t="shared" si="5"/>
        <v>0</v>
      </c>
      <c r="J48" s="116">
        <v>0</v>
      </c>
    </row>
    <row r="49" spans="1:10" ht="15.75" customHeight="1" x14ac:dyDescent="0.2">
      <c r="A49" s="105" t="s">
        <v>51</v>
      </c>
      <c r="B49" s="125">
        <v>1</v>
      </c>
      <c r="C49" s="157" t="s">
        <v>323</v>
      </c>
      <c r="D49" s="131">
        <v>2</v>
      </c>
      <c r="E49" s="90">
        <v>141.44</v>
      </c>
      <c r="F49" s="103">
        <v>309.75</v>
      </c>
      <c r="G49" s="99">
        <f t="shared" si="4"/>
        <v>2190</v>
      </c>
      <c r="H49" s="99">
        <v>0</v>
      </c>
      <c r="I49" s="99">
        <f t="shared" si="5"/>
        <v>0</v>
      </c>
      <c r="J49" s="116">
        <v>0</v>
      </c>
    </row>
    <row r="50" spans="1:10" ht="15.75" customHeight="1" x14ac:dyDescent="0.2">
      <c r="A50" s="105" t="s">
        <v>51</v>
      </c>
      <c r="B50" s="125">
        <v>1</v>
      </c>
      <c r="C50" s="157" t="s">
        <v>324</v>
      </c>
      <c r="D50" s="131">
        <v>2</v>
      </c>
      <c r="E50" s="90">
        <v>111.16</v>
      </c>
      <c r="F50" s="99">
        <v>0</v>
      </c>
      <c r="G50" s="99">
        <f t="shared" si="4"/>
        <v>0</v>
      </c>
      <c r="H50" s="99">
        <v>0</v>
      </c>
      <c r="I50" s="99">
        <f t="shared" si="5"/>
        <v>0</v>
      </c>
      <c r="J50" s="116">
        <v>0</v>
      </c>
    </row>
    <row r="51" spans="1:10" ht="15.75" customHeight="1" x14ac:dyDescent="0.2">
      <c r="A51" s="105" t="s">
        <v>51</v>
      </c>
      <c r="B51" s="125">
        <v>1</v>
      </c>
      <c r="C51" s="157" t="s">
        <v>325</v>
      </c>
      <c r="D51" s="131">
        <v>1</v>
      </c>
      <c r="E51" s="90">
        <v>86.1</v>
      </c>
      <c r="F51" s="103">
        <v>264.60000000000002</v>
      </c>
      <c r="G51" s="99">
        <f t="shared" si="4"/>
        <v>3073</v>
      </c>
      <c r="H51" s="99">
        <v>0</v>
      </c>
      <c r="I51" s="99">
        <f t="shared" si="5"/>
        <v>0</v>
      </c>
      <c r="J51" s="116">
        <v>0</v>
      </c>
    </row>
    <row r="52" spans="1:10" ht="15.75" customHeight="1" x14ac:dyDescent="0.2">
      <c r="A52" s="105" t="s">
        <v>130</v>
      </c>
      <c r="B52" s="98">
        <v>7</v>
      </c>
      <c r="C52" s="105" t="s">
        <v>326</v>
      </c>
      <c r="D52" s="98">
        <v>2</v>
      </c>
      <c r="E52" s="92">
        <v>107.73</v>
      </c>
      <c r="F52" s="102">
        <v>450</v>
      </c>
      <c r="G52" s="99">
        <f t="shared" si="4"/>
        <v>4177</v>
      </c>
      <c r="H52" s="102">
        <f>44600220 / P5</f>
        <v>44.60022</v>
      </c>
      <c r="I52" s="99">
        <f t="shared" si="5"/>
        <v>414000</v>
      </c>
      <c r="J52" s="137">
        <v>1</v>
      </c>
    </row>
    <row r="53" spans="1:10" ht="15.75" customHeight="1" x14ac:dyDescent="0.2">
      <c r="A53" s="105" t="s">
        <v>130</v>
      </c>
      <c r="B53" s="98">
        <v>7</v>
      </c>
      <c r="C53" s="157" t="s">
        <v>327</v>
      </c>
      <c r="D53" s="98">
        <v>10</v>
      </c>
      <c r="E53" s="90">
        <v>400</v>
      </c>
      <c r="F53" s="99">
        <v>0</v>
      </c>
      <c r="G53" s="99">
        <f t="shared" si="4"/>
        <v>0</v>
      </c>
      <c r="H53" s="99">
        <v>0</v>
      </c>
      <c r="I53" s="99">
        <f t="shared" si="5"/>
        <v>0</v>
      </c>
      <c r="J53" s="116">
        <v>0</v>
      </c>
    </row>
    <row r="54" spans="1:10" ht="15.75" customHeight="1" x14ac:dyDescent="0.2">
      <c r="A54" s="105" t="s">
        <v>130</v>
      </c>
      <c r="B54" s="98">
        <v>7</v>
      </c>
      <c r="C54" s="105" t="s">
        <v>328</v>
      </c>
      <c r="D54" s="98">
        <v>4</v>
      </c>
      <c r="E54" s="92">
        <v>174.83</v>
      </c>
      <c r="F54" s="102">
        <v>336</v>
      </c>
      <c r="G54" s="99">
        <f t="shared" si="4"/>
        <v>1922</v>
      </c>
      <c r="H54" s="102">
        <f>54043450 /P5</f>
        <v>54.04345</v>
      </c>
      <c r="I54" s="99">
        <f t="shared" si="5"/>
        <v>309120</v>
      </c>
      <c r="J54" s="136">
        <v>1</v>
      </c>
    </row>
    <row r="55" spans="1:10" ht="15.75" customHeight="1" x14ac:dyDescent="0.2">
      <c r="A55" s="105" t="s">
        <v>130</v>
      </c>
      <c r="B55" s="98">
        <v>7</v>
      </c>
      <c r="C55" s="157" t="s">
        <v>329</v>
      </c>
      <c r="D55" s="98">
        <v>6</v>
      </c>
      <c r="E55" s="90">
        <v>330.17</v>
      </c>
      <c r="F55" s="99">
        <v>0</v>
      </c>
      <c r="G55" s="99">
        <f t="shared" si="4"/>
        <v>0</v>
      </c>
      <c r="H55" s="99">
        <v>0</v>
      </c>
      <c r="I55" s="99">
        <f t="shared" si="5"/>
        <v>0</v>
      </c>
      <c r="J55" s="133">
        <v>0</v>
      </c>
    </row>
    <row r="56" spans="1:10" ht="15.75" customHeight="1" x14ac:dyDescent="0.2">
      <c r="A56" s="105" t="s">
        <v>130</v>
      </c>
      <c r="B56" s="98">
        <v>7</v>
      </c>
      <c r="C56" s="157" t="s">
        <v>330</v>
      </c>
      <c r="D56" s="98">
        <v>6</v>
      </c>
      <c r="E56" s="90">
        <v>330.27</v>
      </c>
      <c r="F56" s="99">
        <v>0</v>
      </c>
      <c r="G56" s="99">
        <f t="shared" si="4"/>
        <v>0</v>
      </c>
      <c r="H56" s="99">
        <v>0</v>
      </c>
      <c r="I56" s="99">
        <f t="shared" si="5"/>
        <v>0</v>
      </c>
      <c r="J56" s="133">
        <v>0</v>
      </c>
    </row>
    <row r="57" spans="1:10" ht="15.75" customHeight="1" x14ac:dyDescent="0.2">
      <c r="A57" s="105" t="s">
        <v>130</v>
      </c>
      <c r="B57" s="98">
        <v>6</v>
      </c>
      <c r="C57" s="157" t="s">
        <v>331</v>
      </c>
      <c r="D57" s="98">
        <v>2</v>
      </c>
      <c r="E57" s="90">
        <v>110.43</v>
      </c>
      <c r="F57" s="99">
        <v>0</v>
      </c>
      <c r="G57" s="99">
        <f t="shared" si="4"/>
        <v>0</v>
      </c>
      <c r="H57" s="99">
        <v>0</v>
      </c>
      <c r="I57" s="99">
        <f t="shared" si="5"/>
        <v>0</v>
      </c>
      <c r="J57" s="134">
        <v>0</v>
      </c>
    </row>
    <row r="58" spans="1:10" ht="15.75" customHeight="1" x14ac:dyDescent="0.2">
      <c r="A58" s="105" t="s">
        <v>130</v>
      </c>
      <c r="B58" s="98">
        <v>6</v>
      </c>
      <c r="C58" s="157" t="s">
        <v>332</v>
      </c>
      <c r="D58" s="98">
        <v>0</v>
      </c>
      <c r="E58" s="90">
        <v>70.8</v>
      </c>
      <c r="F58" s="99">
        <v>0</v>
      </c>
      <c r="G58" s="99">
        <f t="shared" si="4"/>
        <v>0</v>
      </c>
      <c r="H58" s="99">
        <v>0</v>
      </c>
      <c r="I58" s="99">
        <f t="shared" si="5"/>
        <v>0</v>
      </c>
      <c r="J58" s="134">
        <v>0</v>
      </c>
    </row>
    <row r="59" spans="1:10" ht="15.75" customHeight="1" x14ac:dyDescent="0.2">
      <c r="A59" s="105" t="s">
        <v>130</v>
      </c>
      <c r="B59" s="98">
        <v>6</v>
      </c>
      <c r="C59" s="105" t="s">
        <v>333</v>
      </c>
      <c r="D59" s="98">
        <v>4</v>
      </c>
      <c r="E59" s="92">
        <v>174.87</v>
      </c>
      <c r="F59" s="102">
        <v>325.5</v>
      </c>
      <c r="G59" s="99">
        <f t="shared" si="4"/>
        <v>1861</v>
      </c>
      <c r="H59" s="102">
        <f>52366570 / $P$5</f>
        <v>52.366570000000003</v>
      </c>
      <c r="I59" s="99">
        <f t="shared" si="5"/>
        <v>299460</v>
      </c>
      <c r="J59" s="139">
        <v>1</v>
      </c>
    </row>
    <row r="60" spans="1:10" ht="15.75" customHeight="1" x14ac:dyDescent="0.2">
      <c r="A60" s="105" t="s">
        <v>130</v>
      </c>
      <c r="B60" s="98">
        <v>6</v>
      </c>
      <c r="C60" s="157" t="s">
        <v>334</v>
      </c>
      <c r="D60" s="98">
        <v>2</v>
      </c>
      <c r="E60" s="90">
        <v>111.92</v>
      </c>
      <c r="F60" s="99">
        <v>0</v>
      </c>
      <c r="G60" s="99">
        <f t="shared" si="4"/>
        <v>0</v>
      </c>
      <c r="H60" s="99">
        <v>0</v>
      </c>
      <c r="I60" s="99">
        <f t="shared" si="5"/>
        <v>0</v>
      </c>
      <c r="J60" s="134">
        <v>0</v>
      </c>
    </row>
    <row r="61" spans="1:10" ht="15.75" customHeight="1" x14ac:dyDescent="0.2">
      <c r="A61" s="105" t="s">
        <v>130</v>
      </c>
      <c r="B61" s="98">
        <v>6</v>
      </c>
      <c r="C61" s="159" t="s">
        <v>335</v>
      </c>
      <c r="D61" s="98">
        <v>2</v>
      </c>
      <c r="E61" s="143">
        <v>112.09</v>
      </c>
      <c r="F61" s="146">
        <v>406.85</v>
      </c>
      <c r="G61" s="99">
        <f t="shared" si="4"/>
        <v>3630</v>
      </c>
      <c r="H61" s="146">
        <f>40131359 / P5</f>
        <v>40.131359000000003</v>
      </c>
      <c r="I61" s="99">
        <f t="shared" si="5"/>
        <v>358028</v>
      </c>
      <c r="J61" s="135">
        <v>2</v>
      </c>
    </row>
    <row r="62" spans="1:10" ht="15.75" customHeight="1" x14ac:dyDescent="0.2">
      <c r="A62" s="105" t="s">
        <v>130</v>
      </c>
      <c r="B62" s="98">
        <v>5</v>
      </c>
      <c r="C62" s="157" t="s">
        <v>336</v>
      </c>
      <c r="D62" s="98">
        <v>2</v>
      </c>
      <c r="E62" s="90">
        <v>110.75</v>
      </c>
      <c r="F62" s="99">
        <v>0</v>
      </c>
      <c r="G62" s="99">
        <f t="shared" si="4"/>
        <v>0</v>
      </c>
      <c r="H62" s="99">
        <v>0</v>
      </c>
      <c r="I62" s="99">
        <f t="shared" si="5"/>
        <v>0</v>
      </c>
      <c r="J62" s="134">
        <v>0</v>
      </c>
    </row>
    <row r="63" spans="1:10" ht="15.75" customHeight="1" x14ac:dyDescent="0.2">
      <c r="A63" s="105" t="s">
        <v>130</v>
      </c>
      <c r="B63" s="98">
        <v>5</v>
      </c>
      <c r="C63" s="157" t="s">
        <v>337</v>
      </c>
      <c r="D63" s="98">
        <v>4</v>
      </c>
      <c r="E63" s="90">
        <v>232.87</v>
      </c>
      <c r="F63" s="99">
        <v>0</v>
      </c>
      <c r="G63" s="99">
        <f t="shared" si="4"/>
        <v>0</v>
      </c>
      <c r="H63" s="99">
        <v>0</v>
      </c>
      <c r="I63" s="99">
        <f t="shared" si="5"/>
        <v>0</v>
      </c>
      <c r="J63" s="134">
        <v>0</v>
      </c>
    </row>
    <row r="64" spans="1:10" ht="15.75" customHeight="1" x14ac:dyDescent="0.2">
      <c r="A64" s="105" t="s">
        <v>130</v>
      </c>
      <c r="B64" s="98">
        <v>5</v>
      </c>
      <c r="C64" s="157" t="s">
        <v>338</v>
      </c>
      <c r="D64" s="98">
        <v>0</v>
      </c>
      <c r="E64" s="90">
        <v>71.06</v>
      </c>
      <c r="F64" s="99">
        <v>0</v>
      </c>
      <c r="G64" s="99">
        <f t="shared" si="4"/>
        <v>0</v>
      </c>
      <c r="H64" s="99">
        <v>0</v>
      </c>
      <c r="I64" s="99">
        <f t="shared" si="5"/>
        <v>0</v>
      </c>
      <c r="J64" s="134">
        <v>0</v>
      </c>
    </row>
    <row r="65" spans="1:10" ht="15.75" customHeight="1" x14ac:dyDescent="0.2">
      <c r="A65" s="105" t="s">
        <v>130</v>
      </c>
      <c r="B65" s="98">
        <v>5</v>
      </c>
      <c r="C65" s="105" t="s">
        <v>339</v>
      </c>
      <c r="D65" s="98">
        <v>4</v>
      </c>
      <c r="E65" s="92">
        <v>174.91</v>
      </c>
      <c r="F65" s="102">
        <v>315</v>
      </c>
      <c r="G65" s="99">
        <f t="shared" si="4"/>
        <v>1801</v>
      </c>
      <c r="H65" s="99">
        <f>52366570 / P5</f>
        <v>52.366570000000003</v>
      </c>
      <c r="I65" s="99">
        <f t="shared" si="5"/>
        <v>299392</v>
      </c>
      <c r="J65" s="149">
        <v>1</v>
      </c>
    </row>
    <row r="66" spans="1:10" ht="15.75" customHeight="1" x14ac:dyDescent="0.2">
      <c r="A66" s="105" t="s">
        <v>130</v>
      </c>
      <c r="B66" s="98">
        <v>5</v>
      </c>
      <c r="C66" s="157" t="s">
        <v>340</v>
      </c>
      <c r="D66" s="98">
        <v>3</v>
      </c>
      <c r="E66" s="90">
        <v>157.76</v>
      </c>
      <c r="F66" s="102">
        <v>381.1</v>
      </c>
      <c r="G66" s="99">
        <f t="shared" si="4"/>
        <v>2416</v>
      </c>
      <c r="H66" s="99">
        <v>0</v>
      </c>
      <c r="I66" s="99">
        <f t="shared" si="5"/>
        <v>0</v>
      </c>
      <c r="J66" s="134">
        <v>0</v>
      </c>
    </row>
    <row r="67" spans="1:10" ht="15.75" customHeight="1" x14ac:dyDescent="0.2">
      <c r="A67" s="105" t="s">
        <v>130</v>
      </c>
      <c r="B67" s="98">
        <v>5</v>
      </c>
      <c r="C67" s="105" t="s">
        <v>341</v>
      </c>
      <c r="D67" s="98">
        <v>2</v>
      </c>
      <c r="E67" s="92">
        <v>112.08</v>
      </c>
      <c r="F67" s="102">
        <v>381.1</v>
      </c>
      <c r="G67" s="99">
        <f t="shared" si="4"/>
        <v>3400</v>
      </c>
      <c r="H67" s="99">
        <v>0</v>
      </c>
      <c r="I67" s="99">
        <f t="shared" si="5"/>
        <v>0</v>
      </c>
      <c r="J67" s="134">
        <v>0</v>
      </c>
    </row>
    <row r="68" spans="1:10" ht="15.75" customHeight="1" x14ac:dyDescent="0.2">
      <c r="A68" s="105" t="s">
        <v>130</v>
      </c>
      <c r="B68" s="98">
        <v>5</v>
      </c>
      <c r="C68" s="159" t="s">
        <v>342</v>
      </c>
      <c r="D68" s="98">
        <v>2</v>
      </c>
      <c r="E68" s="143">
        <v>112.11</v>
      </c>
      <c r="F68" s="146">
        <v>381.1</v>
      </c>
      <c r="G68" s="99">
        <f t="shared" si="4"/>
        <v>3399</v>
      </c>
      <c r="H68" s="99">
        <f>40131359 / P5</f>
        <v>40.131359000000003</v>
      </c>
      <c r="I68" s="99">
        <f t="shared" si="5"/>
        <v>357964</v>
      </c>
      <c r="J68" s="150">
        <v>2</v>
      </c>
    </row>
    <row r="69" spans="1:10" ht="15.75" customHeight="1" x14ac:dyDescent="0.2">
      <c r="A69" s="105" t="s">
        <v>130</v>
      </c>
      <c r="B69" s="98">
        <v>5</v>
      </c>
      <c r="C69" s="105" t="s">
        <v>343</v>
      </c>
      <c r="D69" s="98">
        <v>3</v>
      </c>
      <c r="E69" s="92">
        <v>157.88</v>
      </c>
      <c r="F69" s="102">
        <v>381.1</v>
      </c>
      <c r="G69" s="99">
        <f t="shared" si="4"/>
        <v>2414</v>
      </c>
      <c r="H69" s="99">
        <v>0</v>
      </c>
      <c r="I69" s="99">
        <f t="shared" si="5"/>
        <v>0</v>
      </c>
      <c r="J69" s="134">
        <v>0</v>
      </c>
    </row>
    <row r="70" spans="1:10" ht="15.75" customHeight="1" x14ac:dyDescent="0.2">
      <c r="A70" s="105" t="s">
        <v>130</v>
      </c>
      <c r="B70" s="98">
        <v>4</v>
      </c>
      <c r="C70" s="157" t="s">
        <v>344</v>
      </c>
      <c r="D70" s="98">
        <v>2</v>
      </c>
      <c r="E70" s="90">
        <v>110.73</v>
      </c>
      <c r="F70" s="99">
        <v>0</v>
      </c>
      <c r="G70" s="99">
        <f t="shared" si="4"/>
        <v>0</v>
      </c>
      <c r="H70" s="99">
        <v>0</v>
      </c>
      <c r="I70" s="99">
        <f t="shared" si="5"/>
        <v>0</v>
      </c>
      <c r="J70" s="134">
        <v>0</v>
      </c>
    </row>
    <row r="71" spans="1:10" ht="15.75" customHeight="1" x14ac:dyDescent="0.2">
      <c r="A71" s="105" t="s">
        <v>130</v>
      </c>
      <c r="B71" s="98">
        <v>4</v>
      </c>
      <c r="C71" s="157" t="s">
        <v>345</v>
      </c>
      <c r="D71" s="98">
        <v>4</v>
      </c>
      <c r="E71" s="90">
        <v>232.87</v>
      </c>
      <c r="F71" s="99">
        <v>0</v>
      </c>
      <c r="G71" s="99">
        <f t="shared" si="4"/>
        <v>0</v>
      </c>
      <c r="H71" s="99">
        <v>0</v>
      </c>
      <c r="I71" s="99">
        <f t="shared" si="5"/>
        <v>0</v>
      </c>
      <c r="J71" s="134">
        <v>0</v>
      </c>
    </row>
    <row r="72" spans="1:10" ht="15.75" customHeight="1" x14ac:dyDescent="0.2">
      <c r="A72" s="105" t="s">
        <v>130</v>
      </c>
      <c r="B72" s="98">
        <v>4</v>
      </c>
      <c r="C72" s="157" t="s">
        <v>346</v>
      </c>
      <c r="D72" s="98">
        <v>0</v>
      </c>
      <c r="E72" s="90">
        <v>71.06</v>
      </c>
      <c r="F72" s="99">
        <v>0</v>
      </c>
      <c r="G72" s="99">
        <f t="shared" si="4"/>
        <v>0</v>
      </c>
      <c r="H72" s="99">
        <v>0</v>
      </c>
      <c r="I72" s="99">
        <f t="shared" si="5"/>
        <v>0</v>
      </c>
      <c r="J72" s="134">
        <v>0</v>
      </c>
    </row>
    <row r="73" spans="1:10" ht="15.75" customHeight="1" x14ac:dyDescent="0.2">
      <c r="A73" s="105" t="s">
        <v>130</v>
      </c>
      <c r="B73" s="98">
        <v>4</v>
      </c>
      <c r="C73" s="157" t="s">
        <v>347</v>
      </c>
      <c r="D73" s="98">
        <v>4</v>
      </c>
      <c r="E73" s="92">
        <v>174.91</v>
      </c>
      <c r="F73" s="103">
        <v>294</v>
      </c>
      <c r="G73" s="99">
        <f t="shared" si="4"/>
        <v>1681</v>
      </c>
      <c r="H73" s="99">
        <v>0</v>
      </c>
      <c r="I73" s="99">
        <f t="shared" si="5"/>
        <v>0</v>
      </c>
      <c r="J73" s="134">
        <v>0</v>
      </c>
    </row>
    <row r="74" spans="1:10" ht="15.75" customHeight="1" x14ac:dyDescent="0.2">
      <c r="A74" s="105" t="s">
        <v>130</v>
      </c>
      <c r="B74" s="98">
        <v>4</v>
      </c>
      <c r="C74" s="157" t="s">
        <v>348</v>
      </c>
      <c r="D74" s="98">
        <v>3</v>
      </c>
      <c r="E74" s="90">
        <v>157.76</v>
      </c>
      <c r="F74" s="103">
        <v>362.25</v>
      </c>
      <c r="G74" s="99">
        <f t="shared" si="4"/>
        <v>2296</v>
      </c>
      <c r="H74" s="99">
        <v>0</v>
      </c>
      <c r="I74" s="99">
        <f t="shared" si="5"/>
        <v>0</v>
      </c>
      <c r="J74" s="134">
        <v>0</v>
      </c>
    </row>
    <row r="75" spans="1:10" ht="15.75" customHeight="1" x14ac:dyDescent="0.2">
      <c r="A75" s="105" t="s">
        <v>130</v>
      </c>
      <c r="B75" s="98">
        <v>4</v>
      </c>
      <c r="C75" s="157" t="s">
        <v>349</v>
      </c>
      <c r="D75" s="98">
        <v>2</v>
      </c>
      <c r="E75" s="92">
        <v>112.08</v>
      </c>
      <c r="F75" s="103">
        <v>362.25</v>
      </c>
      <c r="G75" s="99">
        <f t="shared" si="4"/>
        <v>3232</v>
      </c>
      <c r="H75" s="99">
        <v>0</v>
      </c>
      <c r="I75" s="99">
        <f t="shared" si="5"/>
        <v>0</v>
      </c>
      <c r="J75" s="134">
        <v>0</v>
      </c>
    </row>
    <row r="76" spans="1:10" ht="15.75" customHeight="1" x14ac:dyDescent="0.2">
      <c r="A76" s="105" t="s">
        <v>130</v>
      </c>
      <c r="B76" s="98">
        <v>4</v>
      </c>
      <c r="C76" s="159" t="s">
        <v>350</v>
      </c>
      <c r="D76" s="98">
        <v>2</v>
      </c>
      <c r="E76" s="143">
        <v>112.11</v>
      </c>
      <c r="F76" s="146">
        <v>362.25</v>
      </c>
      <c r="G76" s="99">
        <f t="shared" si="4"/>
        <v>3231</v>
      </c>
      <c r="H76" s="99">
        <f>35738426 / P5</f>
        <v>35.738425999999997</v>
      </c>
      <c r="I76" s="99">
        <f t="shared" si="5"/>
        <v>318780</v>
      </c>
      <c r="J76" s="150">
        <v>2</v>
      </c>
    </row>
    <row r="77" spans="1:10" ht="15.75" customHeight="1" x14ac:dyDescent="0.2">
      <c r="A77" s="105" t="s">
        <v>130</v>
      </c>
      <c r="B77" s="98">
        <v>4</v>
      </c>
      <c r="C77" s="105" t="s">
        <v>351</v>
      </c>
      <c r="D77" s="98">
        <v>3</v>
      </c>
      <c r="E77" s="92">
        <v>157.88</v>
      </c>
      <c r="F77" s="146">
        <v>362.25</v>
      </c>
      <c r="G77" s="99">
        <f t="shared" si="4"/>
        <v>2294</v>
      </c>
      <c r="H77" s="99">
        <f>52616668 / P5</f>
        <v>52.616667999999997</v>
      </c>
      <c r="I77" s="99">
        <f t="shared" si="5"/>
        <v>333270</v>
      </c>
      <c r="J77" s="149">
        <v>1</v>
      </c>
    </row>
    <row r="78" spans="1:10" ht="15.75" customHeight="1" x14ac:dyDescent="0.2">
      <c r="A78" s="140" t="s">
        <v>130</v>
      </c>
      <c r="B78" s="93">
        <v>3</v>
      </c>
      <c r="C78" s="140" t="s">
        <v>352</v>
      </c>
      <c r="D78" s="93">
        <v>2</v>
      </c>
      <c r="E78" s="144">
        <v>110.73</v>
      </c>
      <c r="F78" s="91">
        <v>0</v>
      </c>
      <c r="G78" s="91">
        <f t="shared" si="4"/>
        <v>0</v>
      </c>
      <c r="H78" s="91">
        <v>0</v>
      </c>
      <c r="I78" s="91">
        <f t="shared" si="5"/>
        <v>0</v>
      </c>
      <c r="J78" s="134">
        <v>0</v>
      </c>
    </row>
    <row r="79" spans="1:10" ht="15.75" customHeight="1" x14ac:dyDescent="0.2">
      <c r="A79" s="140" t="s">
        <v>130</v>
      </c>
      <c r="B79" s="93">
        <v>3</v>
      </c>
      <c r="C79" s="140" t="s">
        <v>353</v>
      </c>
      <c r="D79" s="93">
        <v>4</v>
      </c>
      <c r="E79" s="144">
        <v>232.87</v>
      </c>
      <c r="F79" s="91">
        <v>0</v>
      </c>
      <c r="G79" s="91">
        <f t="shared" si="4"/>
        <v>0</v>
      </c>
      <c r="H79" s="91">
        <v>0</v>
      </c>
      <c r="I79" s="91">
        <f t="shared" si="5"/>
        <v>0</v>
      </c>
      <c r="J79" s="134">
        <v>0</v>
      </c>
    </row>
    <row r="80" spans="1:10" ht="15.75" customHeight="1" x14ac:dyDescent="0.2">
      <c r="A80" s="140" t="s">
        <v>130</v>
      </c>
      <c r="B80" s="93">
        <v>3</v>
      </c>
      <c r="C80" s="140" t="s">
        <v>354</v>
      </c>
      <c r="D80" s="93">
        <v>0</v>
      </c>
      <c r="E80" s="144">
        <v>71.06</v>
      </c>
      <c r="F80" s="91">
        <v>0</v>
      </c>
      <c r="G80" s="91">
        <f t="shared" si="4"/>
        <v>0</v>
      </c>
      <c r="H80" s="91">
        <v>0</v>
      </c>
      <c r="I80" s="91">
        <f t="shared" si="5"/>
        <v>0</v>
      </c>
      <c r="J80" s="134">
        <v>0</v>
      </c>
    </row>
    <row r="81" spans="1:10" ht="15.75" customHeight="1" x14ac:dyDescent="0.2">
      <c r="A81" s="140" t="s">
        <v>130</v>
      </c>
      <c r="B81" s="93">
        <v>3</v>
      </c>
      <c r="C81" s="140" t="s">
        <v>355</v>
      </c>
      <c r="D81" s="93">
        <v>4</v>
      </c>
      <c r="E81" s="144">
        <v>174.91</v>
      </c>
      <c r="F81" s="91">
        <v>0</v>
      </c>
      <c r="G81" s="91">
        <f t="shared" si="4"/>
        <v>0</v>
      </c>
      <c r="H81" s="91">
        <v>0</v>
      </c>
      <c r="I81" s="91">
        <f t="shared" si="5"/>
        <v>0</v>
      </c>
      <c r="J81" s="134">
        <v>0</v>
      </c>
    </row>
    <row r="82" spans="1:10" ht="15.75" customHeight="1" x14ac:dyDescent="0.2">
      <c r="A82" s="140" t="s">
        <v>130</v>
      </c>
      <c r="B82" s="93">
        <v>3</v>
      </c>
      <c r="C82" s="140" t="s">
        <v>356</v>
      </c>
      <c r="D82" s="93">
        <v>3</v>
      </c>
      <c r="E82" s="144">
        <v>157.76</v>
      </c>
      <c r="F82" s="91">
        <v>0</v>
      </c>
      <c r="G82" s="91">
        <f t="shared" si="4"/>
        <v>0</v>
      </c>
      <c r="H82" s="91">
        <v>0</v>
      </c>
      <c r="I82" s="91">
        <f t="shared" si="5"/>
        <v>0</v>
      </c>
      <c r="J82" s="134">
        <v>0</v>
      </c>
    </row>
    <row r="83" spans="1:10" ht="15.75" customHeight="1" x14ac:dyDescent="0.2">
      <c r="A83" s="140" t="s">
        <v>130</v>
      </c>
      <c r="B83" s="93">
        <v>3</v>
      </c>
      <c r="C83" s="140" t="s">
        <v>357</v>
      </c>
      <c r="D83" s="93">
        <v>2</v>
      </c>
      <c r="E83" s="144">
        <v>112.08</v>
      </c>
      <c r="F83" s="91">
        <v>0</v>
      </c>
      <c r="G83" s="91">
        <f t="shared" si="4"/>
        <v>0</v>
      </c>
      <c r="H83" s="91">
        <v>0</v>
      </c>
      <c r="I83" s="91">
        <f t="shared" si="5"/>
        <v>0</v>
      </c>
      <c r="J83" s="134">
        <v>0</v>
      </c>
    </row>
    <row r="84" spans="1:10" ht="15.75" customHeight="1" x14ac:dyDescent="0.2">
      <c r="A84" s="105" t="s">
        <v>130</v>
      </c>
      <c r="B84" s="98">
        <v>3</v>
      </c>
      <c r="C84" s="105" t="s">
        <v>358</v>
      </c>
      <c r="D84" s="98">
        <v>2</v>
      </c>
      <c r="E84" s="92">
        <v>112.11</v>
      </c>
      <c r="F84" s="146">
        <v>341.25</v>
      </c>
      <c r="G84" s="99">
        <f t="shared" si="4"/>
        <v>3044</v>
      </c>
      <c r="H84" s="99">
        <f>33669636 / 100000</f>
        <v>336.69636000000003</v>
      </c>
      <c r="I84" s="99">
        <f t="shared" si="5"/>
        <v>3003268</v>
      </c>
      <c r="J84" s="150">
        <v>2</v>
      </c>
    </row>
    <row r="85" spans="1:10" ht="15.75" customHeight="1" x14ac:dyDescent="0.2">
      <c r="A85" s="105" t="s">
        <v>130</v>
      </c>
      <c r="B85" s="98">
        <v>3</v>
      </c>
      <c r="C85" s="105" t="s">
        <v>359</v>
      </c>
      <c r="D85" s="98">
        <v>3</v>
      </c>
      <c r="E85" s="92">
        <v>157.88</v>
      </c>
      <c r="F85" s="146">
        <v>341.25</v>
      </c>
      <c r="G85" s="99">
        <f t="shared" si="4"/>
        <v>2161</v>
      </c>
      <c r="H85" s="99">
        <v>0</v>
      </c>
      <c r="I85" s="99">
        <f t="shared" si="5"/>
        <v>0</v>
      </c>
      <c r="J85" s="134">
        <v>0</v>
      </c>
    </row>
    <row r="86" spans="1:10" ht="15.75" customHeight="1" x14ac:dyDescent="0.2">
      <c r="A86" s="105" t="s">
        <v>130</v>
      </c>
      <c r="B86" s="98">
        <v>2</v>
      </c>
      <c r="C86" s="157" t="s">
        <v>360</v>
      </c>
      <c r="D86" s="98">
        <v>2</v>
      </c>
      <c r="E86" s="92">
        <v>110.73</v>
      </c>
      <c r="F86" s="99">
        <v>0</v>
      </c>
      <c r="G86" s="99">
        <f t="shared" si="4"/>
        <v>0</v>
      </c>
      <c r="H86" s="99">
        <v>0</v>
      </c>
      <c r="I86" s="99">
        <f t="shared" si="5"/>
        <v>0</v>
      </c>
      <c r="J86" s="134">
        <v>0</v>
      </c>
    </row>
    <row r="87" spans="1:10" ht="15.75" customHeight="1" x14ac:dyDescent="0.2">
      <c r="A87" s="105" t="s">
        <v>130</v>
      </c>
      <c r="B87" s="98">
        <v>2</v>
      </c>
      <c r="C87" s="157" t="s">
        <v>361</v>
      </c>
      <c r="D87" s="98">
        <v>4</v>
      </c>
      <c r="E87" s="92">
        <v>232.87</v>
      </c>
      <c r="F87" s="99">
        <v>0</v>
      </c>
      <c r="G87" s="99">
        <f t="shared" si="4"/>
        <v>0</v>
      </c>
      <c r="H87" s="99">
        <v>0</v>
      </c>
      <c r="I87" s="99">
        <f t="shared" si="5"/>
        <v>0</v>
      </c>
      <c r="J87" s="134">
        <v>0</v>
      </c>
    </row>
    <row r="88" spans="1:10" ht="15.75" customHeight="1" x14ac:dyDescent="0.2">
      <c r="A88" s="105" t="s">
        <v>130</v>
      </c>
      <c r="B88" s="98">
        <v>2</v>
      </c>
      <c r="C88" s="157" t="s">
        <v>362</v>
      </c>
      <c r="D88" s="98">
        <v>0</v>
      </c>
      <c r="E88" s="92">
        <v>71.06</v>
      </c>
      <c r="F88" s="103">
        <v>463.5</v>
      </c>
      <c r="G88" s="99">
        <f t="shared" si="4"/>
        <v>6523</v>
      </c>
      <c r="H88" s="99">
        <v>0</v>
      </c>
      <c r="I88" s="99">
        <f t="shared" si="5"/>
        <v>0</v>
      </c>
      <c r="J88" s="134">
        <v>0</v>
      </c>
    </row>
    <row r="89" spans="1:10" ht="15.75" customHeight="1" x14ac:dyDescent="0.2">
      <c r="A89" s="105" t="s">
        <v>130</v>
      </c>
      <c r="B89" s="98">
        <v>2</v>
      </c>
      <c r="C89" s="157" t="s">
        <v>363</v>
      </c>
      <c r="D89" s="98">
        <v>4</v>
      </c>
      <c r="E89" s="92">
        <v>174.91</v>
      </c>
      <c r="F89" s="99">
        <v>0</v>
      </c>
      <c r="G89" s="99">
        <f t="shared" si="4"/>
        <v>0</v>
      </c>
      <c r="H89" s="99">
        <v>0</v>
      </c>
      <c r="I89" s="99">
        <f t="shared" si="5"/>
        <v>0</v>
      </c>
      <c r="J89" s="134">
        <v>0</v>
      </c>
    </row>
    <row r="90" spans="1:10" ht="15.75" customHeight="1" x14ac:dyDescent="0.2">
      <c r="A90" s="105" t="s">
        <v>130</v>
      </c>
      <c r="B90" s="98">
        <v>2</v>
      </c>
      <c r="C90" s="105" t="s">
        <v>364</v>
      </c>
      <c r="D90" s="98">
        <v>3</v>
      </c>
      <c r="E90" s="92">
        <v>157.76</v>
      </c>
      <c r="F90" s="102">
        <v>350</v>
      </c>
      <c r="G90" s="99">
        <f t="shared" si="4"/>
        <v>2219</v>
      </c>
      <c r="H90" s="99">
        <f>50782620/P5</f>
        <v>50.782620000000001</v>
      </c>
      <c r="I90" s="99">
        <f t="shared" si="5"/>
        <v>321898</v>
      </c>
      <c r="J90" s="149">
        <v>1</v>
      </c>
    </row>
    <row r="91" spans="1:10" ht="15.75" customHeight="1" x14ac:dyDescent="0.2">
      <c r="A91" s="105" t="s">
        <v>130</v>
      </c>
      <c r="B91" s="98">
        <v>2</v>
      </c>
      <c r="C91" s="157" t="s">
        <v>365</v>
      </c>
      <c r="D91" s="98">
        <v>2</v>
      </c>
      <c r="E91" s="92">
        <v>112.08</v>
      </c>
      <c r="F91" s="103">
        <v>300</v>
      </c>
      <c r="G91" s="99">
        <f t="shared" si="4"/>
        <v>2677</v>
      </c>
      <c r="H91" s="99">
        <v>0</v>
      </c>
      <c r="I91" s="99">
        <f t="shared" si="5"/>
        <v>0</v>
      </c>
      <c r="J91" s="134">
        <v>0</v>
      </c>
    </row>
    <row r="92" spans="1:10" ht="15.75" customHeight="1" x14ac:dyDescent="0.2">
      <c r="A92" s="105" t="s">
        <v>130</v>
      </c>
      <c r="B92" s="98">
        <v>2</v>
      </c>
      <c r="C92" s="159" t="s">
        <v>366</v>
      </c>
      <c r="D92" s="98">
        <v>2</v>
      </c>
      <c r="E92" s="92">
        <v>112.11</v>
      </c>
      <c r="F92" s="146">
        <v>315</v>
      </c>
      <c r="G92" s="99">
        <f t="shared" si="4"/>
        <v>2810</v>
      </c>
      <c r="H92" s="99">
        <v>0</v>
      </c>
      <c r="I92" s="99">
        <f t="shared" si="5"/>
        <v>0</v>
      </c>
      <c r="J92" s="150">
        <v>2</v>
      </c>
    </row>
    <row r="93" spans="1:10" ht="15.75" customHeight="1" x14ac:dyDescent="0.2">
      <c r="A93" s="105" t="s">
        <v>130</v>
      </c>
      <c r="B93" s="98">
        <v>2</v>
      </c>
      <c r="C93" s="158" t="s">
        <v>367</v>
      </c>
      <c r="D93" s="98">
        <v>3</v>
      </c>
      <c r="E93" s="92">
        <v>157.88</v>
      </c>
      <c r="F93" s="103">
        <v>330.75</v>
      </c>
      <c r="G93" s="99">
        <f t="shared" si="4"/>
        <v>2095</v>
      </c>
      <c r="H93" s="99">
        <v>0</v>
      </c>
      <c r="I93" s="99">
        <f t="shared" si="5"/>
        <v>0</v>
      </c>
      <c r="J93" s="134">
        <v>0</v>
      </c>
    </row>
    <row r="94" spans="1:10" ht="15.75" customHeight="1" x14ac:dyDescent="0.2">
      <c r="A94" s="105" t="s">
        <v>130</v>
      </c>
      <c r="B94" s="98">
        <v>1</v>
      </c>
      <c r="C94" s="105" t="s">
        <v>368</v>
      </c>
      <c r="D94" s="98">
        <v>4</v>
      </c>
      <c r="E94" s="92">
        <v>229.77</v>
      </c>
      <c r="F94" s="99">
        <v>500</v>
      </c>
      <c r="G94" s="99">
        <f t="shared" si="4"/>
        <v>2176</v>
      </c>
      <c r="H94" s="99">
        <f>105694200/P5</f>
        <v>105.6942</v>
      </c>
      <c r="I94" s="99">
        <f t="shared" si="5"/>
        <v>460000</v>
      </c>
      <c r="J94" s="139">
        <v>1</v>
      </c>
    </row>
    <row r="95" spans="1:10" ht="15.75" customHeight="1" x14ac:dyDescent="0.2">
      <c r="A95" s="105" t="s">
        <v>130</v>
      </c>
      <c r="B95" s="98">
        <v>1</v>
      </c>
      <c r="C95" s="105" t="s">
        <v>369</v>
      </c>
      <c r="D95" s="98">
        <v>0</v>
      </c>
      <c r="E95" s="92">
        <v>69.790000000000006</v>
      </c>
      <c r="F95" s="102">
        <v>420</v>
      </c>
      <c r="G95" s="99">
        <f t="shared" si="4"/>
        <v>6018</v>
      </c>
      <c r="H95" s="99">
        <f>26966856/P5</f>
        <v>26.966856</v>
      </c>
      <c r="I95" s="99">
        <f t="shared" si="5"/>
        <v>386400</v>
      </c>
      <c r="J95" s="139">
        <v>1</v>
      </c>
    </row>
    <row r="96" spans="1:10" ht="15.75" customHeight="1" x14ac:dyDescent="0.2">
      <c r="A96" s="105" t="s">
        <v>130</v>
      </c>
      <c r="B96" s="98">
        <v>1</v>
      </c>
      <c r="C96" s="157" t="s">
        <v>370</v>
      </c>
      <c r="D96" s="98">
        <v>4</v>
      </c>
      <c r="E96" s="90">
        <v>173.85</v>
      </c>
      <c r="F96" s="99">
        <v>0</v>
      </c>
      <c r="G96" s="99">
        <f t="shared" si="4"/>
        <v>0</v>
      </c>
      <c r="H96" s="99">
        <v>0</v>
      </c>
      <c r="I96" s="99">
        <f t="shared" si="5"/>
        <v>0</v>
      </c>
      <c r="J96" s="151">
        <v>0</v>
      </c>
    </row>
    <row r="97" spans="1:10" ht="15.75" customHeight="1" x14ac:dyDescent="0.2">
      <c r="A97" s="105" t="s">
        <v>130</v>
      </c>
      <c r="B97" s="98">
        <v>1</v>
      </c>
      <c r="C97" s="157" t="s">
        <v>371</v>
      </c>
      <c r="D97" s="98">
        <v>1</v>
      </c>
      <c r="E97" s="90">
        <v>86.09</v>
      </c>
      <c r="F97" s="103">
        <v>294</v>
      </c>
      <c r="G97" s="99">
        <f t="shared" si="4"/>
        <v>3415</v>
      </c>
      <c r="H97" s="99">
        <v>0</v>
      </c>
      <c r="I97" s="99">
        <f t="shared" si="5"/>
        <v>0</v>
      </c>
      <c r="J97" s="151">
        <v>0</v>
      </c>
    </row>
    <row r="98" spans="1:10" ht="15.75" customHeight="1" x14ac:dyDescent="0.2">
      <c r="A98" s="105" t="s">
        <v>130</v>
      </c>
      <c r="B98" s="98">
        <v>1</v>
      </c>
      <c r="C98" s="157" t="s">
        <v>372</v>
      </c>
      <c r="D98" s="98">
        <v>2</v>
      </c>
      <c r="E98" s="90">
        <v>111.17</v>
      </c>
      <c r="F98" s="99">
        <v>0</v>
      </c>
      <c r="G98" s="99">
        <f t="shared" si="4"/>
        <v>0</v>
      </c>
      <c r="H98" s="99">
        <v>0</v>
      </c>
      <c r="I98" s="99">
        <f t="shared" si="5"/>
        <v>0</v>
      </c>
      <c r="J98" s="151">
        <v>0</v>
      </c>
    </row>
    <row r="99" spans="1:10" ht="15.75" customHeight="1" x14ac:dyDescent="0.2">
      <c r="A99" s="105" t="s">
        <v>130</v>
      </c>
      <c r="B99" s="98">
        <v>1</v>
      </c>
      <c r="C99" s="159" t="s">
        <v>373</v>
      </c>
      <c r="D99" s="98">
        <v>2</v>
      </c>
      <c r="E99" s="143">
        <v>141.49</v>
      </c>
      <c r="F99" s="146">
        <v>309.75</v>
      </c>
      <c r="G99" s="99">
        <f t="shared" si="4"/>
        <v>2189</v>
      </c>
      <c r="H99" s="99">
        <f>38567344/P5</f>
        <v>38.567343999999999</v>
      </c>
      <c r="I99" s="99">
        <f t="shared" si="5"/>
        <v>272580</v>
      </c>
      <c r="J99" s="150">
        <v>2</v>
      </c>
    </row>
    <row r="100" spans="1:10" ht="15.75" customHeight="1" x14ac:dyDescent="0.2">
      <c r="A100" s="105" t="s">
        <v>199</v>
      </c>
      <c r="B100" s="98">
        <v>7</v>
      </c>
      <c r="C100" s="157" t="s">
        <v>374</v>
      </c>
      <c r="D100" s="73">
        <v>6</v>
      </c>
      <c r="E100" s="90">
        <v>528.55999999999995</v>
      </c>
      <c r="F100" s="99">
        <v>0</v>
      </c>
      <c r="G100" s="99">
        <f t="shared" si="4"/>
        <v>0</v>
      </c>
      <c r="H100" s="99">
        <v>0</v>
      </c>
      <c r="I100" s="99">
        <f t="shared" si="5"/>
        <v>0</v>
      </c>
      <c r="J100" s="151">
        <v>0</v>
      </c>
    </row>
    <row r="101" spans="1:10" ht="15.75" customHeight="1" x14ac:dyDescent="0.2">
      <c r="A101" s="105" t="s">
        <v>199</v>
      </c>
      <c r="B101" s="98">
        <v>7</v>
      </c>
      <c r="C101" s="157" t="s">
        <v>375</v>
      </c>
      <c r="D101" s="98">
        <v>5</v>
      </c>
      <c r="E101" s="90">
        <v>221</v>
      </c>
      <c r="F101" s="100">
        <v>525</v>
      </c>
      <c r="G101" s="99">
        <f t="shared" si="4"/>
        <v>2376</v>
      </c>
      <c r="H101" s="99">
        <v>0</v>
      </c>
      <c r="I101" s="99">
        <f t="shared" si="5"/>
        <v>0</v>
      </c>
      <c r="J101" s="151">
        <v>0</v>
      </c>
    </row>
    <row r="102" spans="1:10" ht="15.75" customHeight="1" x14ac:dyDescent="0.2">
      <c r="A102" s="105" t="s">
        <v>199</v>
      </c>
      <c r="B102" s="98">
        <v>7</v>
      </c>
      <c r="C102" s="157" t="s">
        <v>376</v>
      </c>
      <c r="D102" s="98">
        <v>3</v>
      </c>
      <c r="E102" s="90">
        <v>298.24</v>
      </c>
      <c r="F102" s="100">
        <v>397.45100000000002</v>
      </c>
      <c r="G102" s="99">
        <f t="shared" si="4"/>
        <v>1333</v>
      </c>
      <c r="H102" s="99">
        <v>0</v>
      </c>
      <c r="I102" s="99">
        <f t="shared" si="5"/>
        <v>0</v>
      </c>
      <c r="J102" s="151">
        <v>0</v>
      </c>
    </row>
    <row r="103" spans="1:10" ht="15.75" customHeight="1" x14ac:dyDescent="0.2">
      <c r="A103" s="105" t="s">
        <v>199</v>
      </c>
      <c r="B103" s="98">
        <v>6</v>
      </c>
      <c r="C103" s="105" t="s">
        <v>377</v>
      </c>
      <c r="D103" s="98">
        <v>0</v>
      </c>
      <c r="E103" s="92">
        <v>70.37</v>
      </c>
      <c r="F103" s="101">
        <v>422.3</v>
      </c>
      <c r="G103" s="99">
        <f t="shared" si="4"/>
        <v>6001</v>
      </c>
      <c r="H103" s="99">
        <f>27339871/P5</f>
        <v>27.339870999999999</v>
      </c>
      <c r="I103" s="99">
        <f t="shared" si="5"/>
        <v>388516</v>
      </c>
      <c r="J103" s="149">
        <v>1</v>
      </c>
    </row>
    <row r="104" spans="1:10" ht="15.75" customHeight="1" x14ac:dyDescent="0.2">
      <c r="A104" s="105" t="s">
        <v>199</v>
      </c>
      <c r="B104" s="98">
        <v>6</v>
      </c>
      <c r="C104" s="158" t="s">
        <v>378</v>
      </c>
      <c r="D104" s="98">
        <v>4</v>
      </c>
      <c r="E104" s="90">
        <v>219.37</v>
      </c>
      <c r="F104" s="100">
        <v>518.17499999999995</v>
      </c>
      <c r="G104" s="99">
        <f t="shared" si="4"/>
        <v>2362</v>
      </c>
      <c r="H104" s="99">
        <v>0</v>
      </c>
      <c r="I104" s="99">
        <f t="shared" si="5"/>
        <v>0</v>
      </c>
      <c r="J104" s="151">
        <v>0</v>
      </c>
    </row>
    <row r="105" spans="1:10" ht="15.75" customHeight="1" x14ac:dyDescent="0.2">
      <c r="A105" s="105" t="s">
        <v>199</v>
      </c>
      <c r="B105" s="98">
        <v>6</v>
      </c>
      <c r="C105" s="157" t="s">
        <v>379</v>
      </c>
      <c r="D105" s="98">
        <v>2</v>
      </c>
      <c r="E105" s="90">
        <v>114.03</v>
      </c>
      <c r="F105" s="100">
        <v>410</v>
      </c>
      <c r="G105" s="99">
        <f t="shared" si="4"/>
        <v>3596</v>
      </c>
      <c r="H105" s="99">
        <v>0</v>
      </c>
      <c r="I105" s="99">
        <f t="shared" si="5"/>
        <v>0</v>
      </c>
      <c r="J105" s="151">
        <v>0</v>
      </c>
    </row>
    <row r="106" spans="1:10" ht="15.75" customHeight="1" x14ac:dyDescent="0.2">
      <c r="A106" s="105" t="s">
        <v>199</v>
      </c>
      <c r="B106" s="98">
        <v>6</v>
      </c>
      <c r="C106" s="157" t="s">
        <v>380</v>
      </c>
      <c r="D106" s="98">
        <v>3</v>
      </c>
      <c r="E106" s="90">
        <v>180.92</v>
      </c>
      <c r="F106" s="100">
        <v>390</v>
      </c>
      <c r="G106" s="99">
        <f t="shared" si="4"/>
        <v>2156</v>
      </c>
      <c r="H106" s="99">
        <v>0</v>
      </c>
      <c r="I106" s="99">
        <f t="shared" si="5"/>
        <v>0</v>
      </c>
      <c r="J106" s="151">
        <v>0</v>
      </c>
    </row>
    <row r="107" spans="1:10" ht="15.75" customHeight="1" x14ac:dyDescent="0.2">
      <c r="A107" s="105" t="s">
        <v>199</v>
      </c>
      <c r="B107" s="98">
        <v>6</v>
      </c>
      <c r="C107" s="105" t="s">
        <v>381</v>
      </c>
      <c r="D107" s="98">
        <v>3</v>
      </c>
      <c r="E107" s="92">
        <v>154.94999999999999</v>
      </c>
      <c r="F107" s="101">
        <v>401.7</v>
      </c>
      <c r="G107" s="99">
        <f t="shared" ref="G107:G122" si="6">ROUND(F107* 1000/E107,0)</f>
        <v>2592</v>
      </c>
      <c r="H107" s="99">
        <f>57263942/P5</f>
        <v>57.263942</v>
      </c>
      <c r="I107" s="99">
        <f t="shared" ref="I107:I108" si="7">ROUND(H107 * 1000000/E107,0)</f>
        <v>369564</v>
      </c>
      <c r="J107" s="138">
        <v>1</v>
      </c>
    </row>
    <row r="108" spans="1:10" ht="15.75" customHeight="1" x14ac:dyDescent="0.2">
      <c r="A108" s="105" t="s">
        <v>199</v>
      </c>
      <c r="B108" s="98">
        <v>6</v>
      </c>
      <c r="C108" s="105" t="s">
        <v>382</v>
      </c>
      <c r="D108" s="98">
        <v>3</v>
      </c>
      <c r="E108" s="92">
        <v>138.47999999999999</v>
      </c>
      <c r="F108" s="101">
        <v>401.7</v>
      </c>
      <c r="G108" s="99">
        <f t="shared" si="6"/>
        <v>2901</v>
      </c>
      <c r="H108" s="99">
        <f>51177223/P5</f>
        <v>51.177222999999998</v>
      </c>
      <c r="I108" s="99">
        <f t="shared" si="7"/>
        <v>369564</v>
      </c>
      <c r="J108" s="138">
        <v>1</v>
      </c>
    </row>
    <row r="109" spans="1:10" ht="15.75" customHeight="1" x14ac:dyDescent="0.2">
      <c r="A109" s="105" t="s">
        <v>199</v>
      </c>
      <c r="B109" s="98">
        <v>5</v>
      </c>
      <c r="C109" s="157" t="s">
        <v>383</v>
      </c>
      <c r="D109" s="98">
        <v>1</v>
      </c>
      <c r="E109" s="90">
        <v>70.03</v>
      </c>
      <c r="F109" s="100">
        <v>390</v>
      </c>
      <c r="G109" s="99">
        <f t="shared" si="6"/>
        <v>5569</v>
      </c>
      <c r="H109" s="99">
        <v>0</v>
      </c>
      <c r="I109" s="99">
        <f>ROUND(H109 * 1000000/E109,0)</f>
        <v>0</v>
      </c>
      <c r="J109" s="151">
        <v>0</v>
      </c>
    </row>
    <row r="110" spans="1:10" ht="15.75" customHeight="1" x14ac:dyDescent="0.2">
      <c r="A110" s="105" t="s">
        <v>199</v>
      </c>
      <c r="B110" s="98">
        <v>5</v>
      </c>
      <c r="C110" s="157" t="s">
        <v>384</v>
      </c>
      <c r="D110" s="98">
        <v>4</v>
      </c>
      <c r="E110" s="90">
        <v>234.29</v>
      </c>
      <c r="F110" s="99">
        <v>0</v>
      </c>
      <c r="G110" s="99">
        <f t="shared" si="6"/>
        <v>0</v>
      </c>
      <c r="H110" s="99">
        <v>0</v>
      </c>
      <c r="I110" s="99">
        <f t="shared" ref="I110:I142" si="8">ROUND(H110 * 1000000/E110,0)</f>
        <v>0</v>
      </c>
      <c r="J110" s="152">
        <v>0</v>
      </c>
    </row>
    <row r="111" spans="1:10" ht="15.75" customHeight="1" x14ac:dyDescent="0.2">
      <c r="A111" s="105" t="s">
        <v>199</v>
      </c>
      <c r="B111" s="98">
        <v>5</v>
      </c>
      <c r="C111" s="105" t="s">
        <v>385</v>
      </c>
      <c r="D111" s="98">
        <v>2</v>
      </c>
      <c r="E111" s="92">
        <v>114.03</v>
      </c>
      <c r="F111" s="101">
        <v>422.3</v>
      </c>
      <c r="G111" s="99">
        <f t="shared" si="6"/>
        <v>3703</v>
      </c>
      <c r="H111" s="99">
        <f>44302479/P5</f>
        <v>44.302478999999998</v>
      </c>
      <c r="I111" s="99">
        <f t="shared" si="8"/>
        <v>388516</v>
      </c>
      <c r="J111" s="153">
        <v>1</v>
      </c>
    </row>
    <row r="112" spans="1:10" ht="15.75" customHeight="1" x14ac:dyDescent="0.2">
      <c r="A112" s="105" t="s">
        <v>199</v>
      </c>
      <c r="B112" s="98">
        <v>5</v>
      </c>
      <c r="C112" s="105" t="s">
        <v>386</v>
      </c>
      <c r="D112" s="98">
        <v>3</v>
      </c>
      <c r="E112" s="92">
        <v>180.92</v>
      </c>
      <c r="F112" s="101">
        <v>381.1</v>
      </c>
      <c r="G112" s="99">
        <f t="shared" si="6"/>
        <v>2106</v>
      </c>
      <c r="H112" s="99">
        <f>63432723/P5</f>
        <v>63.432723000000003</v>
      </c>
      <c r="I112" s="99">
        <f t="shared" si="8"/>
        <v>350612</v>
      </c>
      <c r="J112" s="153">
        <v>1</v>
      </c>
    </row>
    <row r="113" spans="1:10" ht="15.75" customHeight="1" x14ac:dyDescent="0.2">
      <c r="A113" s="105" t="s">
        <v>199</v>
      </c>
      <c r="B113" s="98">
        <v>5</v>
      </c>
      <c r="C113" s="105" t="s">
        <v>387</v>
      </c>
      <c r="D113" s="98">
        <v>3</v>
      </c>
      <c r="E113" s="92">
        <v>160.16999999999999</v>
      </c>
      <c r="F113" s="101">
        <v>406.85</v>
      </c>
      <c r="G113" s="99">
        <f t="shared" si="6"/>
        <v>2540</v>
      </c>
      <c r="H113" s="99">
        <f>59951951/P5</f>
        <v>59.951951000000001</v>
      </c>
      <c r="I113" s="99">
        <f t="shared" si="8"/>
        <v>374302</v>
      </c>
      <c r="J113" s="153">
        <v>1</v>
      </c>
    </row>
    <row r="114" spans="1:10" ht="15.75" customHeight="1" x14ac:dyDescent="0.2">
      <c r="A114" s="105" t="s">
        <v>199</v>
      </c>
      <c r="B114" s="98">
        <v>5</v>
      </c>
      <c r="C114" s="157" t="s">
        <v>388</v>
      </c>
      <c r="D114" s="98">
        <v>3</v>
      </c>
      <c r="E114" s="90">
        <v>155.97999999999999</v>
      </c>
      <c r="F114" s="100">
        <v>330.75</v>
      </c>
      <c r="G114" s="99">
        <f t="shared" si="6"/>
        <v>2120</v>
      </c>
      <c r="H114" s="99">
        <v>0</v>
      </c>
      <c r="I114" s="99">
        <f t="shared" si="8"/>
        <v>0</v>
      </c>
      <c r="J114" s="153">
        <v>0</v>
      </c>
    </row>
    <row r="115" spans="1:10" ht="15.75" customHeight="1" x14ac:dyDescent="0.2">
      <c r="A115" s="105" t="s">
        <v>199</v>
      </c>
      <c r="B115" s="98">
        <v>5</v>
      </c>
      <c r="C115" s="157" t="s">
        <v>389</v>
      </c>
      <c r="D115" s="98">
        <v>3</v>
      </c>
      <c r="E115" s="90">
        <v>138.55000000000001</v>
      </c>
      <c r="F115" s="99">
        <v>0</v>
      </c>
      <c r="G115" s="99">
        <f t="shared" si="6"/>
        <v>0</v>
      </c>
      <c r="H115" s="99">
        <v>0</v>
      </c>
      <c r="I115" s="99">
        <f t="shared" si="8"/>
        <v>0</v>
      </c>
      <c r="J115" s="153">
        <v>0</v>
      </c>
    </row>
    <row r="116" spans="1:10" ht="15.75" customHeight="1" x14ac:dyDescent="0.2">
      <c r="A116" s="105" t="s">
        <v>199</v>
      </c>
      <c r="B116" s="98">
        <v>4</v>
      </c>
      <c r="C116" s="157" t="s">
        <v>390</v>
      </c>
      <c r="D116" s="98">
        <v>0</v>
      </c>
      <c r="E116" s="90">
        <v>70.37</v>
      </c>
      <c r="F116" s="100">
        <v>336</v>
      </c>
      <c r="G116" s="99">
        <f t="shared" si="6"/>
        <v>4775</v>
      </c>
      <c r="H116" s="99">
        <v>0</v>
      </c>
      <c r="I116" s="99">
        <f t="shared" si="8"/>
        <v>0</v>
      </c>
      <c r="J116" s="152">
        <v>0</v>
      </c>
    </row>
    <row r="117" spans="1:10" ht="15.75" customHeight="1" x14ac:dyDescent="0.2">
      <c r="A117" s="105" t="s">
        <v>199</v>
      </c>
      <c r="B117" s="98">
        <v>4</v>
      </c>
      <c r="C117" s="157" t="s">
        <v>391</v>
      </c>
      <c r="D117" s="98">
        <v>4</v>
      </c>
      <c r="E117" s="90">
        <v>234.29</v>
      </c>
      <c r="F117" s="99">
        <v>0</v>
      </c>
      <c r="G117" s="99">
        <f t="shared" si="6"/>
        <v>0</v>
      </c>
      <c r="H117" s="99">
        <v>0</v>
      </c>
      <c r="I117" s="99">
        <f t="shared" si="8"/>
        <v>0</v>
      </c>
      <c r="J117" s="152">
        <v>0</v>
      </c>
    </row>
    <row r="118" spans="1:10" ht="15.75" customHeight="1" x14ac:dyDescent="0.2">
      <c r="A118" s="105" t="s">
        <v>199</v>
      </c>
      <c r="B118" s="98">
        <v>4</v>
      </c>
      <c r="C118" s="157" t="s">
        <v>392</v>
      </c>
      <c r="D118" s="98">
        <v>2</v>
      </c>
      <c r="E118" s="92">
        <v>114.03</v>
      </c>
      <c r="F118" s="99">
        <v>0</v>
      </c>
      <c r="G118" s="99">
        <f t="shared" si="6"/>
        <v>0</v>
      </c>
      <c r="H118" s="99">
        <v>0</v>
      </c>
      <c r="I118" s="99">
        <f t="shared" si="8"/>
        <v>0</v>
      </c>
      <c r="J118" s="152">
        <v>0</v>
      </c>
    </row>
    <row r="119" spans="1:10" ht="15.75" customHeight="1" x14ac:dyDescent="0.2">
      <c r="A119" s="105" t="s">
        <v>199</v>
      </c>
      <c r="B119" s="98">
        <v>4</v>
      </c>
      <c r="C119" s="105" t="s">
        <v>393</v>
      </c>
      <c r="D119" s="98">
        <v>3</v>
      </c>
      <c r="E119" s="92">
        <v>180.92</v>
      </c>
      <c r="F119" s="101">
        <v>360</v>
      </c>
      <c r="G119" s="99">
        <f t="shared" si="6"/>
        <v>1990</v>
      </c>
      <c r="H119" s="99">
        <f>59920704/P5</f>
        <v>59.920704000000001</v>
      </c>
      <c r="I119" s="99">
        <f t="shared" si="8"/>
        <v>331200</v>
      </c>
      <c r="J119" s="138">
        <v>1</v>
      </c>
    </row>
    <row r="120" spans="1:10" ht="15.75" customHeight="1" x14ac:dyDescent="0.2">
      <c r="A120" s="105" t="s">
        <v>199</v>
      </c>
      <c r="B120" s="98">
        <v>4</v>
      </c>
      <c r="C120" s="157" t="s">
        <v>394</v>
      </c>
      <c r="D120" s="98">
        <v>3</v>
      </c>
      <c r="E120" s="92">
        <v>160.16999999999999</v>
      </c>
      <c r="F120" s="99">
        <v>0</v>
      </c>
      <c r="G120" s="99">
        <f t="shared" si="6"/>
        <v>0</v>
      </c>
      <c r="H120" s="99">
        <v>0</v>
      </c>
      <c r="I120" s="99">
        <f t="shared" si="8"/>
        <v>0</v>
      </c>
      <c r="J120" s="152">
        <v>0</v>
      </c>
    </row>
    <row r="121" spans="1:10" ht="15.75" customHeight="1" x14ac:dyDescent="0.2">
      <c r="A121" s="105" t="s">
        <v>199</v>
      </c>
      <c r="B121" s="98">
        <v>4</v>
      </c>
      <c r="C121" s="105" t="s">
        <v>395</v>
      </c>
      <c r="D121" s="98">
        <v>3</v>
      </c>
      <c r="E121" s="90">
        <v>155.97999999999999</v>
      </c>
      <c r="F121" s="99">
        <v>351.7</v>
      </c>
      <c r="G121" s="99">
        <f t="shared" si="6"/>
        <v>2255</v>
      </c>
      <c r="H121" s="99">
        <f>50476688/P5</f>
        <v>50.476688000000003</v>
      </c>
      <c r="I121" s="99">
        <f t="shared" si="8"/>
        <v>323610</v>
      </c>
      <c r="J121" s="138">
        <v>1</v>
      </c>
    </row>
    <row r="122" spans="1:10" ht="15.75" customHeight="1" x14ac:dyDescent="0.2">
      <c r="A122" s="105" t="s">
        <v>199</v>
      </c>
      <c r="B122" s="98">
        <v>4</v>
      </c>
      <c r="C122" s="105" t="s">
        <v>396</v>
      </c>
      <c r="D122" s="98">
        <v>3</v>
      </c>
      <c r="E122" s="90">
        <v>138.55000000000001</v>
      </c>
      <c r="F122" s="99">
        <v>0</v>
      </c>
      <c r="G122" s="99">
        <f t="shared" si="6"/>
        <v>0</v>
      </c>
      <c r="H122" s="99">
        <f>44836166/P5</f>
        <v>44.836165999999999</v>
      </c>
      <c r="I122" s="99">
        <f t="shared" si="8"/>
        <v>323610</v>
      </c>
      <c r="J122" s="138">
        <v>1</v>
      </c>
    </row>
    <row r="123" spans="1:10" ht="15.75" customHeight="1" x14ac:dyDescent="0.2">
      <c r="A123" s="105" t="s">
        <v>199</v>
      </c>
      <c r="B123" s="98">
        <v>3</v>
      </c>
      <c r="C123" s="158" t="s">
        <v>397</v>
      </c>
      <c r="D123" s="98">
        <v>0</v>
      </c>
      <c r="E123" s="90">
        <v>70.37</v>
      </c>
      <c r="F123" s="99">
        <v>350</v>
      </c>
      <c r="G123" s="99">
        <f>ROUND(F123* 1000/E123,0)</f>
        <v>4974</v>
      </c>
      <c r="H123" s="99">
        <v>0</v>
      </c>
      <c r="I123" s="99">
        <f t="shared" si="8"/>
        <v>0</v>
      </c>
      <c r="J123" s="141">
        <v>0</v>
      </c>
    </row>
    <row r="124" spans="1:10" ht="15.75" customHeight="1" x14ac:dyDescent="0.2">
      <c r="A124" s="105" t="s">
        <v>199</v>
      </c>
      <c r="B124" s="98">
        <v>3</v>
      </c>
      <c r="C124" s="158" t="s">
        <v>398</v>
      </c>
      <c r="D124" s="98">
        <v>4</v>
      </c>
      <c r="E124" s="90">
        <v>234.29</v>
      </c>
      <c r="F124" s="100">
        <v>500</v>
      </c>
      <c r="G124" s="99">
        <f t="shared" ref="G124:G142" si="9">ROUND(F124* 1000/E124,0)</f>
        <v>2134</v>
      </c>
      <c r="H124" s="99">
        <v>0</v>
      </c>
      <c r="I124" s="99">
        <f t="shared" si="8"/>
        <v>0</v>
      </c>
      <c r="J124" s="141">
        <v>0</v>
      </c>
    </row>
    <row r="125" spans="1:10" ht="15.75" customHeight="1" x14ac:dyDescent="0.2">
      <c r="A125" s="105" t="s">
        <v>199</v>
      </c>
      <c r="B125" s="98">
        <v>3</v>
      </c>
      <c r="C125" s="158" t="s">
        <v>399</v>
      </c>
      <c r="D125" s="98">
        <v>2</v>
      </c>
      <c r="E125" s="92">
        <v>114.03</v>
      </c>
      <c r="F125" s="100">
        <v>350</v>
      </c>
      <c r="G125" s="99">
        <f t="shared" si="9"/>
        <v>3069</v>
      </c>
      <c r="H125" s="99">
        <v>0</v>
      </c>
      <c r="I125" s="99">
        <f t="shared" si="8"/>
        <v>0</v>
      </c>
      <c r="J125" s="141">
        <v>0</v>
      </c>
    </row>
    <row r="126" spans="1:10" ht="15.75" customHeight="1" x14ac:dyDescent="0.2">
      <c r="A126" s="105" t="s">
        <v>199</v>
      </c>
      <c r="B126" s="98">
        <v>3</v>
      </c>
      <c r="C126" s="157" t="s">
        <v>400</v>
      </c>
      <c r="D126" s="98">
        <v>3</v>
      </c>
      <c r="E126" s="92">
        <v>180.92</v>
      </c>
      <c r="F126" s="99">
        <v>0</v>
      </c>
      <c r="G126" s="99">
        <f t="shared" si="9"/>
        <v>0</v>
      </c>
      <c r="H126" s="99">
        <v>0</v>
      </c>
      <c r="I126" s="99">
        <f t="shared" si="8"/>
        <v>0</v>
      </c>
      <c r="J126" s="141">
        <v>0</v>
      </c>
    </row>
    <row r="127" spans="1:10" ht="15.75" customHeight="1" x14ac:dyDescent="0.2">
      <c r="A127" s="105" t="s">
        <v>199</v>
      </c>
      <c r="B127" s="98">
        <v>3</v>
      </c>
      <c r="C127" s="157" t="s">
        <v>401</v>
      </c>
      <c r="D127" s="98">
        <v>3</v>
      </c>
      <c r="E127" s="92">
        <v>160.16999999999999</v>
      </c>
      <c r="F127" s="99">
        <v>0</v>
      </c>
      <c r="G127" s="99">
        <f t="shared" si="9"/>
        <v>0</v>
      </c>
      <c r="H127" s="99">
        <v>0</v>
      </c>
      <c r="I127" s="99">
        <f t="shared" si="8"/>
        <v>0</v>
      </c>
      <c r="J127" s="141">
        <v>0</v>
      </c>
    </row>
    <row r="128" spans="1:10" ht="15.75" customHeight="1" x14ac:dyDescent="0.2">
      <c r="A128" s="105" t="s">
        <v>199</v>
      </c>
      <c r="B128" s="98">
        <v>3</v>
      </c>
      <c r="C128" s="105" t="s">
        <v>402</v>
      </c>
      <c r="D128" s="98">
        <v>3</v>
      </c>
      <c r="E128" s="90">
        <v>155.97999999999999</v>
      </c>
      <c r="F128" s="101">
        <v>330.75</v>
      </c>
      <c r="G128" s="99">
        <f t="shared" si="9"/>
        <v>2120</v>
      </c>
      <c r="H128" s="99">
        <f>47463154/P5</f>
        <v>47.463154000000003</v>
      </c>
      <c r="I128" s="99">
        <f t="shared" si="8"/>
        <v>304290</v>
      </c>
      <c r="J128" s="138">
        <v>1</v>
      </c>
    </row>
    <row r="129" spans="1:10" ht="15.75" customHeight="1" x14ac:dyDescent="0.2">
      <c r="A129" s="154" t="s">
        <v>199</v>
      </c>
      <c r="B129" s="117">
        <v>3</v>
      </c>
      <c r="C129" s="160" t="s">
        <v>403</v>
      </c>
      <c r="D129" s="117">
        <v>3</v>
      </c>
      <c r="E129" s="142">
        <v>138.55000000000001</v>
      </c>
      <c r="F129" s="118">
        <v>0</v>
      </c>
      <c r="G129" s="118">
        <f t="shared" si="9"/>
        <v>0</v>
      </c>
      <c r="H129" s="118">
        <v>0</v>
      </c>
      <c r="I129" s="118">
        <f t="shared" si="8"/>
        <v>0</v>
      </c>
      <c r="J129" s="141">
        <v>0</v>
      </c>
    </row>
    <row r="130" spans="1:10" ht="15.75" customHeight="1" x14ac:dyDescent="0.2">
      <c r="A130" s="105" t="s">
        <v>199</v>
      </c>
      <c r="B130" s="98">
        <v>2</v>
      </c>
      <c r="C130" s="157" t="s">
        <v>404</v>
      </c>
      <c r="D130" s="98">
        <v>0</v>
      </c>
      <c r="E130" s="90">
        <v>70.37</v>
      </c>
      <c r="F130" s="99">
        <v>0</v>
      </c>
      <c r="G130" s="99">
        <f t="shared" si="9"/>
        <v>0</v>
      </c>
      <c r="H130" s="99">
        <v>0</v>
      </c>
      <c r="I130" s="99">
        <f t="shared" si="8"/>
        <v>0</v>
      </c>
      <c r="J130" s="141">
        <v>0</v>
      </c>
    </row>
    <row r="131" spans="1:10" ht="15.75" customHeight="1" x14ac:dyDescent="0.2">
      <c r="A131" s="105" t="s">
        <v>199</v>
      </c>
      <c r="B131" s="98">
        <v>2</v>
      </c>
      <c r="C131" s="158" t="s">
        <v>405</v>
      </c>
      <c r="D131" s="98">
        <v>4</v>
      </c>
      <c r="E131" s="90">
        <v>234.29</v>
      </c>
      <c r="F131" s="99">
        <v>490</v>
      </c>
      <c r="G131" s="99">
        <f t="shared" si="9"/>
        <v>2091</v>
      </c>
      <c r="H131" s="99">
        <v>0</v>
      </c>
      <c r="I131" s="99">
        <f t="shared" si="8"/>
        <v>0</v>
      </c>
      <c r="J131" s="141">
        <v>0</v>
      </c>
    </row>
    <row r="132" spans="1:10" ht="15.75" customHeight="1" x14ac:dyDescent="0.2">
      <c r="A132" s="105" t="s">
        <v>199</v>
      </c>
      <c r="B132" s="98">
        <v>2</v>
      </c>
      <c r="C132" s="157" t="s">
        <v>406</v>
      </c>
      <c r="D132" s="98">
        <v>2</v>
      </c>
      <c r="E132" s="92">
        <v>114.03</v>
      </c>
      <c r="F132" s="99">
        <v>0</v>
      </c>
      <c r="G132" s="99">
        <f t="shared" si="9"/>
        <v>0</v>
      </c>
      <c r="H132" s="99">
        <v>0</v>
      </c>
      <c r="I132" s="99">
        <f t="shared" si="8"/>
        <v>0</v>
      </c>
      <c r="J132" s="141">
        <v>0</v>
      </c>
    </row>
    <row r="133" spans="1:10" ht="15.75" customHeight="1" x14ac:dyDescent="0.2">
      <c r="A133" s="105" t="s">
        <v>199</v>
      </c>
      <c r="B133" s="98">
        <v>2</v>
      </c>
      <c r="C133" s="157" t="s">
        <v>407</v>
      </c>
      <c r="D133" s="98">
        <v>3</v>
      </c>
      <c r="E133" s="92">
        <v>180.92</v>
      </c>
      <c r="F133" s="99">
        <v>255</v>
      </c>
      <c r="G133" s="99">
        <f t="shared" si="9"/>
        <v>1409</v>
      </c>
      <c r="H133" s="99">
        <v>0</v>
      </c>
      <c r="I133" s="99">
        <f t="shared" si="8"/>
        <v>0</v>
      </c>
      <c r="J133" s="141">
        <v>0</v>
      </c>
    </row>
    <row r="134" spans="1:10" ht="15.75" customHeight="1" x14ac:dyDescent="0.2">
      <c r="A134" s="105" t="s">
        <v>199</v>
      </c>
      <c r="B134" s="98">
        <v>2</v>
      </c>
      <c r="C134" s="157" t="s">
        <v>408</v>
      </c>
      <c r="D134" s="98">
        <v>3</v>
      </c>
      <c r="E134" s="92">
        <v>160.16999999999999</v>
      </c>
      <c r="F134" s="99">
        <v>0</v>
      </c>
      <c r="G134" s="99">
        <f t="shared" si="9"/>
        <v>0</v>
      </c>
      <c r="H134" s="99">
        <v>0</v>
      </c>
      <c r="I134" s="99">
        <f t="shared" si="8"/>
        <v>0</v>
      </c>
      <c r="J134" s="141">
        <v>0</v>
      </c>
    </row>
    <row r="135" spans="1:10" ht="15.75" customHeight="1" x14ac:dyDescent="0.2">
      <c r="A135" s="105" t="s">
        <v>199</v>
      </c>
      <c r="B135" s="98">
        <v>2</v>
      </c>
      <c r="C135" s="157" t="s">
        <v>409</v>
      </c>
      <c r="D135" s="98">
        <v>3</v>
      </c>
      <c r="E135" s="90">
        <v>155.97999999999999</v>
      </c>
      <c r="F135" s="99">
        <v>304.5</v>
      </c>
      <c r="G135" s="99">
        <f t="shared" si="9"/>
        <v>1952</v>
      </c>
      <c r="H135" s="99">
        <v>0</v>
      </c>
      <c r="I135" s="99">
        <f t="shared" si="8"/>
        <v>0</v>
      </c>
      <c r="J135" s="141">
        <v>0</v>
      </c>
    </row>
    <row r="136" spans="1:10" ht="15.75" customHeight="1" x14ac:dyDescent="0.2">
      <c r="A136" s="105" t="s">
        <v>199</v>
      </c>
      <c r="B136" s="98">
        <v>2</v>
      </c>
      <c r="C136" s="158" t="s">
        <v>410</v>
      </c>
      <c r="D136" s="98">
        <v>3</v>
      </c>
      <c r="E136" s="90">
        <v>138.55000000000001</v>
      </c>
      <c r="F136" s="99">
        <v>231</v>
      </c>
      <c r="G136" s="99">
        <f t="shared" si="9"/>
        <v>1667</v>
      </c>
      <c r="H136" s="99">
        <v>0</v>
      </c>
      <c r="I136" s="99">
        <f t="shared" si="8"/>
        <v>0</v>
      </c>
      <c r="J136" s="141">
        <v>0</v>
      </c>
    </row>
    <row r="137" spans="1:10" ht="15.75" customHeight="1" x14ac:dyDescent="0.2">
      <c r="A137" s="105" t="s">
        <v>199</v>
      </c>
      <c r="B137" s="98">
        <v>1</v>
      </c>
      <c r="C137" s="105" t="s">
        <v>411</v>
      </c>
      <c r="D137" s="98">
        <v>0</v>
      </c>
      <c r="E137" s="92">
        <v>69.37</v>
      </c>
      <c r="F137" s="101">
        <v>341.25</v>
      </c>
      <c r="G137" s="99">
        <f t="shared" si="9"/>
        <v>4919</v>
      </c>
      <c r="H137" s="99">
        <f>21778712/P5</f>
        <v>21.778711999999999</v>
      </c>
      <c r="I137" s="99">
        <f t="shared" si="8"/>
        <v>313950</v>
      </c>
      <c r="J137" s="138">
        <v>1</v>
      </c>
    </row>
    <row r="138" spans="1:10" ht="15.75" customHeight="1" x14ac:dyDescent="0.2">
      <c r="A138" s="105" t="s">
        <v>199</v>
      </c>
      <c r="B138" s="98">
        <v>1</v>
      </c>
      <c r="C138" s="157" t="s">
        <v>412</v>
      </c>
      <c r="D138" s="98">
        <v>4</v>
      </c>
      <c r="E138" s="90">
        <v>281.93</v>
      </c>
      <c r="F138" s="100">
        <v>352.8</v>
      </c>
      <c r="G138" s="99">
        <f t="shared" si="9"/>
        <v>1251</v>
      </c>
      <c r="H138" s="99">
        <v>0</v>
      </c>
      <c r="I138" s="99">
        <f t="shared" si="8"/>
        <v>0</v>
      </c>
      <c r="J138" s="141">
        <v>0</v>
      </c>
    </row>
    <row r="139" spans="1:10" ht="15.75" customHeight="1" x14ac:dyDescent="0.2">
      <c r="A139" s="105" t="s">
        <v>199</v>
      </c>
      <c r="B139" s="98">
        <v>1</v>
      </c>
      <c r="C139" s="105" t="s">
        <v>413</v>
      </c>
      <c r="D139" s="98">
        <v>2</v>
      </c>
      <c r="E139" s="92">
        <v>136.19999999999999</v>
      </c>
      <c r="F139" s="101">
        <v>341.25</v>
      </c>
      <c r="G139" s="99">
        <f t="shared" si="9"/>
        <v>2506</v>
      </c>
      <c r="H139" s="99">
        <f>42759990/P5</f>
        <v>42.759990000000002</v>
      </c>
      <c r="I139" s="99">
        <f t="shared" si="8"/>
        <v>313950</v>
      </c>
      <c r="J139" s="138">
        <v>1</v>
      </c>
    </row>
    <row r="140" spans="1:10" ht="15.75" customHeight="1" x14ac:dyDescent="0.2">
      <c r="A140" s="105" t="s">
        <v>199</v>
      </c>
      <c r="B140" s="98">
        <v>1</v>
      </c>
      <c r="C140" s="157" t="s">
        <v>414</v>
      </c>
      <c r="D140" s="98">
        <v>3</v>
      </c>
      <c r="E140" s="90">
        <v>207.89</v>
      </c>
      <c r="F140" s="100">
        <v>252</v>
      </c>
      <c r="G140" s="99">
        <f t="shared" si="9"/>
        <v>1212</v>
      </c>
      <c r="H140" s="99">
        <v>0</v>
      </c>
      <c r="I140" s="99">
        <f t="shared" si="8"/>
        <v>0</v>
      </c>
      <c r="J140" s="141">
        <v>0</v>
      </c>
    </row>
    <row r="141" spans="1:10" ht="15.75" customHeight="1" x14ac:dyDescent="0.2">
      <c r="A141" s="105" t="s">
        <v>199</v>
      </c>
      <c r="B141" s="98">
        <v>1</v>
      </c>
      <c r="C141" s="105" t="s">
        <v>415</v>
      </c>
      <c r="D141" s="98">
        <v>3</v>
      </c>
      <c r="E141" s="92">
        <v>193.8</v>
      </c>
      <c r="F141" s="101">
        <v>267.75</v>
      </c>
      <c r="G141" s="99">
        <f t="shared" si="9"/>
        <v>1382</v>
      </c>
      <c r="H141" s="99">
        <f>47738754/P5</f>
        <v>47.738754</v>
      </c>
      <c r="I141" s="99">
        <f t="shared" si="8"/>
        <v>246330</v>
      </c>
      <c r="J141" s="141">
        <v>1</v>
      </c>
    </row>
    <row r="142" spans="1:10" ht="15.75" customHeight="1" x14ac:dyDescent="0.2">
      <c r="A142" s="105" t="s">
        <v>199</v>
      </c>
      <c r="B142" s="98">
        <v>1</v>
      </c>
      <c r="C142" s="105" t="s">
        <v>416</v>
      </c>
      <c r="D142" s="98">
        <v>3</v>
      </c>
      <c r="E142" s="92">
        <v>169.07</v>
      </c>
      <c r="F142" s="101">
        <v>252</v>
      </c>
      <c r="G142" s="99">
        <f t="shared" si="9"/>
        <v>1491</v>
      </c>
      <c r="H142" s="99">
        <f>39197189/P5</f>
        <v>39.197189000000002</v>
      </c>
      <c r="I142" s="99">
        <f t="shared" si="8"/>
        <v>231840</v>
      </c>
      <c r="J142" s="138">
        <v>1</v>
      </c>
    </row>
    <row r="143" spans="1:10" ht="15.75" customHeight="1" thickBot="1" x14ac:dyDescent="0.25">
      <c r="A143" s="76"/>
      <c r="C143" s="155"/>
    </row>
    <row r="144" spans="1:10" ht="15.75" customHeight="1" x14ac:dyDescent="0.2">
      <c r="A144" s="76"/>
      <c r="C144" s="162" t="s">
        <v>417</v>
      </c>
      <c r="D144" s="163">
        <f>AVERAGE(D1:D142)</f>
        <v>2.7092198581560285</v>
      </c>
      <c r="E144" s="164">
        <f>AVERAGE(E1:E142)</f>
        <v>155.66631205673744</v>
      </c>
      <c r="F144" s="168">
        <f>SUMIF(F2:F142,"&gt;0",F2:F142) / COUNTIF(F2:F142,"&gt;0")</f>
        <v>371.5977093023256</v>
      </c>
      <c r="G144" s="168">
        <f t="shared" ref="G144:I144" si="10">SUMIF(G2:G142,"&gt;0",G2:G142) / COUNTIF(G2:G142,"&gt;0")</f>
        <v>2887.5581395348836</v>
      </c>
      <c r="H144" s="168">
        <f t="shared" si="10"/>
        <v>61.19643674418603</v>
      </c>
      <c r="I144" s="169">
        <f t="shared" si="10"/>
        <v>416937.02325581393</v>
      </c>
    </row>
    <row r="145" spans="1:9" ht="15.75" customHeight="1" x14ac:dyDescent="0.2">
      <c r="A145" s="76"/>
      <c r="C145" s="83" t="s">
        <v>418</v>
      </c>
      <c r="D145" s="161">
        <f t="shared" ref="D145:I145" si="11">MAX(D1:D142)</f>
        <v>10</v>
      </c>
      <c r="E145" s="161">
        <f t="shared" si="11"/>
        <v>528.55999999999995</v>
      </c>
      <c r="F145" s="161">
        <f t="shared" si="11"/>
        <v>700</v>
      </c>
      <c r="G145" s="161">
        <f t="shared" si="11"/>
        <v>6523</v>
      </c>
      <c r="H145" s="148">
        <f t="shared" si="11"/>
        <v>336.69636000000003</v>
      </c>
      <c r="I145" s="84">
        <f t="shared" si="11"/>
        <v>3003268</v>
      </c>
    </row>
    <row r="146" spans="1:9" ht="15.75" customHeight="1" thickBot="1" x14ac:dyDescent="0.25">
      <c r="A146" s="76"/>
      <c r="C146" s="165" t="s">
        <v>419</v>
      </c>
      <c r="D146" s="166">
        <f t="shared" ref="D146:I146" si="12">MIN(D1:D142)</f>
        <v>0</v>
      </c>
      <c r="E146" s="166">
        <f t="shared" si="12"/>
        <v>69.37</v>
      </c>
      <c r="F146" s="166">
        <f t="shared" si="12"/>
        <v>0</v>
      </c>
      <c r="G146" s="166">
        <f t="shared" si="12"/>
        <v>0</v>
      </c>
      <c r="H146" s="166">
        <f t="shared" si="12"/>
        <v>0</v>
      </c>
      <c r="I146" s="167">
        <f t="shared" si="12"/>
        <v>0</v>
      </c>
    </row>
    <row r="147" spans="1:9" ht="15.75" customHeight="1" x14ac:dyDescent="0.2">
      <c r="A147" s="76"/>
      <c r="C147" s="155"/>
      <c r="D147" s="72"/>
    </row>
    <row r="148" spans="1:9" ht="15.75" customHeight="1" x14ac:dyDescent="0.2">
      <c r="A148" s="76"/>
      <c r="C148" s="155"/>
      <c r="D148" s="72"/>
    </row>
    <row r="149" spans="1:9" ht="15.75" customHeight="1" x14ac:dyDescent="0.2">
      <c r="A149" s="76"/>
      <c r="C149" s="155"/>
      <c r="D149" s="72"/>
    </row>
    <row r="150" spans="1:9" ht="15.75" customHeight="1" x14ac:dyDescent="0.2">
      <c r="A150" s="76"/>
      <c r="C150" s="155"/>
      <c r="D150" s="72"/>
    </row>
    <row r="151" spans="1:9" ht="15.75" customHeight="1" x14ac:dyDescent="0.2">
      <c r="A151" s="76"/>
      <c r="C151" s="155"/>
      <c r="D151" s="72"/>
    </row>
    <row r="152" spans="1:9" ht="15.75" customHeight="1" x14ac:dyDescent="0.2">
      <c r="A152" s="76"/>
      <c r="C152" s="155"/>
      <c r="D152" s="72"/>
    </row>
    <row r="153" spans="1:9" ht="15.75" customHeight="1" x14ac:dyDescent="0.2">
      <c r="A153" s="76"/>
      <c r="C153" s="155"/>
      <c r="D153" s="72"/>
    </row>
    <row r="154" spans="1:9" ht="15.75" customHeight="1" x14ac:dyDescent="0.2">
      <c r="A154" s="76"/>
      <c r="C154" s="155"/>
      <c r="D154" s="72"/>
    </row>
    <row r="155" spans="1:9" ht="15.75" customHeight="1" x14ac:dyDescent="0.2">
      <c r="A155" s="76"/>
      <c r="C155" s="155"/>
      <c r="D155" s="72"/>
    </row>
    <row r="156" spans="1:9" ht="15.75" customHeight="1" x14ac:dyDescent="0.2">
      <c r="A156" s="76"/>
      <c r="C156" s="155"/>
      <c r="D156" s="72"/>
    </row>
    <row r="157" spans="1:9" ht="15.75" customHeight="1" x14ac:dyDescent="0.2">
      <c r="A157" s="76"/>
      <c r="C157" s="155"/>
      <c r="D157" s="72"/>
    </row>
    <row r="158" spans="1:9" ht="15.75" customHeight="1" x14ac:dyDescent="0.2">
      <c r="A158" s="76"/>
      <c r="C158" s="155"/>
      <c r="D158" s="72"/>
    </row>
    <row r="159" spans="1:9" ht="15.75" customHeight="1" x14ac:dyDescent="0.2">
      <c r="A159" s="76"/>
      <c r="C159" s="155"/>
      <c r="D159" s="72"/>
    </row>
    <row r="160" spans="1:9" ht="15.75" customHeight="1" x14ac:dyDescent="0.2">
      <c r="A160" s="76"/>
      <c r="C160" s="155"/>
      <c r="D160" s="72"/>
    </row>
    <row r="161" spans="3:4" ht="15.75" customHeight="1" x14ac:dyDescent="0.2">
      <c r="C161" s="155"/>
      <c r="D161" s="72"/>
    </row>
    <row r="162" spans="3:4" ht="15.75" customHeight="1" x14ac:dyDescent="0.2">
      <c r="C162" s="155"/>
      <c r="D162" s="72"/>
    </row>
    <row r="163" spans="3:4" ht="15.75" customHeight="1" x14ac:dyDescent="0.2">
      <c r="C163" s="155"/>
      <c r="D163" s="72"/>
    </row>
    <row r="164" spans="3:4" ht="15.75" customHeight="1" x14ac:dyDescent="0.2">
      <c r="C164" s="155"/>
      <c r="D164" s="72"/>
    </row>
    <row r="165" spans="3:4" ht="15.75" customHeight="1" x14ac:dyDescent="0.2">
      <c r="C165" s="155"/>
      <c r="D165" s="72"/>
    </row>
    <row r="166" spans="3:4" ht="15.75" customHeight="1" x14ac:dyDescent="0.2">
      <c r="C166" s="155"/>
      <c r="D166" s="72"/>
    </row>
    <row r="167" spans="3:4" ht="15.75" customHeight="1" x14ac:dyDescent="0.2">
      <c r="C167" s="155"/>
      <c r="D167" s="72"/>
    </row>
    <row r="168" spans="3:4" ht="15.75" customHeight="1" x14ac:dyDescent="0.2">
      <c r="C168" s="155"/>
      <c r="D168" s="72"/>
    </row>
    <row r="169" spans="3:4" ht="15.75" customHeight="1" x14ac:dyDescent="0.2">
      <c r="C169" s="155"/>
      <c r="D169" s="72"/>
    </row>
    <row r="170" spans="3:4" ht="15.75" customHeight="1" x14ac:dyDescent="0.2">
      <c r="C170" s="155"/>
      <c r="D170" s="72"/>
    </row>
    <row r="171" spans="3:4" ht="15.75" customHeight="1" x14ac:dyDescent="0.2">
      <c r="C171" s="155"/>
      <c r="D171" s="72"/>
    </row>
    <row r="172" spans="3:4" ht="15.75" customHeight="1" x14ac:dyDescent="0.2">
      <c r="C172" s="155"/>
      <c r="D172" s="72"/>
    </row>
    <row r="173" spans="3:4" ht="15.75" customHeight="1" x14ac:dyDescent="0.2">
      <c r="C173" s="155"/>
      <c r="D173" s="72"/>
    </row>
  </sheetData>
  <mergeCells count="2">
    <mergeCell ref="M2:N2"/>
    <mergeCell ref="M9:N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A3AB-2AC7-41FB-AC96-41894AEC4680}">
  <dimension ref="A1:P322"/>
  <sheetViews>
    <sheetView zoomScale="70" zoomScaleNormal="70" workbookViewId="0">
      <selection activeCell="B50" sqref="B50"/>
    </sheetView>
  </sheetViews>
  <sheetFormatPr defaultColWidth="62.140625" defaultRowHeight="12.75" x14ac:dyDescent="0.2"/>
  <cols>
    <col min="1" max="1" width="39.85546875" bestFit="1" customWidth="1"/>
    <col min="2" max="2" width="33.7109375" bestFit="1" customWidth="1"/>
    <col min="3" max="3" width="46" bestFit="1" customWidth="1"/>
    <col min="4" max="4" width="40.140625" bestFit="1" customWidth="1"/>
    <col min="5" max="5" width="61.5703125" bestFit="1" customWidth="1"/>
    <col min="6" max="6" width="58.42578125" bestFit="1" customWidth="1"/>
  </cols>
  <sheetData>
    <row r="1" spans="1:15" ht="18.75" thickBot="1" x14ac:dyDescent="0.3">
      <c r="A1" s="241" t="s">
        <v>426</v>
      </c>
      <c r="B1" s="242" t="s">
        <v>420</v>
      </c>
      <c r="C1" s="171"/>
      <c r="D1" s="171"/>
      <c r="E1" s="171"/>
      <c r="F1" s="172"/>
      <c r="G1" s="97"/>
      <c r="H1" s="97"/>
      <c r="I1" s="97"/>
      <c r="J1" s="97"/>
      <c r="K1" s="97"/>
      <c r="L1" s="97"/>
      <c r="M1" s="97"/>
      <c r="N1" s="97"/>
      <c r="O1" s="97"/>
    </row>
    <row r="2" spans="1:15" ht="42" thickBot="1" x14ac:dyDescent="0.85">
      <c r="A2" s="241" t="s">
        <v>424</v>
      </c>
      <c r="B2" s="242" t="s">
        <v>420</v>
      </c>
      <c r="C2" s="238" t="s">
        <v>430</v>
      </c>
      <c r="D2" s="239"/>
      <c r="E2" s="239"/>
      <c r="F2" s="240"/>
      <c r="G2" s="97"/>
      <c r="H2" s="97"/>
      <c r="I2" s="97"/>
      <c r="J2" s="97"/>
      <c r="K2" s="97"/>
      <c r="L2" s="97"/>
      <c r="M2" s="97"/>
      <c r="N2" s="97"/>
      <c r="O2" s="97"/>
    </row>
    <row r="3" spans="1:15" ht="18.75" thickBot="1" x14ac:dyDescent="0.3">
      <c r="A3" s="241" t="s">
        <v>425</v>
      </c>
      <c r="B3" s="242" t="s">
        <v>420</v>
      </c>
      <c r="C3" s="173"/>
      <c r="D3" s="173"/>
      <c r="E3" s="173"/>
      <c r="F3" s="174"/>
      <c r="G3" s="97"/>
      <c r="H3" s="97"/>
      <c r="I3" s="97"/>
      <c r="J3" s="97"/>
      <c r="K3" s="97"/>
      <c r="L3" s="97"/>
      <c r="M3" s="97"/>
      <c r="N3" s="97"/>
      <c r="O3" s="97"/>
    </row>
    <row r="4" spans="1:15" ht="18.75" thickBot="1" x14ac:dyDescent="0.3">
      <c r="A4" s="175"/>
      <c r="B4" s="173"/>
      <c r="C4" s="173"/>
      <c r="D4" s="173"/>
      <c r="E4" s="173"/>
      <c r="F4" s="174"/>
      <c r="G4" s="97"/>
      <c r="H4" s="97"/>
      <c r="I4" s="97"/>
      <c r="J4" s="97"/>
      <c r="K4" s="97"/>
      <c r="L4" s="97"/>
      <c r="M4" s="97"/>
      <c r="N4" s="97"/>
      <c r="O4" s="97"/>
    </row>
    <row r="5" spans="1:15" ht="23.25" thickBot="1" x14ac:dyDescent="0.5">
      <c r="A5" s="176" t="s">
        <v>16</v>
      </c>
      <c r="B5" s="177" t="s">
        <v>422</v>
      </c>
      <c r="C5" s="178" t="s">
        <v>423</v>
      </c>
      <c r="D5" s="179" t="s">
        <v>429</v>
      </c>
      <c r="E5" s="180" t="s">
        <v>427</v>
      </c>
      <c r="F5" s="181" t="s">
        <v>428</v>
      </c>
      <c r="G5" s="97"/>
      <c r="J5" s="97"/>
      <c r="K5" s="97"/>
      <c r="L5" s="97"/>
      <c r="M5" s="97"/>
      <c r="N5" s="97"/>
      <c r="O5" s="97"/>
    </row>
    <row r="6" spans="1:15" ht="18" x14ac:dyDescent="0.25">
      <c r="A6" s="243">
        <v>0</v>
      </c>
      <c r="B6" s="244">
        <v>98</v>
      </c>
      <c r="C6" s="245">
        <v>157.71704081632657</v>
      </c>
      <c r="D6" s="246">
        <v>2957.1428571428573</v>
      </c>
      <c r="E6" s="246">
        <v>160.37245918367347</v>
      </c>
      <c r="F6" s="247">
        <v>0.3313774285714286</v>
      </c>
      <c r="G6" s="97"/>
      <c r="J6" s="97"/>
      <c r="K6" s="97"/>
      <c r="L6" s="97"/>
      <c r="M6" s="97"/>
      <c r="N6" s="97"/>
      <c r="O6" s="97"/>
    </row>
    <row r="7" spans="1:15" ht="18" x14ac:dyDescent="0.25">
      <c r="A7" s="248">
        <v>1</v>
      </c>
      <c r="B7" s="249">
        <v>37</v>
      </c>
      <c r="C7" s="250">
        <v>156.50432432432424</v>
      </c>
      <c r="D7" s="251">
        <v>360212.75675675675</v>
      </c>
      <c r="E7" s="251">
        <v>381.74870270270276</v>
      </c>
      <c r="F7" s="252">
        <v>56.965052540540519</v>
      </c>
      <c r="G7" s="97"/>
      <c r="J7" s="97"/>
      <c r="K7" s="97"/>
      <c r="L7" s="97"/>
      <c r="M7" s="97"/>
      <c r="N7" s="97"/>
      <c r="O7" s="97"/>
    </row>
    <row r="8" spans="1:15" ht="18.75" thickBot="1" x14ac:dyDescent="0.3">
      <c r="A8" s="253">
        <v>2</v>
      </c>
      <c r="B8" s="249">
        <v>6</v>
      </c>
      <c r="C8" s="250">
        <v>117.00333333333333</v>
      </c>
      <c r="D8" s="251">
        <v>718436.66666666663</v>
      </c>
      <c r="E8" s="251">
        <v>352.7</v>
      </c>
      <c r="F8" s="252">
        <v>81.877474666666672</v>
      </c>
      <c r="G8" s="97"/>
      <c r="J8" s="97"/>
      <c r="K8" s="97"/>
      <c r="L8" s="97"/>
      <c r="M8" s="97"/>
      <c r="N8" s="97"/>
      <c r="O8" s="97"/>
    </row>
    <row r="9" spans="1:15" ht="21" thickBot="1" x14ac:dyDescent="0.35">
      <c r="A9" s="258" t="s">
        <v>421</v>
      </c>
      <c r="B9" s="254">
        <v>141</v>
      </c>
      <c r="C9" s="255">
        <v>155.66631205673755</v>
      </c>
      <c r="D9" s="256">
        <v>127151.00709219858</v>
      </c>
      <c r="E9" s="256">
        <v>226.64824822695027</v>
      </c>
      <c r="F9" s="257">
        <v>18.662743120567367</v>
      </c>
      <c r="G9" s="97"/>
      <c r="J9" s="97"/>
      <c r="K9" s="97"/>
      <c r="L9" s="97"/>
      <c r="M9" s="97"/>
      <c r="N9" s="97"/>
      <c r="O9" s="97"/>
    </row>
    <row r="10" spans="1:15" ht="18.75" thickBot="1" x14ac:dyDescent="0.3">
      <c r="A10" s="175"/>
      <c r="B10" s="173"/>
      <c r="C10" s="173"/>
      <c r="D10" s="173"/>
      <c r="E10" s="173"/>
      <c r="F10" s="174"/>
      <c r="G10" s="97"/>
      <c r="J10" s="97"/>
      <c r="K10" s="97"/>
      <c r="L10" s="97"/>
      <c r="M10" s="97"/>
      <c r="N10" s="97"/>
      <c r="O10" s="97"/>
    </row>
    <row r="11" spans="1:15" ht="18.75" thickBot="1" x14ac:dyDescent="0.3">
      <c r="A11" s="241" t="s">
        <v>426</v>
      </c>
      <c r="B11" s="242" t="s">
        <v>420</v>
      </c>
      <c r="C11" s="173"/>
      <c r="D11" s="173"/>
      <c r="E11" s="173"/>
      <c r="F11" s="174"/>
      <c r="G11" s="97"/>
      <c r="J11" s="97"/>
      <c r="K11" s="97"/>
      <c r="L11" s="97"/>
      <c r="M11" s="97"/>
      <c r="N11" s="97"/>
      <c r="O11" s="97"/>
    </row>
    <row r="12" spans="1:15" ht="42" thickBot="1" x14ac:dyDescent="0.85">
      <c r="A12" s="241" t="s">
        <v>424</v>
      </c>
      <c r="B12" s="242" t="s">
        <v>420</v>
      </c>
      <c r="C12" s="236" t="s">
        <v>431</v>
      </c>
      <c r="D12" s="236"/>
      <c r="E12" s="236"/>
      <c r="F12" s="237"/>
      <c r="G12" s="97"/>
      <c r="J12" s="97"/>
      <c r="K12" s="97"/>
      <c r="L12" s="97"/>
      <c r="M12" s="97"/>
      <c r="N12" s="97"/>
      <c r="O12" s="97"/>
    </row>
    <row r="13" spans="1:15" ht="18.75" thickBot="1" x14ac:dyDescent="0.3">
      <c r="A13" s="241" t="s">
        <v>425</v>
      </c>
      <c r="B13" s="242" t="s">
        <v>420</v>
      </c>
      <c r="C13" s="173"/>
      <c r="D13" s="173"/>
      <c r="E13" s="173"/>
      <c r="F13" s="174"/>
      <c r="G13" s="97"/>
      <c r="J13" s="97"/>
      <c r="K13" s="97"/>
      <c r="L13" s="97"/>
      <c r="M13" s="97"/>
      <c r="N13" s="97"/>
      <c r="O13" s="97"/>
    </row>
    <row r="14" spans="1:15" ht="18.75" thickBot="1" x14ac:dyDescent="0.3">
      <c r="A14" s="175"/>
      <c r="B14" s="173"/>
      <c r="C14" s="173"/>
      <c r="D14" s="173"/>
      <c r="E14" s="173"/>
      <c r="F14" s="174"/>
      <c r="G14" s="97"/>
      <c r="J14" s="97"/>
      <c r="K14" s="97"/>
      <c r="L14" s="97"/>
      <c r="M14" s="97"/>
      <c r="N14" s="97"/>
      <c r="O14" s="97"/>
    </row>
    <row r="15" spans="1:15" ht="23.25" thickBot="1" x14ac:dyDescent="0.5">
      <c r="A15" s="176" t="s">
        <v>16</v>
      </c>
      <c r="B15" s="177" t="s">
        <v>422</v>
      </c>
      <c r="C15" s="178" t="s">
        <v>423</v>
      </c>
      <c r="D15" s="179" t="s">
        <v>429</v>
      </c>
      <c r="E15" s="180" t="s">
        <v>427</v>
      </c>
      <c r="F15" s="181" t="s">
        <v>428</v>
      </c>
      <c r="G15" s="97"/>
      <c r="J15" s="97"/>
      <c r="K15" s="97"/>
      <c r="L15" s="97"/>
      <c r="M15" s="97"/>
      <c r="N15" s="97"/>
      <c r="O15" s="97"/>
    </row>
    <row r="16" spans="1:15" ht="18" x14ac:dyDescent="0.25">
      <c r="A16" s="243">
        <v>0</v>
      </c>
      <c r="B16" s="244">
        <v>98</v>
      </c>
      <c r="C16" s="245">
        <v>157.71704081632657</v>
      </c>
      <c r="D16" s="246">
        <v>2957.1428571428573</v>
      </c>
      <c r="E16" s="246">
        <v>160.37245918367347</v>
      </c>
      <c r="F16" s="247">
        <v>0.3313774285714286</v>
      </c>
      <c r="G16" s="97"/>
      <c r="J16" s="97"/>
      <c r="K16" s="97"/>
      <c r="L16" s="97"/>
      <c r="M16" s="97"/>
      <c r="N16" s="97"/>
      <c r="O16" s="97"/>
    </row>
    <row r="17" spans="1:16" ht="18" x14ac:dyDescent="0.25">
      <c r="A17" s="248">
        <v>1</v>
      </c>
      <c r="B17" s="249">
        <v>37</v>
      </c>
      <c r="C17" s="250">
        <v>156.50432432432424</v>
      </c>
      <c r="D17" s="251">
        <v>360212.75675675675</v>
      </c>
      <c r="E17" s="251">
        <v>381.74870270270276</v>
      </c>
      <c r="F17" s="252">
        <v>56.965052540540519</v>
      </c>
      <c r="G17" s="97"/>
      <c r="J17" s="97"/>
      <c r="K17" s="97"/>
      <c r="L17" s="97"/>
      <c r="M17" s="97"/>
      <c r="N17" s="97"/>
      <c r="O17" s="97"/>
    </row>
    <row r="18" spans="1:16" ht="18.75" thickBot="1" x14ac:dyDescent="0.3">
      <c r="A18" s="253">
        <v>2</v>
      </c>
      <c r="B18" s="249">
        <v>6</v>
      </c>
      <c r="C18" s="250">
        <v>117.00333333333333</v>
      </c>
      <c r="D18" s="251">
        <v>718436.66666666663</v>
      </c>
      <c r="E18" s="251">
        <v>352.7</v>
      </c>
      <c r="F18" s="252">
        <v>81.877474666666672</v>
      </c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1:16" ht="21" thickBot="1" x14ac:dyDescent="0.35">
      <c r="A19" s="258" t="s">
        <v>421</v>
      </c>
      <c r="B19" s="254">
        <v>141</v>
      </c>
      <c r="C19" s="255">
        <v>155.66631205673755</v>
      </c>
      <c r="D19" s="256">
        <v>127151.00709219858</v>
      </c>
      <c r="E19" s="256">
        <v>226.64824822695027</v>
      </c>
      <c r="F19" s="257">
        <v>18.662743120567367</v>
      </c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1:16" ht="18" x14ac:dyDescent="0.25">
      <c r="A20" s="182"/>
      <c r="B20" s="183"/>
      <c r="C20" s="183"/>
      <c r="D20" s="184"/>
      <c r="E20" s="184"/>
      <c r="F20" s="185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1:16" ht="18.75" thickBot="1" x14ac:dyDescent="0.3">
      <c r="A21" s="186" t="s">
        <v>432</v>
      </c>
      <c r="B21" s="187"/>
      <c r="C21" s="187"/>
      <c r="D21" s="187"/>
      <c r="E21" s="187"/>
      <c r="F21" s="188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6" x14ac:dyDescent="0.2">
      <c r="A22" s="97"/>
      <c r="B22" s="170"/>
      <c r="C22" s="10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1:16" x14ac:dyDescent="0.2">
      <c r="A23" s="97"/>
      <c r="B23" s="97"/>
      <c r="C23" s="97"/>
      <c r="D23" s="235" t="s">
        <v>274</v>
      </c>
      <c r="E23" s="235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1:16" x14ac:dyDescent="0.2">
      <c r="B24" s="97"/>
      <c r="C24" s="97"/>
      <c r="D24" s="161" t="s">
        <v>272</v>
      </c>
      <c r="E24" s="161" t="s">
        <v>273</v>
      </c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1:16" x14ac:dyDescent="0.2">
      <c r="A25" s="97"/>
      <c r="B25" s="97"/>
      <c r="C25" s="97"/>
      <c r="D25" s="78">
        <v>0</v>
      </c>
      <c r="E25" s="78" t="s">
        <v>35</v>
      </c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1:16" x14ac:dyDescent="0.2">
      <c r="A26" s="97"/>
      <c r="B26" s="97"/>
      <c r="C26" s="97"/>
      <c r="D26" s="78">
        <v>1</v>
      </c>
      <c r="E26" s="78" t="s">
        <v>275</v>
      </c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1:16" x14ac:dyDescent="0.2">
      <c r="A27" s="97"/>
      <c r="B27" s="97"/>
      <c r="C27" s="97"/>
      <c r="D27" s="78">
        <v>2</v>
      </c>
      <c r="E27" s="78" t="s">
        <v>276</v>
      </c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1:16" x14ac:dyDescent="0.2">
      <c r="A28" s="97"/>
      <c r="B28" s="97"/>
      <c r="C28" s="97"/>
      <c r="D28" s="78" t="s">
        <v>277</v>
      </c>
      <c r="E28" s="78" t="s">
        <v>278</v>
      </c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1:16" x14ac:dyDescent="0.2">
      <c r="A29" s="97"/>
      <c r="B29" s="97"/>
      <c r="C29" s="97"/>
      <c r="D29" s="86"/>
      <c r="E29" s="86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1:16" x14ac:dyDescent="0.2">
      <c r="A30" s="97"/>
      <c r="B30" s="97"/>
      <c r="C30" s="97"/>
      <c r="D30" s="235" t="s">
        <v>279</v>
      </c>
      <c r="E30" s="235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1:16" x14ac:dyDescent="0.2">
      <c r="A31" s="97"/>
      <c r="B31" s="97"/>
      <c r="C31" s="97"/>
      <c r="D31" s="161" t="s">
        <v>16</v>
      </c>
      <c r="E31" s="161" t="s">
        <v>273</v>
      </c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</row>
    <row r="32" spans="1:16" x14ac:dyDescent="0.2">
      <c r="A32" s="97"/>
      <c r="B32" s="97"/>
      <c r="C32" s="97"/>
      <c r="D32" s="115">
        <v>0</v>
      </c>
      <c r="E32" s="78" t="s">
        <v>77</v>
      </c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1:16" x14ac:dyDescent="0.2">
      <c r="A33" s="97"/>
      <c r="B33" s="97"/>
      <c r="C33" s="97"/>
      <c r="D33" s="112">
        <v>1</v>
      </c>
      <c r="E33" s="78" t="s">
        <v>280</v>
      </c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</row>
    <row r="34" spans="1:16" x14ac:dyDescent="0.2">
      <c r="A34" s="97"/>
      <c r="B34" s="97"/>
      <c r="C34" s="97"/>
      <c r="D34" s="189">
        <v>2</v>
      </c>
      <c r="E34" s="78" t="s">
        <v>281</v>
      </c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</row>
    <row r="35" spans="1:16" x14ac:dyDescent="0.2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 spans="1:16" x14ac:dyDescent="0.2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</row>
    <row r="37" spans="1:16" x14ac:dyDescent="0.2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1:16" x14ac:dyDescent="0.2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 spans="1:16" x14ac:dyDescent="0.2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 spans="1:16" x14ac:dyDescent="0.2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1:16" x14ac:dyDescent="0.2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 spans="1:16" x14ac:dyDescent="0.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</row>
    <row r="43" spans="1:16" x14ac:dyDescent="0.2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1:16" x14ac:dyDescent="0.2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1:16" x14ac:dyDescent="0.2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1:16" x14ac:dyDescent="0.2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1:16" x14ac:dyDescent="0.2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1:16" x14ac:dyDescent="0.2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1:16" x14ac:dyDescent="0.2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1:16" x14ac:dyDescent="0.2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1:16" x14ac:dyDescent="0.2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1:16" x14ac:dyDescent="0.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1:16" x14ac:dyDescent="0.2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1:16" x14ac:dyDescent="0.2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1:16" x14ac:dyDescent="0.2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1:16" x14ac:dyDescent="0.2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1:16" x14ac:dyDescent="0.2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1:16" x14ac:dyDescent="0.2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1:16" x14ac:dyDescent="0.2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1:16" x14ac:dyDescent="0.2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1:16" x14ac:dyDescent="0.2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1:16" x14ac:dyDescent="0.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1:16" x14ac:dyDescent="0.2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1:16" x14ac:dyDescent="0.2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1:16" x14ac:dyDescent="0.2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1:16" x14ac:dyDescent="0.2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1:16" x14ac:dyDescent="0.2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1:16" x14ac:dyDescent="0.2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1:16" x14ac:dyDescent="0.2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1:16" x14ac:dyDescent="0.2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1:16" x14ac:dyDescent="0.2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1:16" x14ac:dyDescent="0.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1:16" x14ac:dyDescent="0.2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1:16" x14ac:dyDescent="0.2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1:16" x14ac:dyDescent="0.2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1:16" x14ac:dyDescent="0.2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1:16" x14ac:dyDescent="0.2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1:16" x14ac:dyDescent="0.2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1:16" x14ac:dyDescent="0.2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1:16" x14ac:dyDescent="0.2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1:16" x14ac:dyDescent="0.2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1:16" x14ac:dyDescent="0.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1:16" x14ac:dyDescent="0.2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1:16" x14ac:dyDescent="0.2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1:16" x14ac:dyDescent="0.2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1:16" x14ac:dyDescent="0.2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1:16" x14ac:dyDescent="0.2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1:16" x14ac:dyDescent="0.2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1:16" x14ac:dyDescent="0.2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1:16" x14ac:dyDescent="0.2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1:16" x14ac:dyDescent="0.2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1:16" x14ac:dyDescent="0.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1:16" x14ac:dyDescent="0.2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1:16" x14ac:dyDescent="0.2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1:16" x14ac:dyDescent="0.2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1:16" x14ac:dyDescent="0.2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1:16" x14ac:dyDescent="0.2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1:16" x14ac:dyDescent="0.2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1:16" x14ac:dyDescent="0.2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1:16" x14ac:dyDescent="0.2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1:16" x14ac:dyDescent="0.2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1:16" x14ac:dyDescent="0.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1:16" x14ac:dyDescent="0.2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1:16" x14ac:dyDescent="0.2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1:16" x14ac:dyDescent="0.2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1:16" x14ac:dyDescent="0.2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1:16" x14ac:dyDescent="0.2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1:16" x14ac:dyDescent="0.2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1:16" x14ac:dyDescent="0.2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1:16" x14ac:dyDescent="0.2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</row>
    <row r="111" spans="1:16" x14ac:dyDescent="0.2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</row>
    <row r="112" spans="1:16" x14ac:dyDescent="0.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</row>
    <row r="113" spans="1:16" x14ac:dyDescent="0.2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</row>
    <row r="114" spans="1:16" x14ac:dyDescent="0.2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</row>
    <row r="115" spans="1:16" x14ac:dyDescent="0.2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</row>
    <row r="116" spans="1:16" x14ac:dyDescent="0.2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</row>
    <row r="117" spans="1:16" x14ac:dyDescent="0.2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</row>
    <row r="118" spans="1:16" x14ac:dyDescent="0.2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</row>
    <row r="119" spans="1:16" x14ac:dyDescent="0.2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</row>
    <row r="120" spans="1:16" x14ac:dyDescent="0.2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</row>
    <row r="121" spans="1:16" x14ac:dyDescent="0.2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</row>
    <row r="122" spans="1:16" x14ac:dyDescent="0.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</row>
    <row r="123" spans="1:16" x14ac:dyDescent="0.2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</row>
    <row r="124" spans="1:16" x14ac:dyDescent="0.2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</row>
    <row r="125" spans="1:16" x14ac:dyDescent="0.2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</row>
    <row r="126" spans="1:16" x14ac:dyDescent="0.2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</row>
    <row r="127" spans="1:16" x14ac:dyDescent="0.2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</row>
    <row r="128" spans="1:16" x14ac:dyDescent="0.2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</row>
    <row r="129" spans="1:16" x14ac:dyDescent="0.2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</row>
    <row r="130" spans="1:16" x14ac:dyDescent="0.2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</row>
    <row r="131" spans="1:16" x14ac:dyDescent="0.2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</row>
    <row r="132" spans="1:16" x14ac:dyDescent="0.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</row>
    <row r="133" spans="1:16" x14ac:dyDescent="0.2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</row>
    <row r="134" spans="1:16" x14ac:dyDescent="0.2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</row>
    <row r="135" spans="1:16" x14ac:dyDescent="0.2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</row>
    <row r="136" spans="1:16" x14ac:dyDescent="0.2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</row>
    <row r="137" spans="1:16" x14ac:dyDescent="0.2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</row>
    <row r="138" spans="1:16" x14ac:dyDescent="0.2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</row>
    <row r="139" spans="1:16" x14ac:dyDescent="0.2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</row>
    <row r="140" spans="1:16" x14ac:dyDescent="0.2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</row>
    <row r="141" spans="1:16" x14ac:dyDescent="0.2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</row>
    <row r="142" spans="1:16" x14ac:dyDescent="0.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</row>
    <row r="143" spans="1:16" x14ac:dyDescent="0.2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</row>
    <row r="144" spans="1:16" x14ac:dyDescent="0.2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</row>
    <row r="145" spans="1:16" x14ac:dyDescent="0.2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</row>
    <row r="146" spans="1:16" x14ac:dyDescent="0.2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</row>
    <row r="147" spans="1:16" x14ac:dyDescent="0.2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</row>
    <row r="148" spans="1:16" x14ac:dyDescent="0.2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</row>
    <row r="149" spans="1:16" x14ac:dyDescent="0.2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</row>
    <row r="150" spans="1:16" x14ac:dyDescent="0.2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</row>
    <row r="151" spans="1:16" x14ac:dyDescent="0.2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</row>
    <row r="152" spans="1:16" x14ac:dyDescent="0.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</row>
    <row r="153" spans="1:16" x14ac:dyDescent="0.2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</row>
    <row r="154" spans="1:16" x14ac:dyDescent="0.2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</row>
    <row r="155" spans="1:16" x14ac:dyDescent="0.2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</row>
    <row r="156" spans="1:16" x14ac:dyDescent="0.2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</row>
    <row r="157" spans="1:16" x14ac:dyDescent="0.2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</row>
    <row r="158" spans="1:16" x14ac:dyDescent="0.2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</row>
    <row r="159" spans="1:16" x14ac:dyDescent="0.2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</row>
    <row r="160" spans="1:16" x14ac:dyDescent="0.2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</row>
    <row r="161" spans="1:16" x14ac:dyDescent="0.2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</row>
    <row r="162" spans="1:16" x14ac:dyDescent="0.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</row>
    <row r="163" spans="1:16" x14ac:dyDescent="0.2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</row>
    <row r="164" spans="1:16" x14ac:dyDescent="0.2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</row>
    <row r="165" spans="1:16" x14ac:dyDescent="0.2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</row>
    <row r="166" spans="1:16" x14ac:dyDescent="0.2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</row>
    <row r="167" spans="1:16" x14ac:dyDescent="0.2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</row>
    <row r="168" spans="1:16" x14ac:dyDescent="0.2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</row>
    <row r="169" spans="1:16" x14ac:dyDescent="0.2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</row>
    <row r="170" spans="1:16" x14ac:dyDescent="0.2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</row>
    <row r="171" spans="1:16" x14ac:dyDescent="0.2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</row>
    <row r="172" spans="1:16" x14ac:dyDescent="0.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</row>
    <row r="173" spans="1:16" x14ac:dyDescent="0.2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</row>
    <row r="174" spans="1:16" x14ac:dyDescent="0.2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</row>
    <row r="175" spans="1:16" x14ac:dyDescent="0.2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</row>
    <row r="176" spans="1:16" x14ac:dyDescent="0.2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</row>
    <row r="177" spans="1:16" x14ac:dyDescent="0.2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</row>
    <row r="178" spans="1:16" x14ac:dyDescent="0.2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</row>
    <row r="179" spans="1:16" x14ac:dyDescent="0.2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</row>
    <row r="180" spans="1:16" x14ac:dyDescent="0.2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</row>
    <row r="181" spans="1:16" x14ac:dyDescent="0.2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</row>
    <row r="182" spans="1:16" x14ac:dyDescent="0.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</row>
    <row r="183" spans="1:16" x14ac:dyDescent="0.2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</row>
    <row r="184" spans="1:16" x14ac:dyDescent="0.2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</row>
    <row r="185" spans="1:16" x14ac:dyDescent="0.2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</row>
    <row r="186" spans="1:16" x14ac:dyDescent="0.2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</row>
    <row r="187" spans="1:16" x14ac:dyDescent="0.2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</row>
    <row r="188" spans="1:16" x14ac:dyDescent="0.2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</row>
    <row r="189" spans="1:16" x14ac:dyDescent="0.2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</row>
    <row r="190" spans="1:16" x14ac:dyDescent="0.2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</row>
    <row r="191" spans="1:16" x14ac:dyDescent="0.2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</row>
    <row r="192" spans="1:16" x14ac:dyDescent="0.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</row>
    <row r="193" spans="1:16" x14ac:dyDescent="0.2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</row>
    <row r="194" spans="1:16" x14ac:dyDescent="0.2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</row>
    <row r="195" spans="1:16" x14ac:dyDescent="0.2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</row>
    <row r="196" spans="1:16" x14ac:dyDescent="0.2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</row>
    <row r="197" spans="1:16" x14ac:dyDescent="0.2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</row>
    <row r="198" spans="1:16" x14ac:dyDescent="0.2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</row>
    <row r="199" spans="1:16" x14ac:dyDescent="0.2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</row>
    <row r="200" spans="1:16" x14ac:dyDescent="0.2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</row>
    <row r="201" spans="1:16" x14ac:dyDescent="0.2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</row>
    <row r="202" spans="1:16" x14ac:dyDescent="0.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</row>
    <row r="203" spans="1:16" x14ac:dyDescent="0.2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</row>
    <row r="204" spans="1:16" x14ac:dyDescent="0.2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</row>
    <row r="205" spans="1:16" x14ac:dyDescent="0.2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</row>
    <row r="206" spans="1:16" x14ac:dyDescent="0.2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</row>
    <row r="207" spans="1:16" x14ac:dyDescent="0.2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</row>
    <row r="208" spans="1:16" x14ac:dyDescent="0.2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</row>
    <row r="209" spans="1:16" x14ac:dyDescent="0.2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</row>
    <row r="210" spans="1:16" x14ac:dyDescent="0.2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</row>
    <row r="211" spans="1:16" x14ac:dyDescent="0.2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</row>
    <row r="212" spans="1:16" x14ac:dyDescent="0.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</row>
    <row r="213" spans="1:16" x14ac:dyDescent="0.2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</row>
    <row r="214" spans="1:16" x14ac:dyDescent="0.2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</row>
    <row r="215" spans="1:16" x14ac:dyDescent="0.2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</row>
    <row r="216" spans="1:16" x14ac:dyDescent="0.2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</row>
    <row r="217" spans="1:16" x14ac:dyDescent="0.2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</row>
    <row r="218" spans="1:16" x14ac:dyDescent="0.2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</row>
    <row r="219" spans="1:16" x14ac:dyDescent="0.2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</row>
    <row r="220" spans="1:16" x14ac:dyDescent="0.2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</row>
    <row r="221" spans="1:16" x14ac:dyDescent="0.2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</row>
    <row r="222" spans="1:16" x14ac:dyDescent="0.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</row>
    <row r="223" spans="1:16" x14ac:dyDescent="0.2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</row>
    <row r="224" spans="1:16" x14ac:dyDescent="0.2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</row>
    <row r="225" spans="1:16" x14ac:dyDescent="0.2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</row>
    <row r="226" spans="1:16" x14ac:dyDescent="0.2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</row>
    <row r="227" spans="1:16" x14ac:dyDescent="0.2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</row>
    <row r="228" spans="1:16" x14ac:dyDescent="0.2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</row>
    <row r="229" spans="1:16" x14ac:dyDescent="0.2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</row>
    <row r="230" spans="1:16" x14ac:dyDescent="0.2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</row>
    <row r="231" spans="1:16" x14ac:dyDescent="0.2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</row>
    <row r="232" spans="1:16" x14ac:dyDescent="0.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</row>
    <row r="233" spans="1:16" x14ac:dyDescent="0.2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</row>
    <row r="234" spans="1:16" x14ac:dyDescent="0.2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</row>
    <row r="235" spans="1:16" x14ac:dyDescent="0.2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</row>
    <row r="236" spans="1:16" x14ac:dyDescent="0.2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</row>
    <row r="237" spans="1:16" x14ac:dyDescent="0.2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</row>
    <row r="238" spans="1:16" x14ac:dyDescent="0.2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</row>
    <row r="239" spans="1:16" x14ac:dyDescent="0.2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</row>
    <row r="240" spans="1:16" x14ac:dyDescent="0.2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</row>
    <row r="241" spans="1:16" x14ac:dyDescent="0.2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</row>
    <row r="242" spans="1:16" x14ac:dyDescent="0.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</row>
    <row r="243" spans="1:16" x14ac:dyDescent="0.2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</row>
    <row r="244" spans="1:16" x14ac:dyDescent="0.2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</row>
    <row r="245" spans="1:16" x14ac:dyDescent="0.2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</row>
    <row r="246" spans="1:16" x14ac:dyDescent="0.2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</row>
    <row r="247" spans="1:16" x14ac:dyDescent="0.2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</row>
    <row r="248" spans="1:16" x14ac:dyDescent="0.2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</row>
    <row r="249" spans="1:16" x14ac:dyDescent="0.2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</row>
    <row r="250" spans="1:16" x14ac:dyDescent="0.2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</row>
    <row r="251" spans="1:16" x14ac:dyDescent="0.2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</row>
    <row r="252" spans="1:16" x14ac:dyDescent="0.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</row>
    <row r="253" spans="1:16" x14ac:dyDescent="0.2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</row>
    <row r="254" spans="1:16" x14ac:dyDescent="0.2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</row>
    <row r="255" spans="1:16" x14ac:dyDescent="0.2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</row>
    <row r="256" spans="1:16" x14ac:dyDescent="0.2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</row>
    <row r="257" spans="1:16" x14ac:dyDescent="0.2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</row>
    <row r="258" spans="1:16" x14ac:dyDescent="0.2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</row>
    <row r="259" spans="1:16" x14ac:dyDescent="0.2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</row>
    <row r="260" spans="1:16" x14ac:dyDescent="0.2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</row>
    <row r="261" spans="1:16" x14ac:dyDescent="0.2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</row>
    <row r="262" spans="1:16" x14ac:dyDescent="0.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</row>
    <row r="263" spans="1:16" x14ac:dyDescent="0.2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</row>
    <row r="264" spans="1:16" x14ac:dyDescent="0.2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</row>
    <row r="265" spans="1:16" x14ac:dyDescent="0.2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</row>
    <row r="266" spans="1:16" x14ac:dyDescent="0.2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</row>
    <row r="267" spans="1:16" x14ac:dyDescent="0.2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</row>
    <row r="268" spans="1:16" x14ac:dyDescent="0.2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</row>
    <row r="269" spans="1:16" x14ac:dyDescent="0.2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</row>
    <row r="270" spans="1:16" x14ac:dyDescent="0.2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</row>
    <row r="271" spans="1:16" x14ac:dyDescent="0.2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</row>
    <row r="272" spans="1:16" x14ac:dyDescent="0.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</row>
    <row r="273" spans="1:16" x14ac:dyDescent="0.2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</row>
    <row r="274" spans="1:16" x14ac:dyDescent="0.2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</row>
    <row r="275" spans="1:16" x14ac:dyDescent="0.2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</row>
    <row r="276" spans="1:16" x14ac:dyDescent="0.2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</row>
    <row r="277" spans="1:16" x14ac:dyDescent="0.2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</row>
    <row r="278" spans="1:16" x14ac:dyDescent="0.2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</row>
    <row r="279" spans="1:16" x14ac:dyDescent="0.2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</row>
    <row r="280" spans="1:16" x14ac:dyDescent="0.2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</row>
    <row r="281" spans="1:16" x14ac:dyDescent="0.2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</row>
    <row r="282" spans="1:16" x14ac:dyDescent="0.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</row>
    <row r="283" spans="1:16" x14ac:dyDescent="0.2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</row>
    <row r="284" spans="1:16" x14ac:dyDescent="0.2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</row>
    <row r="285" spans="1:16" x14ac:dyDescent="0.2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</row>
    <row r="286" spans="1:16" x14ac:dyDescent="0.2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</row>
    <row r="287" spans="1:16" x14ac:dyDescent="0.2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</row>
    <row r="288" spans="1:16" x14ac:dyDescent="0.2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</row>
    <row r="289" spans="1:16" x14ac:dyDescent="0.2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</row>
    <row r="290" spans="1:16" x14ac:dyDescent="0.2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</row>
    <row r="291" spans="1:16" x14ac:dyDescent="0.2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</row>
    <row r="292" spans="1:16" x14ac:dyDescent="0.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</row>
    <row r="293" spans="1:16" x14ac:dyDescent="0.2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</row>
    <row r="294" spans="1:16" x14ac:dyDescent="0.2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</row>
    <row r="295" spans="1:16" x14ac:dyDescent="0.2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</row>
    <row r="296" spans="1:16" x14ac:dyDescent="0.2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</row>
    <row r="297" spans="1:16" x14ac:dyDescent="0.2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</row>
    <row r="298" spans="1:16" x14ac:dyDescent="0.2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</row>
    <row r="299" spans="1:16" x14ac:dyDescent="0.2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</row>
    <row r="300" spans="1:16" x14ac:dyDescent="0.2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</row>
    <row r="301" spans="1:16" x14ac:dyDescent="0.2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</row>
    <row r="302" spans="1:16" x14ac:dyDescent="0.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</row>
    <row r="303" spans="1:16" x14ac:dyDescent="0.2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</row>
    <row r="304" spans="1:16" x14ac:dyDescent="0.2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</row>
    <row r="305" spans="1:16" x14ac:dyDescent="0.2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</row>
    <row r="306" spans="1:16" x14ac:dyDescent="0.2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</row>
    <row r="307" spans="1:16" x14ac:dyDescent="0.2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</row>
    <row r="308" spans="1:16" x14ac:dyDescent="0.2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</row>
    <row r="309" spans="1:16" x14ac:dyDescent="0.2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</row>
    <row r="310" spans="1:16" x14ac:dyDescent="0.2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</row>
    <row r="311" spans="1:16" x14ac:dyDescent="0.2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</row>
    <row r="312" spans="1:16" x14ac:dyDescent="0.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</row>
    <row r="313" spans="1:16" x14ac:dyDescent="0.2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</row>
    <row r="314" spans="1:16" x14ac:dyDescent="0.2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</row>
    <row r="315" spans="1:16" x14ac:dyDescent="0.2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</row>
    <row r="316" spans="1:16" x14ac:dyDescent="0.2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</row>
    <row r="317" spans="1:16" x14ac:dyDescent="0.2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</row>
    <row r="318" spans="1:16" x14ac:dyDescent="0.2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</row>
    <row r="319" spans="1:16" x14ac:dyDescent="0.2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</row>
    <row r="320" spans="1:16" x14ac:dyDescent="0.2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</row>
    <row r="321" spans="1:16" x14ac:dyDescent="0.2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</row>
    <row r="322" spans="1:16" x14ac:dyDescent="0.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</row>
  </sheetData>
  <mergeCells count="4">
    <mergeCell ref="D23:E23"/>
    <mergeCell ref="D30:E30"/>
    <mergeCell ref="C12:F12"/>
    <mergeCell ref="C2:F2"/>
  </mergeCells>
  <conditionalFormatting pivot="1" sqref="B6:B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:C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6:D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6:E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6:F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6:B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6:C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6:D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16:E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16:F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5DED-ACE1-48C5-9DD7-62A899B36742}">
  <dimension ref="A1:E9"/>
  <sheetViews>
    <sheetView workbookViewId="0">
      <selection activeCell="C18" sqref="C18"/>
    </sheetView>
  </sheetViews>
  <sheetFormatPr defaultRowHeight="12.75" x14ac:dyDescent="0.2"/>
  <cols>
    <col min="1" max="1" width="29.140625" customWidth="1"/>
    <col min="2" max="2" width="34.5703125" bestFit="1" customWidth="1"/>
    <col min="3" max="3" width="42" customWidth="1"/>
    <col min="4" max="4" width="39.28515625" customWidth="1"/>
    <col min="5" max="5" width="43.140625" bestFit="1" customWidth="1"/>
  </cols>
  <sheetData>
    <row r="1" spans="1:5" ht="18.75" x14ac:dyDescent="0.25">
      <c r="A1" s="259" t="s">
        <v>260</v>
      </c>
      <c r="B1" s="260" t="s">
        <v>436</v>
      </c>
      <c r="C1" s="259" t="s">
        <v>439</v>
      </c>
      <c r="D1" s="259" t="s">
        <v>437</v>
      </c>
      <c r="E1" s="259" t="s">
        <v>428</v>
      </c>
    </row>
    <row r="2" spans="1:5" ht="15.75" x14ac:dyDescent="0.25">
      <c r="A2" s="261" t="s">
        <v>433</v>
      </c>
      <c r="B2" s="262">
        <f>SUMIF(основная_таблица!A2:A142,основная_таблица!A2,основная_таблица!D2:D142) / COUNTIF(основная_таблица!A2:A142,основная_таблица!A2)</f>
        <v>2.68</v>
      </c>
      <c r="C2" s="263">
        <f>SUMIF(основная_таблица!A2:A142,основная_таблица!A2,основная_таблица!E2:E142) / COUNTIF(основная_таблица!A2:A142,основная_таблица!A2)</f>
        <v>149.89960000000008</v>
      </c>
      <c r="D2" s="264">
        <f>SUMIF(основная_таблица!F2:F51,"&gt;0",основная_таблица!G2:G51) / COUNTIF(основная_таблица!G2:G51,"&gt;0")</f>
        <v>3054.7419354838707</v>
      </c>
      <c r="E2" s="264">
        <f>SUMIF(основная_таблица!H2:H51,"&gt;0",основная_таблица!H2:H51) / COUNTIF(основная_таблица!H2:H51,"&gt;0")</f>
        <v>65.194076999999993</v>
      </c>
    </row>
    <row r="3" spans="1:5" ht="15.75" x14ac:dyDescent="0.25">
      <c r="A3" s="261" t="s">
        <v>434</v>
      </c>
      <c r="B3" s="262">
        <f>SUMIF(основная_таблица!A2:A142,основная_таблица!A52,основная_таблица!D2:D142)/COUNTIF(основная_таблица!A2:A142,основная_таблица!A58)</f>
        <v>2.7291666666666665</v>
      </c>
      <c r="C3" s="263">
        <f>SUMIF(основная_таблица!A3:A143,основная_таблица!A3,основная_таблица!E3:E143) / COUNTIF(основная_таблица!A3:A143,основная_таблица!A3)</f>
        <v>149.69979591836741</v>
      </c>
      <c r="D3" s="264">
        <f>SUMIF(основная_таблица!G52:G99,"&gt;0",основная_таблица!G52:G99) / COUNTIF(основная_таблица!F3:F52,"&gt;0")</f>
        <v>2357.4516129032259</v>
      </c>
      <c r="E3" s="264">
        <f>SUMIF(основная_таблица!H52:H99,"&gt;0",основная_таблица!H52:H99) / COUNTIF(основная_таблица!H3:H52,"&gt;0")</f>
        <v>58.168875125000007</v>
      </c>
    </row>
    <row r="4" spans="1:5" ht="15.75" x14ac:dyDescent="0.25">
      <c r="A4" s="261" t="s">
        <v>435</v>
      </c>
      <c r="B4" s="262">
        <f>SUMIF(основная_таблица!A2:A142,основная_таблица!A104,основная_таблица!D2:D142) / COUNTIF(основная_таблица!A2:A142,основная_таблица!A111)</f>
        <v>2.7209302325581395</v>
      </c>
      <c r="C4" s="263">
        <f>SUMIF(основная_таблица!A4:A144,основная_таблица!A4,основная_таблица!E4:E144) / COUNTIF(основная_таблица!A4:A144,основная_таблица!A4)</f>
        <v>147.23541666666671</v>
      </c>
      <c r="D4" s="264">
        <f>SUMIF(основная_таблица!G100:G142,"&gt;0",основная_таблица!G100:G142) / COUNTIF(основная_таблица!G100:G142,"&gt;0")</f>
        <v>2685.0666666666666</v>
      </c>
      <c r="E4" s="264">
        <f>SUMIF(основная_таблица!H100:H142,"&gt;0",основная_таблица!H100:H142) / COUNTIF(основная_таблица!H100:H142,"&gt;0")</f>
        <v>46.974253285714283</v>
      </c>
    </row>
    <row r="5" spans="1:5" ht="13.5" thickBot="1" x14ac:dyDescent="0.25"/>
    <row r="6" spans="1:5" ht="94.5" customHeight="1" thickBot="1" x14ac:dyDescent="0.25">
      <c r="A6" s="265" t="s">
        <v>438</v>
      </c>
      <c r="B6" s="266"/>
      <c r="C6" s="267"/>
    </row>
    <row r="8" spans="1:5" ht="13.5" thickBot="1" x14ac:dyDescent="0.25"/>
    <row r="9" spans="1:5" ht="78" customHeight="1" thickBot="1" x14ac:dyDescent="0.25">
      <c r="A9" s="265" t="s">
        <v>440</v>
      </c>
      <c r="B9" s="266"/>
      <c r="C9" s="266"/>
      <c r="D9" s="267"/>
    </row>
  </sheetData>
  <mergeCells count="2">
    <mergeCell ref="A6:C6"/>
    <mergeCell ref="A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</vt:lpstr>
      <vt:lpstr>Лист 2. Шахматка</vt:lpstr>
      <vt:lpstr>основная_таблица</vt:lpstr>
      <vt:lpstr>сводная_таблица</vt:lpstr>
      <vt:lpstr>показатели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</cp:lastModifiedBy>
  <dcterms:modified xsi:type="dcterms:W3CDTF">2023-06-07T08:11:44Z</dcterms:modified>
</cp:coreProperties>
</file>