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acon\Google Drive\projects\analysis\"/>
    </mc:Choice>
  </mc:AlternateContent>
  <bookViews>
    <workbookView xWindow="0" yWindow="0" windowWidth="20490" windowHeight="7755" firstSheet="3" activeTab="6"/>
  </bookViews>
  <sheets>
    <sheet name="ELO_ratings" sheetId="1" r:id="rId1"/>
    <sheet name="World_Cup_goals" sheetId="4" r:id="rId2"/>
    <sheet name="Poisson_goals_home_away" sheetId="6" r:id="rId3"/>
    <sheet name="Poisson_goals_World_Cup" sheetId="8" r:id="rId4"/>
    <sheet name="Qualifying_goals" sheetId="7" r:id="rId5"/>
    <sheet name="Params_and_stats" sheetId="5" r:id="rId6"/>
    <sheet name="Fixtures_and_calcs" sheetId="2" r:id="rId7"/>
  </sheets>
  <definedNames>
    <definedName name="_xlnm._FilterDatabase" localSheetId="0" hidden="1">ELO_ratings!$A$1:$G$101</definedName>
    <definedName name="_xlnm._FilterDatabase" localSheetId="6" hidden="1">Fixtures_and_calcs!$A$1:$AP$90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2" l="1"/>
  <c r="I87" i="2"/>
  <c r="J87" i="2"/>
  <c r="K87" i="2"/>
  <c r="L87" i="2"/>
  <c r="M87" i="2"/>
  <c r="N87" i="2"/>
  <c r="O87" i="2"/>
  <c r="P87" i="2"/>
  <c r="R87" i="2" s="1"/>
  <c r="Q87" i="2"/>
  <c r="V87" i="2"/>
  <c r="W87" i="2"/>
  <c r="X87" i="2"/>
  <c r="Z87" i="2" s="1"/>
  <c r="AA87" i="2" s="1"/>
  <c r="Y87" i="2"/>
  <c r="AB87" i="2"/>
  <c r="AC87" i="2"/>
  <c r="AE87" i="2"/>
  <c r="AF87" i="2"/>
  <c r="AI87" i="2"/>
  <c r="AJ87" i="2"/>
  <c r="AK87" i="2" s="1"/>
  <c r="AL87" i="2"/>
  <c r="AM87" i="2"/>
  <c r="H88" i="2"/>
  <c r="I88" i="2"/>
  <c r="J88" i="2"/>
  <c r="K88" i="2"/>
  <c r="L88" i="2"/>
  <c r="M88" i="2"/>
  <c r="N88" i="2"/>
  <c r="O88" i="2"/>
  <c r="P88" i="2"/>
  <c r="Q88" i="2"/>
  <c r="X88" i="2"/>
  <c r="Z88" i="2" s="1"/>
  <c r="AA88" i="2" s="1"/>
  <c r="Y88" i="2"/>
  <c r="AI88" i="2"/>
  <c r="AJ88" i="2" s="1"/>
  <c r="AK88" i="2" s="1"/>
  <c r="AL88" i="2"/>
  <c r="H89" i="2"/>
  <c r="AB89" i="2" s="1"/>
  <c r="I89" i="2"/>
  <c r="J89" i="2"/>
  <c r="K89" i="2"/>
  <c r="L89" i="2"/>
  <c r="M89" i="2"/>
  <c r="N89" i="2"/>
  <c r="O89" i="2"/>
  <c r="P89" i="2"/>
  <c r="R89" i="2" s="1"/>
  <c r="Q89" i="2"/>
  <c r="X89" i="2"/>
  <c r="Z89" i="2" s="1"/>
  <c r="AA89" i="2" s="1"/>
  <c r="Y89" i="2"/>
  <c r="AF89" i="2"/>
  <c r="AI89" i="2"/>
  <c r="AO89" i="2" s="1"/>
  <c r="AL89" i="2"/>
  <c r="AM89" i="2"/>
  <c r="H90" i="2"/>
  <c r="I90" i="2"/>
  <c r="J90" i="2"/>
  <c r="K90" i="2"/>
  <c r="L90" i="2"/>
  <c r="M90" i="2"/>
  <c r="N90" i="2"/>
  <c r="O90" i="2"/>
  <c r="P90" i="2"/>
  <c r="Q90" i="2"/>
  <c r="X90" i="2"/>
  <c r="Y90" i="2"/>
  <c r="AI90" i="2"/>
  <c r="AL90" i="2"/>
  <c r="R88" i="2" l="1"/>
  <c r="S88" i="2" s="1"/>
  <c r="T88" i="2" s="1"/>
  <c r="U88" i="2" s="1"/>
  <c r="AC88" i="2" s="1"/>
  <c r="R90" i="2"/>
  <c r="S89" i="2"/>
  <c r="T89" i="2" s="1"/>
  <c r="U89" i="2" s="1"/>
  <c r="S87" i="2"/>
  <c r="T87" i="2" s="1"/>
  <c r="U87" i="2" s="1"/>
  <c r="Z90" i="2"/>
  <c r="AA90" i="2" s="1"/>
  <c r="AE89" i="2"/>
  <c r="AD87" i="2"/>
  <c r="AO87" i="2" s="1"/>
  <c r="AJ89" i="2"/>
  <c r="AK89" i="2" s="1"/>
  <c r="AC89" i="2"/>
  <c r="AD89" i="2" s="1"/>
  <c r="V89" i="2"/>
  <c r="W89" i="2" s="1"/>
  <c r="S90" i="2"/>
  <c r="T90" i="2" s="1"/>
  <c r="U90" i="2" s="1"/>
  <c r="AB88" i="2"/>
  <c r="V88" i="2"/>
  <c r="W88" i="2" s="1"/>
  <c r="AN87" i="2"/>
  <c r="AP87" i="2" s="1"/>
  <c r="AJ90" i="2"/>
  <c r="AK90" i="2" s="1"/>
  <c r="AN89" i="2"/>
  <c r="AP89" i="2" s="1"/>
  <c r="AB90" i="2" l="1"/>
  <c r="V90" i="2"/>
  <c r="W90" i="2" s="1"/>
  <c r="AC90" i="2"/>
  <c r="AN88" i="2"/>
  <c r="AF88" i="2"/>
  <c r="AD88" i="2"/>
  <c r="AM88" i="2"/>
  <c r="AM90" i="2"/>
  <c r="AD90" i="2"/>
  <c r="AN90" i="2"/>
  <c r="AF90" i="2"/>
  <c r="AE88" i="2" l="1"/>
  <c r="AO88" i="2"/>
  <c r="AP88" i="2" s="1"/>
  <c r="AO90" i="2"/>
  <c r="AP90" i="2" s="1"/>
  <c r="AE90" i="2"/>
  <c r="H83" i="2" l="1"/>
  <c r="AB83" i="2" s="1"/>
  <c r="I83" i="2"/>
  <c r="J83" i="2"/>
  <c r="K83" i="2"/>
  <c r="L83" i="2"/>
  <c r="M83" i="2"/>
  <c r="N83" i="2"/>
  <c r="O83" i="2"/>
  <c r="P83" i="2"/>
  <c r="Q83" i="2"/>
  <c r="X83" i="2"/>
  <c r="Z83" i="2" s="1"/>
  <c r="AA83" i="2" s="1"/>
  <c r="Y83" i="2"/>
  <c r="AE83" i="2"/>
  <c r="AF83" i="2"/>
  <c r="AI83" i="2"/>
  <c r="AL83" i="2"/>
  <c r="AM83" i="2"/>
  <c r="AN83" i="2"/>
  <c r="AP83" i="2" s="1"/>
  <c r="AO83" i="2"/>
  <c r="H84" i="2"/>
  <c r="I84" i="2"/>
  <c r="J84" i="2"/>
  <c r="K84" i="2"/>
  <c r="L84" i="2"/>
  <c r="M84" i="2"/>
  <c r="N84" i="2"/>
  <c r="O84" i="2"/>
  <c r="P84" i="2"/>
  <c r="Q84" i="2"/>
  <c r="X84" i="2"/>
  <c r="Y84" i="2"/>
  <c r="AI84" i="2"/>
  <c r="AJ84" i="2" s="1"/>
  <c r="AK84" i="2" s="1"/>
  <c r="AL84" i="2"/>
  <c r="H85" i="2"/>
  <c r="V85" i="2" s="1"/>
  <c r="W85" i="2" s="1"/>
  <c r="I85" i="2"/>
  <c r="J85" i="2"/>
  <c r="K85" i="2"/>
  <c r="L85" i="2"/>
  <c r="M85" i="2"/>
  <c r="N85" i="2"/>
  <c r="O85" i="2"/>
  <c r="P85" i="2"/>
  <c r="Q85" i="2"/>
  <c r="X85" i="2"/>
  <c r="Z85" i="2" s="1"/>
  <c r="AA85" i="2" s="1"/>
  <c r="Y85" i="2"/>
  <c r="AB85" i="2"/>
  <c r="AI85" i="2"/>
  <c r="AL85" i="2"/>
  <c r="AM85" i="2"/>
  <c r="H86" i="2"/>
  <c r="I86" i="2"/>
  <c r="J86" i="2"/>
  <c r="K86" i="2"/>
  <c r="L86" i="2"/>
  <c r="M86" i="2"/>
  <c r="N86" i="2"/>
  <c r="O86" i="2"/>
  <c r="P86" i="2"/>
  <c r="Q86" i="2"/>
  <c r="X86" i="2"/>
  <c r="Y86" i="2"/>
  <c r="AI86" i="2"/>
  <c r="AL86" i="2"/>
  <c r="AJ83" i="2" l="1"/>
  <c r="AK83" i="2" s="1"/>
  <c r="AC83" i="2"/>
  <c r="V83" i="2"/>
  <c r="W83" i="2" s="1"/>
  <c r="R83" i="2"/>
  <c r="S83" i="2" s="1"/>
  <c r="T83" i="2" s="1"/>
  <c r="U83" i="2" s="1"/>
  <c r="AD83" i="2"/>
  <c r="AF85" i="2"/>
  <c r="AC85" i="2"/>
  <c r="AD85" i="2" s="1"/>
  <c r="R85" i="2"/>
  <c r="S85" i="2" s="1"/>
  <c r="T85" i="2" s="1"/>
  <c r="U85" i="2" s="1"/>
  <c r="Z84" i="2"/>
  <c r="AA84" i="2" s="1"/>
  <c r="Z86" i="2"/>
  <c r="AA86" i="2" s="1"/>
  <c r="R84" i="2"/>
  <c r="S84" i="2" s="1"/>
  <c r="T84" i="2" s="1"/>
  <c r="U84" i="2" s="1"/>
  <c r="R86" i="2"/>
  <c r="S86" i="2" s="1"/>
  <c r="T86" i="2" s="1"/>
  <c r="U86" i="2" s="1"/>
  <c r="AO85" i="2"/>
  <c r="AJ86" i="2"/>
  <c r="AK86" i="2" s="1"/>
  <c r="AE85" i="2"/>
  <c r="AN85" i="2"/>
  <c r="AP85" i="2" s="1"/>
  <c r="AJ85" i="2"/>
  <c r="AK85" i="2" s="1"/>
  <c r="AB86" i="2" l="1"/>
  <c r="AB84" i="2"/>
  <c r="V84" i="2"/>
  <c r="W84" i="2" s="1"/>
  <c r="AC84" i="2"/>
  <c r="AF84" i="2" s="1"/>
  <c r="V86" i="2"/>
  <c r="W86" i="2" s="1"/>
  <c r="AC86" i="2"/>
  <c r="AN86" i="2" s="1"/>
  <c r="AN84" i="2"/>
  <c r="AM86" i="2"/>
  <c r="AD86" i="2" l="1"/>
  <c r="AE86" i="2" s="1"/>
  <c r="AM84" i="2"/>
  <c r="AD84" i="2"/>
  <c r="AF86" i="2"/>
  <c r="AO86" i="2"/>
  <c r="AP86" i="2" s="1"/>
  <c r="AE84" i="2"/>
  <c r="AO84" i="2"/>
  <c r="AP84" i="2" s="1"/>
  <c r="I2" i="5" l="1"/>
  <c r="F2" i="5"/>
  <c r="H77" i="2" l="1"/>
  <c r="AB77" i="2" s="1"/>
  <c r="I77" i="2"/>
  <c r="J77" i="2"/>
  <c r="K77" i="2"/>
  <c r="L77" i="2"/>
  <c r="M77" i="2"/>
  <c r="N77" i="2"/>
  <c r="O77" i="2"/>
  <c r="P77" i="2"/>
  <c r="Q77" i="2"/>
  <c r="V77" i="2"/>
  <c r="W77" i="2" s="1"/>
  <c r="X77" i="2"/>
  <c r="Z77" i="2" s="1"/>
  <c r="AA77" i="2" s="1"/>
  <c r="Y77" i="2"/>
  <c r="AE77" i="2"/>
  <c r="AF77" i="2"/>
  <c r="AI77" i="2"/>
  <c r="AJ77" i="2"/>
  <c r="AK77" i="2" s="1"/>
  <c r="AL77" i="2"/>
  <c r="AM77" i="2"/>
  <c r="AN77" i="2"/>
  <c r="AP77" i="2" s="1"/>
  <c r="H78" i="2"/>
  <c r="I78" i="2"/>
  <c r="J78" i="2"/>
  <c r="K78" i="2"/>
  <c r="L78" i="2"/>
  <c r="M78" i="2"/>
  <c r="N78" i="2"/>
  <c r="O78" i="2"/>
  <c r="P78" i="2"/>
  <c r="Q78" i="2"/>
  <c r="X78" i="2"/>
  <c r="Y78" i="2"/>
  <c r="AI78" i="2"/>
  <c r="AJ78" i="2" s="1"/>
  <c r="AK78" i="2" s="1"/>
  <c r="AL78" i="2"/>
  <c r="H79" i="2"/>
  <c r="I79" i="2"/>
  <c r="J79" i="2"/>
  <c r="K79" i="2"/>
  <c r="L79" i="2"/>
  <c r="M79" i="2"/>
  <c r="N79" i="2"/>
  <c r="O79" i="2"/>
  <c r="P79" i="2"/>
  <c r="Q79" i="2"/>
  <c r="X79" i="2"/>
  <c r="Y79" i="2"/>
  <c r="AI79" i="2"/>
  <c r="AL79" i="2"/>
  <c r="H80" i="2"/>
  <c r="AB80" i="2" s="1"/>
  <c r="I80" i="2"/>
  <c r="J80" i="2"/>
  <c r="K80" i="2"/>
  <c r="L80" i="2"/>
  <c r="M80" i="2"/>
  <c r="N80" i="2"/>
  <c r="O80" i="2"/>
  <c r="P80" i="2"/>
  <c r="Q80" i="2"/>
  <c r="X80" i="2"/>
  <c r="Z80" i="2" s="1"/>
  <c r="AA80" i="2" s="1"/>
  <c r="Y80" i="2"/>
  <c r="AF80" i="2"/>
  <c r="AI80" i="2"/>
  <c r="AL80" i="2"/>
  <c r="H81" i="2"/>
  <c r="I81" i="2"/>
  <c r="J81" i="2"/>
  <c r="K81" i="2"/>
  <c r="L81" i="2"/>
  <c r="M81" i="2"/>
  <c r="N81" i="2"/>
  <c r="O81" i="2"/>
  <c r="P81" i="2"/>
  <c r="Q81" i="2"/>
  <c r="X81" i="2"/>
  <c r="Y81" i="2"/>
  <c r="AI81" i="2"/>
  <c r="AJ81" i="2" s="1"/>
  <c r="AK81" i="2" s="1"/>
  <c r="AL81" i="2"/>
  <c r="H82" i="2"/>
  <c r="I82" i="2"/>
  <c r="J82" i="2"/>
  <c r="K82" i="2"/>
  <c r="L82" i="2"/>
  <c r="M82" i="2"/>
  <c r="N82" i="2"/>
  <c r="O82" i="2"/>
  <c r="P82" i="2"/>
  <c r="Q82" i="2"/>
  <c r="X82" i="2"/>
  <c r="Y82" i="2"/>
  <c r="AI82" i="2"/>
  <c r="AL82" i="2"/>
  <c r="R81" i="2" l="1"/>
  <c r="Z82" i="2"/>
  <c r="AA82" i="2" s="1"/>
  <c r="Z78" i="2"/>
  <c r="AA78" i="2" s="1"/>
  <c r="R78" i="2"/>
  <c r="S78" i="2" s="1"/>
  <c r="T78" i="2" s="1"/>
  <c r="U78" i="2" s="1"/>
  <c r="AB78" i="2" s="1"/>
  <c r="R82" i="2"/>
  <c r="S82" i="2" s="1"/>
  <c r="T82" i="2" s="1"/>
  <c r="U82" i="2" s="1"/>
  <c r="Z81" i="2"/>
  <c r="AA81" i="2" s="1"/>
  <c r="S81" i="2"/>
  <c r="T81" i="2" s="1"/>
  <c r="U81" i="2" s="1"/>
  <c r="AJ82" i="2"/>
  <c r="AK82" i="2" s="1"/>
  <c r="R79" i="2"/>
  <c r="S79" i="2" s="1"/>
  <c r="T79" i="2" s="1"/>
  <c r="U79" i="2" s="1"/>
  <c r="V79" i="2" s="1"/>
  <c r="W79" i="2" s="1"/>
  <c r="AC80" i="2"/>
  <c r="AM80" i="2" s="1"/>
  <c r="R80" i="2"/>
  <c r="S80" i="2" s="1"/>
  <c r="T80" i="2" s="1"/>
  <c r="U80" i="2" s="1"/>
  <c r="Z79" i="2"/>
  <c r="AA79" i="2" s="1"/>
  <c r="AC77" i="2"/>
  <c r="AD77" i="2" s="1"/>
  <c r="AO77" i="2" s="1"/>
  <c r="R77" i="2"/>
  <c r="S77" i="2" s="1"/>
  <c r="T77" i="2" s="1"/>
  <c r="U77" i="2" s="1"/>
  <c r="AE80" i="2"/>
  <c r="AN80" i="2"/>
  <c r="AJ80" i="2"/>
  <c r="AK80" i="2" s="1"/>
  <c r="V80" i="2"/>
  <c r="W80" i="2" s="1"/>
  <c r="AJ79" i="2"/>
  <c r="AK79" i="2" s="1"/>
  <c r="AC81" i="2" l="1"/>
  <c r="AC82" i="2"/>
  <c r="AN82" i="2" s="1"/>
  <c r="AD80" i="2"/>
  <c r="AO80" i="2" s="1"/>
  <c r="V82" i="2"/>
  <c r="W82" i="2" s="1"/>
  <c r="AB82" i="2"/>
  <c r="AC79" i="2"/>
  <c r="AN79" i="2" s="1"/>
  <c r="AB81" i="2"/>
  <c r="AM81" i="2" s="1"/>
  <c r="V78" i="2"/>
  <c r="W78" i="2" s="1"/>
  <c r="AB79" i="2"/>
  <c r="V81" i="2"/>
  <c r="W81" i="2" s="1"/>
  <c r="AC78" i="2"/>
  <c r="AD78" i="2" s="1"/>
  <c r="AP80" i="2"/>
  <c r="AM82" i="2"/>
  <c r="AD82" i="2" l="1"/>
  <c r="AF82" i="2"/>
  <c r="AM78" i="2"/>
  <c r="AM79" i="2"/>
  <c r="AF79" i="2"/>
  <c r="AD81" i="2"/>
  <c r="AE81" i="2" s="1"/>
  <c r="AF81" i="2"/>
  <c r="AN81" i="2"/>
  <c r="AN78" i="2"/>
  <c r="AD79" i="2"/>
  <c r="AE79" i="2" s="1"/>
  <c r="AF78" i="2"/>
  <c r="AE82" i="2"/>
  <c r="AO82" i="2"/>
  <c r="AP82" i="2" s="1"/>
  <c r="AE78" i="2"/>
  <c r="AO78" i="2"/>
  <c r="AO79" i="2"/>
  <c r="AP79" i="2" s="1"/>
  <c r="AP78" i="2" l="1"/>
  <c r="AO81" i="2"/>
  <c r="AP81" i="2" s="1"/>
  <c r="H71" i="2"/>
  <c r="V71" i="2" s="1"/>
  <c r="W71" i="2" s="1"/>
  <c r="I71" i="2"/>
  <c r="J71" i="2"/>
  <c r="K71" i="2"/>
  <c r="L71" i="2"/>
  <c r="M71" i="2"/>
  <c r="N71" i="2"/>
  <c r="O71" i="2"/>
  <c r="P71" i="2"/>
  <c r="Q71" i="2"/>
  <c r="X71" i="2"/>
  <c r="Z71" i="2" s="1"/>
  <c r="AA71" i="2" s="1"/>
  <c r="Y71" i="2"/>
  <c r="AB71" i="2"/>
  <c r="AF71" i="2"/>
  <c r="AI71" i="2"/>
  <c r="AL71" i="2"/>
  <c r="AM71" i="2"/>
  <c r="AN71" i="2"/>
  <c r="AO71" i="2"/>
  <c r="AP71" i="2"/>
  <c r="H72" i="2"/>
  <c r="I72" i="2"/>
  <c r="J72" i="2"/>
  <c r="K72" i="2"/>
  <c r="L72" i="2"/>
  <c r="M72" i="2"/>
  <c r="N72" i="2"/>
  <c r="O72" i="2"/>
  <c r="P72" i="2"/>
  <c r="Q72" i="2"/>
  <c r="X72" i="2"/>
  <c r="Y72" i="2"/>
  <c r="AI72" i="2"/>
  <c r="AJ72" i="2" s="1"/>
  <c r="AK72" i="2" s="1"/>
  <c r="AL72" i="2"/>
  <c r="H73" i="2"/>
  <c r="I73" i="2"/>
  <c r="J73" i="2"/>
  <c r="K73" i="2"/>
  <c r="L73" i="2"/>
  <c r="M73" i="2"/>
  <c r="N73" i="2"/>
  <c r="O73" i="2"/>
  <c r="P73" i="2"/>
  <c r="Q73" i="2"/>
  <c r="X73" i="2"/>
  <c r="Y73" i="2"/>
  <c r="AI73" i="2"/>
  <c r="AL73" i="2"/>
  <c r="H74" i="2"/>
  <c r="V74" i="2" s="1"/>
  <c r="W74" i="2" s="1"/>
  <c r="I74" i="2"/>
  <c r="J74" i="2"/>
  <c r="K74" i="2"/>
  <c r="L74" i="2"/>
  <c r="M74" i="2"/>
  <c r="N74" i="2"/>
  <c r="O74" i="2"/>
  <c r="P74" i="2"/>
  <c r="Q74" i="2"/>
  <c r="X74" i="2"/>
  <c r="Z74" i="2" s="1"/>
  <c r="AA74" i="2" s="1"/>
  <c r="Y74" i="2"/>
  <c r="AB74" i="2"/>
  <c r="AI74" i="2"/>
  <c r="AL74" i="2"/>
  <c r="AM74" i="2"/>
  <c r="AN74" i="2"/>
  <c r="AO74" i="2"/>
  <c r="AP74" i="2"/>
  <c r="H75" i="2"/>
  <c r="I75" i="2"/>
  <c r="J75" i="2"/>
  <c r="K75" i="2"/>
  <c r="L75" i="2"/>
  <c r="M75" i="2"/>
  <c r="N75" i="2"/>
  <c r="O75" i="2"/>
  <c r="P75" i="2"/>
  <c r="Q75" i="2"/>
  <c r="X75" i="2"/>
  <c r="Y75" i="2"/>
  <c r="AI75" i="2"/>
  <c r="AL75" i="2"/>
  <c r="H76" i="2"/>
  <c r="I76" i="2"/>
  <c r="J76" i="2"/>
  <c r="K76" i="2"/>
  <c r="L76" i="2"/>
  <c r="M76" i="2"/>
  <c r="N76" i="2"/>
  <c r="O76" i="2"/>
  <c r="P76" i="2"/>
  <c r="Q76" i="2"/>
  <c r="X76" i="2"/>
  <c r="Y76" i="2"/>
  <c r="AI76" i="2"/>
  <c r="AL76" i="2"/>
  <c r="AI65" i="2"/>
  <c r="AL65" i="2"/>
  <c r="AM65" i="2"/>
  <c r="AN65" i="2"/>
  <c r="AO65" i="2"/>
  <c r="AP65" i="2"/>
  <c r="AI66" i="2"/>
  <c r="AL66" i="2"/>
  <c r="AI67" i="2"/>
  <c r="AL67" i="2"/>
  <c r="AI68" i="2"/>
  <c r="AL68" i="2"/>
  <c r="AM68" i="2"/>
  <c r="AN68" i="2"/>
  <c r="AO68" i="2"/>
  <c r="AP68" i="2"/>
  <c r="AI69" i="2"/>
  <c r="AL69" i="2"/>
  <c r="AI70" i="2"/>
  <c r="AL70" i="2"/>
  <c r="H65" i="2"/>
  <c r="AJ65" i="2" s="1"/>
  <c r="AK65" i="2" s="1"/>
  <c r="I65" i="2"/>
  <c r="J65" i="2"/>
  <c r="K65" i="2"/>
  <c r="L65" i="2"/>
  <c r="M65" i="2"/>
  <c r="N65" i="2"/>
  <c r="O65" i="2"/>
  <c r="P65" i="2"/>
  <c r="Q65" i="2"/>
  <c r="X65" i="2"/>
  <c r="Z65" i="2" s="1"/>
  <c r="AA65" i="2" s="1"/>
  <c r="Y65" i="2"/>
  <c r="AB65" i="2"/>
  <c r="H66" i="2"/>
  <c r="I66" i="2"/>
  <c r="J66" i="2"/>
  <c r="K66" i="2"/>
  <c r="L66" i="2"/>
  <c r="M66" i="2"/>
  <c r="N66" i="2"/>
  <c r="O66" i="2"/>
  <c r="P66" i="2"/>
  <c r="Q66" i="2"/>
  <c r="X66" i="2"/>
  <c r="Y66" i="2"/>
  <c r="H67" i="2"/>
  <c r="I67" i="2"/>
  <c r="J67" i="2"/>
  <c r="K67" i="2"/>
  <c r="L67" i="2"/>
  <c r="M67" i="2"/>
  <c r="N67" i="2"/>
  <c r="O67" i="2"/>
  <c r="P67" i="2"/>
  <c r="Q67" i="2"/>
  <c r="X67" i="2"/>
  <c r="Y67" i="2"/>
  <c r="H68" i="2"/>
  <c r="AC68" i="2" s="1"/>
  <c r="I68" i="2"/>
  <c r="J68" i="2"/>
  <c r="K68" i="2"/>
  <c r="L68" i="2"/>
  <c r="M68" i="2"/>
  <c r="N68" i="2"/>
  <c r="O68" i="2"/>
  <c r="P68" i="2"/>
  <c r="Q68" i="2"/>
  <c r="X68" i="2"/>
  <c r="Z68" i="2" s="1"/>
  <c r="AA68" i="2" s="1"/>
  <c r="Y68" i="2"/>
  <c r="AB68" i="2"/>
  <c r="AD68" i="2" s="1"/>
  <c r="H69" i="2"/>
  <c r="I69" i="2"/>
  <c r="J69" i="2"/>
  <c r="K69" i="2"/>
  <c r="L69" i="2"/>
  <c r="M69" i="2"/>
  <c r="N69" i="2"/>
  <c r="O69" i="2"/>
  <c r="P69" i="2"/>
  <c r="Q69" i="2"/>
  <c r="X69" i="2"/>
  <c r="Y69" i="2"/>
  <c r="H70" i="2"/>
  <c r="I70" i="2"/>
  <c r="J70" i="2"/>
  <c r="K70" i="2"/>
  <c r="L70" i="2"/>
  <c r="M70" i="2"/>
  <c r="N70" i="2"/>
  <c r="O70" i="2"/>
  <c r="P70" i="2"/>
  <c r="Q70" i="2"/>
  <c r="X70" i="2"/>
  <c r="Y70" i="2"/>
  <c r="AE65" i="2" l="1"/>
  <c r="Z76" i="2"/>
  <c r="AA76" i="2" s="1"/>
  <c r="AJ67" i="2"/>
  <c r="AK67" i="2" s="1"/>
  <c r="AE71" i="2"/>
  <c r="AF65" i="2"/>
  <c r="AJ71" i="2"/>
  <c r="AK71" i="2" s="1"/>
  <c r="AC71" i="2"/>
  <c r="R76" i="2"/>
  <c r="S76" i="2" s="1"/>
  <c r="T76" i="2" s="1"/>
  <c r="U76" i="2" s="1"/>
  <c r="V76" i="2" s="1"/>
  <c r="W76" i="2" s="1"/>
  <c r="R72" i="2"/>
  <c r="S72" i="2" s="1"/>
  <c r="T72" i="2" s="1"/>
  <c r="U72" i="2" s="1"/>
  <c r="V72" i="2" s="1"/>
  <c r="W72" i="2" s="1"/>
  <c r="AF68" i="2"/>
  <c r="Z72" i="2"/>
  <c r="AA72" i="2" s="1"/>
  <c r="R70" i="2"/>
  <c r="S70" i="2" s="1"/>
  <c r="T70" i="2" s="1"/>
  <c r="U70" i="2" s="1"/>
  <c r="V70" i="2" s="1"/>
  <c r="W70" i="2" s="1"/>
  <c r="R69" i="2"/>
  <c r="S69" i="2" s="1"/>
  <c r="T69" i="2" s="1"/>
  <c r="U69" i="2" s="1"/>
  <c r="V69" i="2" s="1"/>
  <c r="W69" i="2" s="1"/>
  <c r="Z67" i="2"/>
  <c r="AA67" i="2" s="1"/>
  <c r="Z66" i="2"/>
  <c r="AA66" i="2" s="1"/>
  <c r="R74" i="2"/>
  <c r="S74" i="2" s="1"/>
  <c r="T74" i="2" s="1"/>
  <c r="U74" i="2" s="1"/>
  <c r="Z73" i="2"/>
  <c r="AA73" i="2" s="1"/>
  <c r="AC65" i="2"/>
  <c r="V65" i="2"/>
  <c r="W65" i="2" s="1"/>
  <c r="R75" i="2"/>
  <c r="S75" i="2" s="1"/>
  <c r="T75" i="2" s="1"/>
  <c r="U75" i="2" s="1"/>
  <c r="V75" i="2" s="1"/>
  <c r="W75" i="2" s="1"/>
  <c r="Z70" i="2"/>
  <c r="AA70" i="2" s="1"/>
  <c r="R66" i="2"/>
  <c r="S66" i="2" s="1"/>
  <c r="T66" i="2" s="1"/>
  <c r="U66" i="2" s="1"/>
  <c r="R73" i="2"/>
  <c r="S73" i="2" s="1"/>
  <c r="T73" i="2" s="1"/>
  <c r="U73" i="2" s="1"/>
  <c r="AJ76" i="2"/>
  <c r="AK76" i="2" s="1"/>
  <c r="R71" i="2"/>
  <c r="S71" i="2" s="1"/>
  <c r="T71" i="2" s="1"/>
  <c r="U71" i="2" s="1"/>
  <c r="R65" i="2"/>
  <c r="S65" i="2" s="1"/>
  <c r="T65" i="2" s="1"/>
  <c r="U65" i="2" s="1"/>
  <c r="AJ69" i="2"/>
  <c r="AK69" i="2" s="1"/>
  <c r="AJ66" i="2"/>
  <c r="AK66" i="2" s="1"/>
  <c r="Z75" i="2"/>
  <c r="AA75" i="2" s="1"/>
  <c r="Z69" i="2"/>
  <c r="AA69" i="2" s="1"/>
  <c r="R68" i="2"/>
  <c r="S68" i="2" s="1"/>
  <c r="T68" i="2" s="1"/>
  <c r="U68" i="2" s="1"/>
  <c r="R67" i="2"/>
  <c r="S67" i="2" s="1"/>
  <c r="T67" i="2" s="1"/>
  <c r="U67" i="2" s="1"/>
  <c r="AB67" i="2" s="1"/>
  <c r="AF74" i="2"/>
  <c r="AJ73" i="2"/>
  <c r="AK73" i="2" s="1"/>
  <c r="AJ70" i="2"/>
  <c r="AK70" i="2" s="1"/>
  <c r="AJ68" i="2"/>
  <c r="AK68" i="2" s="1"/>
  <c r="AC74" i="2"/>
  <c r="AD74" i="2" s="1"/>
  <c r="AD65" i="2"/>
  <c r="AD71" i="2"/>
  <c r="AJ75" i="2"/>
  <c r="AK75" i="2" s="1"/>
  <c r="AE74" i="2"/>
  <c r="AJ74" i="2"/>
  <c r="AK74" i="2" s="1"/>
  <c r="V66" i="2"/>
  <c r="W66" i="2" s="1"/>
  <c r="AE68" i="2"/>
  <c r="V68" i="2"/>
  <c r="W68" i="2" s="1"/>
  <c r="AP4" i="2"/>
  <c r="AP8" i="2"/>
  <c r="AP13" i="2"/>
  <c r="AP17" i="2"/>
  <c r="AP21" i="2"/>
  <c r="AP25" i="2"/>
  <c r="AP29" i="2"/>
  <c r="AP33" i="2"/>
  <c r="AP37" i="2"/>
  <c r="AP41" i="2"/>
  <c r="AP45" i="2"/>
  <c r="AP50" i="2"/>
  <c r="AP55" i="2"/>
  <c r="AP60" i="2"/>
  <c r="AP2" i="2"/>
  <c r="AO2" i="2"/>
  <c r="AO4" i="2"/>
  <c r="AO8" i="2"/>
  <c r="AO13" i="2"/>
  <c r="AO17" i="2"/>
  <c r="AO21" i="2"/>
  <c r="AO25" i="2"/>
  <c r="AO29" i="2"/>
  <c r="AO33" i="2"/>
  <c r="AO37" i="2"/>
  <c r="AO41" i="2"/>
  <c r="AO45" i="2"/>
  <c r="AO50" i="2"/>
  <c r="AO55" i="2"/>
  <c r="AO60" i="2"/>
  <c r="AM2" i="2"/>
  <c r="V67" i="2" l="1"/>
  <c r="W67" i="2" s="1"/>
  <c r="AB76" i="2"/>
  <c r="AB70" i="2"/>
  <c r="AB69" i="2"/>
  <c r="AN69" i="2" s="1"/>
  <c r="AC67" i="2"/>
  <c r="AC76" i="2"/>
  <c r="AM76" i="2" s="1"/>
  <c r="AC73" i="2"/>
  <c r="AC66" i="2"/>
  <c r="AM66" i="2" s="1"/>
  <c r="AB72" i="2"/>
  <c r="AC69" i="2"/>
  <c r="AB73" i="2"/>
  <c r="AM73" i="2" s="1"/>
  <c r="AC72" i="2"/>
  <c r="AN72" i="2" s="1"/>
  <c r="AB66" i="2"/>
  <c r="AC70" i="2"/>
  <c r="V73" i="2"/>
  <c r="W73" i="2" s="1"/>
  <c r="AB75" i="2"/>
  <c r="AN76" i="2"/>
  <c r="AC75" i="2"/>
  <c r="AN73" i="2"/>
  <c r="AN70" i="2"/>
  <c r="AM67" i="2"/>
  <c r="AN67" i="2"/>
  <c r="AD73" i="2"/>
  <c r="AF73" i="2"/>
  <c r="AF76" i="2"/>
  <c r="AD76" i="2"/>
  <c r="AD67" i="2"/>
  <c r="AF67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2" i="2"/>
  <c r="AI6" i="2"/>
  <c r="AI3" i="2"/>
  <c r="AI4" i="2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2" i="2"/>
  <c r="AN4" i="2"/>
  <c r="AN8" i="2"/>
  <c r="AN13" i="2"/>
  <c r="AN17" i="2"/>
  <c r="AN21" i="2"/>
  <c r="AN25" i="2"/>
  <c r="AN29" i="2"/>
  <c r="AN33" i="2"/>
  <c r="AN37" i="2"/>
  <c r="AN41" i="2"/>
  <c r="AN45" i="2"/>
  <c r="AN50" i="2"/>
  <c r="AN55" i="2"/>
  <c r="AN60" i="2"/>
  <c r="AN2" i="2"/>
  <c r="AM4" i="2"/>
  <c r="AM8" i="2"/>
  <c r="AM13" i="2"/>
  <c r="AM17" i="2"/>
  <c r="AM21" i="2"/>
  <c r="AM25" i="2"/>
  <c r="AM29" i="2"/>
  <c r="AM33" i="2"/>
  <c r="AM37" i="2"/>
  <c r="AM41" i="2"/>
  <c r="AM45" i="2"/>
  <c r="AM50" i="2"/>
  <c r="AM55" i="2"/>
  <c r="AM60" i="2"/>
  <c r="AM70" i="2" l="1"/>
  <c r="AM69" i="2"/>
  <c r="AD69" i="2"/>
  <c r="AF69" i="2"/>
  <c r="AN66" i="2"/>
  <c r="AF72" i="2"/>
  <c r="AD72" i="2"/>
  <c r="AE72" i="2" s="1"/>
  <c r="AF66" i="2"/>
  <c r="AM72" i="2"/>
  <c r="AD66" i="2"/>
  <c r="AO66" i="2" s="1"/>
  <c r="AD70" i="2"/>
  <c r="AE70" i="2" s="1"/>
  <c r="AF70" i="2"/>
  <c r="AF75" i="2"/>
  <c r="I11" i="5"/>
  <c r="I15" i="5"/>
  <c r="I14" i="5"/>
  <c r="I12" i="5"/>
  <c r="I10" i="5"/>
  <c r="I5" i="5"/>
  <c r="I4" i="5" s="1"/>
  <c r="I13" i="5"/>
  <c r="I9" i="5"/>
  <c r="I8" i="5"/>
  <c r="AN75" i="2"/>
  <c r="AE76" i="2"/>
  <c r="AO76" i="2"/>
  <c r="AP76" i="2" s="1"/>
  <c r="AD75" i="2"/>
  <c r="AM75" i="2"/>
  <c r="AE69" i="2"/>
  <c r="AO69" i="2"/>
  <c r="AP69" i="2" s="1"/>
  <c r="AE66" i="2"/>
  <c r="AO72" i="2"/>
  <c r="AE67" i="2"/>
  <c r="AO67" i="2"/>
  <c r="AP67" i="2" s="1"/>
  <c r="AE73" i="2"/>
  <c r="AO73" i="2"/>
  <c r="AP73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  <c r="J2" i="5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2" i="2"/>
  <c r="F7" i="5"/>
  <c r="F6" i="5" s="1"/>
  <c r="X3" i="2"/>
  <c r="X4" i="2"/>
  <c r="Z4" i="2" s="1"/>
  <c r="AA4" i="2" s="1"/>
  <c r="X5" i="2"/>
  <c r="Z5" i="2" s="1"/>
  <c r="AA5" i="2" s="1"/>
  <c r="X6" i="2"/>
  <c r="Z6" i="2" s="1"/>
  <c r="AA6" i="2" s="1"/>
  <c r="X7" i="2"/>
  <c r="Z7" i="2" s="1"/>
  <c r="AA7" i="2" s="1"/>
  <c r="X8" i="2"/>
  <c r="Z8" i="2" s="1"/>
  <c r="AA8" i="2" s="1"/>
  <c r="X9" i="2"/>
  <c r="Z9" i="2" s="1"/>
  <c r="AA9" i="2" s="1"/>
  <c r="X10" i="2"/>
  <c r="Z10" i="2" s="1"/>
  <c r="AA10" i="2" s="1"/>
  <c r="X11" i="2"/>
  <c r="Z11" i="2" s="1"/>
  <c r="AA11" i="2" s="1"/>
  <c r="X12" i="2"/>
  <c r="Z12" i="2" s="1"/>
  <c r="AA12" i="2" s="1"/>
  <c r="X13" i="2"/>
  <c r="Z13" i="2" s="1"/>
  <c r="AA13" i="2" s="1"/>
  <c r="X14" i="2"/>
  <c r="Z14" i="2" s="1"/>
  <c r="AA14" i="2" s="1"/>
  <c r="X15" i="2"/>
  <c r="Z15" i="2" s="1"/>
  <c r="AA15" i="2" s="1"/>
  <c r="X16" i="2"/>
  <c r="Z16" i="2" s="1"/>
  <c r="AA16" i="2" s="1"/>
  <c r="X17" i="2"/>
  <c r="Z17" i="2" s="1"/>
  <c r="AA17" i="2" s="1"/>
  <c r="X18" i="2"/>
  <c r="Z18" i="2" s="1"/>
  <c r="AA18" i="2" s="1"/>
  <c r="X19" i="2"/>
  <c r="Z19" i="2" s="1"/>
  <c r="AA19" i="2" s="1"/>
  <c r="X20" i="2"/>
  <c r="Z20" i="2" s="1"/>
  <c r="AA20" i="2" s="1"/>
  <c r="X21" i="2"/>
  <c r="Z21" i="2" s="1"/>
  <c r="AA21" i="2" s="1"/>
  <c r="X22" i="2"/>
  <c r="Z22" i="2" s="1"/>
  <c r="AA22" i="2" s="1"/>
  <c r="X23" i="2"/>
  <c r="Z23" i="2" s="1"/>
  <c r="AA23" i="2" s="1"/>
  <c r="X24" i="2"/>
  <c r="Z24" i="2" s="1"/>
  <c r="AA24" i="2" s="1"/>
  <c r="X25" i="2"/>
  <c r="Z25" i="2" s="1"/>
  <c r="AA25" i="2" s="1"/>
  <c r="X26" i="2"/>
  <c r="Z26" i="2" s="1"/>
  <c r="AA26" i="2" s="1"/>
  <c r="X27" i="2"/>
  <c r="Z27" i="2" s="1"/>
  <c r="AA27" i="2" s="1"/>
  <c r="X28" i="2"/>
  <c r="Z28" i="2" s="1"/>
  <c r="AA28" i="2" s="1"/>
  <c r="X29" i="2"/>
  <c r="Z29" i="2" s="1"/>
  <c r="AA29" i="2" s="1"/>
  <c r="X30" i="2"/>
  <c r="Z30" i="2" s="1"/>
  <c r="AA30" i="2" s="1"/>
  <c r="X31" i="2"/>
  <c r="Z31" i="2" s="1"/>
  <c r="AA31" i="2" s="1"/>
  <c r="X32" i="2"/>
  <c r="Z32" i="2" s="1"/>
  <c r="AA32" i="2" s="1"/>
  <c r="X33" i="2"/>
  <c r="Z33" i="2" s="1"/>
  <c r="AA33" i="2" s="1"/>
  <c r="X34" i="2"/>
  <c r="Z34" i="2" s="1"/>
  <c r="AA34" i="2" s="1"/>
  <c r="X35" i="2"/>
  <c r="Z35" i="2" s="1"/>
  <c r="AA35" i="2" s="1"/>
  <c r="X36" i="2"/>
  <c r="Z36" i="2" s="1"/>
  <c r="AA36" i="2" s="1"/>
  <c r="X37" i="2"/>
  <c r="Z37" i="2" s="1"/>
  <c r="AA37" i="2" s="1"/>
  <c r="X38" i="2"/>
  <c r="Z38" i="2" s="1"/>
  <c r="AA38" i="2" s="1"/>
  <c r="X39" i="2"/>
  <c r="Z39" i="2" s="1"/>
  <c r="AA39" i="2" s="1"/>
  <c r="X40" i="2"/>
  <c r="Z40" i="2" s="1"/>
  <c r="AA40" i="2" s="1"/>
  <c r="X41" i="2"/>
  <c r="Z41" i="2" s="1"/>
  <c r="AA41" i="2" s="1"/>
  <c r="X42" i="2"/>
  <c r="Z42" i="2" s="1"/>
  <c r="AA42" i="2" s="1"/>
  <c r="X43" i="2"/>
  <c r="Z43" i="2" s="1"/>
  <c r="AA43" i="2" s="1"/>
  <c r="X44" i="2"/>
  <c r="Z44" i="2" s="1"/>
  <c r="AA44" i="2" s="1"/>
  <c r="X45" i="2"/>
  <c r="Z45" i="2" s="1"/>
  <c r="AA45" i="2" s="1"/>
  <c r="X46" i="2"/>
  <c r="Z46" i="2" s="1"/>
  <c r="AA46" i="2" s="1"/>
  <c r="X47" i="2"/>
  <c r="Z47" i="2" s="1"/>
  <c r="AA47" i="2" s="1"/>
  <c r="X48" i="2"/>
  <c r="Z48" i="2" s="1"/>
  <c r="AA48" i="2" s="1"/>
  <c r="X49" i="2"/>
  <c r="Z49" i="2" s="1"/>
  <c r="AA49" i="2" s="1"/>
  <c r="X50" i="2"/>
  <c r="Z50" i="2" s="1"/>
  <c r="AA50" i="2" s="1"/>
  <c r="X51" i="2"/>
  <c r="Z51" i="2" s="1"/>
  <c r="AA51" i="2" s="1"/>
  <c r="X52" i="2"/>
  <c r="Z52" i="2" s="1"/>
  <c r="AA52" i="2" s="1"/>
  <c r="X53" i="2"/>
  <c r="Z53" i="2" s="1"/>
  <c r="AA53" i="2" s="1"/>
  <c r="X54" i="2"/>
  <c r="Z54" i="2" s="1"/>
  <c r="AA54" i="2" s="1"/>
  <c r="X55" i="2"/>
  <c r="Z55" i="2" s="1"/>
  <c r="AA55" i="2" s="1"/>
  <c r="X56" i="2"/>
  <c r="Z56" i="2" s="1"/>
  <c r="AA56" i="2" s="1"/>
  <c r="X57" i="2"/>
  <c r="Z57" i="2" s="1"/>
  <c r="AA57" i="2" s="1"/>
  <c r="X58" i="2"/>
  <c r="Z58" i="2" s="1"/>
  <c r="AA58" i="2" s="1"/>
  <c r="X59" i="2"/>
  <c r="Z59" i="2" s="1"/>
  <c r="AA59" i="2" s="1"/>
  <c r="X60" i="2"/>
  <c r="Z60" i="2" s="1"/>
  <c r="AA60" i="2" s="1"/>
  <c r="X61" i="2"/>
  <c r="X62" i="2"/>
  <c r="Z62" i="2" s="1"/>
  <c r="AA62" i="2" s="1"/>
  <c r="X63" i="2"/>
  <c r="X64" i="2"/>
  <c r="Z64" i="2" s="1"/>
  <c r="AA64" i="2" s="1"/>
  <c r="X2" i="2"/>
  <c r="Z2" i="2" s="1"/>
  <c r="AA2" i="2" s="1"/>
  <c r="O3" i="2"/>
  <c r="E15" i="5"/>
  <c r="F15" i="5"/>
  <c r="F9" i="5"/>
  <c r="F10" i="5"/>
  <c r="F11" i="5"/>
  <c r="F12" i="5"/>
  <c r="F13" i="5"/>
  <c r="F14" i="5"/>
  <c r="F8" i="5"/>
  <c r="E8" i="5"/>
  <c r="E9" i="5"/>
  <c r="E10" i="5"/>
  <c r="E11" i="5"/>
  <c r="E12" i="5"/>
  <c r="E13" i="5"/>
  <c r="E14" i="5"/>
  <c r="E33" i="7"/>
  <c r="F33" i="7"/>
  <c r="G33" i="7" s="1"/>
  <c r="E32" i="7"/>
  <c r="F32" i="7"/>
  <c r="G32" i="7" s="1"/>
  <c r="E31" i="7"/>
  <c r="F31" i="7" s="1"/>
  <c r="G31" i="7" s="1"/>
  <c r="E30" i="7"/>
  <c r="F30" i="7"/>
  <c r="E29" i="7"/>
  <c r="F29" i="7"/>
  <c r="E28" i="7"/>
  <c r="F28" i="7" s="1"/>
  <c r="E27" i="7"/>
  <c r="F27" i="7"/>
  <c r="E26" i="7"/>
  <c r="F26" i="7"/>
  <c r="E25" i="7"/>
  <c r="F25" i="7"/>
  <c r="E24" i="7"/>
  <c r="F24" i="7" s="1"/>
  <c r="E23" i="7"/>
  <c r="F23" i="7"/>
  <c r="E22" i="7"/>
  <c r="F22" i="7" s="1"/>
  <c r="E21" i="7"/>
  <c r="F21" i="7"/>
  <c r="E20" i="7"/>
  <c r="F20" i="7" s="1"/>
  <c r="E19" i="7"/>
  <c r="F19" i="7"/>
  <c r="E18" i="7"/>
  <c r="F18" i="7"/>
  <c r="E17" i="7"/>
  <c r="F17" i="7" s="1"/>
  <c r="E16" i="7"/>
  <c r="F16" i="7"/>
  <c r="E15" i="7"/>
  <c r="F15" i="7" s="1"/>
  <c r="E14" i="7"/>
  <c r="F14" i="7"/>
  <c r="E13" i="7"/>
  <c r="F13" i="7"/>
  <c r="E12" i="7"/>
  <c r="F12" i="7" s="1"/>
  <c r="E11" i="7"/>
  <c r="F11" i="7"/>
  <c r="E10" i="7"/>
  <c r="F10" i="7"/>
  <c r="E9" i="7"/>
  <c r="F9" i="7"/>
  <c r="E8" i="7"/>
  <c r="F8" i="7"/>
  <c r="E7" i="7"/>
  <c r="F7" i="7" s="1"/>
  <c r="E6" i="7"/>
  <c r="F6" i="7"/>
  <c r="E4" i="7"/>
  <c r="F4" i="7" s="1"/>
  <c r="E5" i="7"/>
  <c r="F5" i="7" s="1"/>
  <c r="E3" i="7"/>
  <c r="AP66" i="2" l="1"/>
  <c r="AO70" i="2"/>
  <c r="AP70" i="2" s="1"/>
  <c r="AP72" i="2"/>
  <c r="AE75" i="2"/>
  <c r="AO75" i="2"/>
  <c r="AP75" i="2" s="1"/>
  <c r="Z3" i="2"/>
  <c r="AA3" i="2" s="1"/>
  <c r="Z61" i="2"/>
  <c r="AA61" i="2" s="1"/>
  <c r="J10" i="5"/>
  <c r="J14" i="5"/>
  <c r="J15" i="5"/>
  <c r="J9" i="5"/>
  <c r="J12" i="5"/>
  <c r="J13" i="5"/>
  <c r="J8" i="5"/>
  <c r="J11" i="5"/>
  <c r="Z63" i="2"/>
  <c r="AA63" i="2" s="1"/>
  <c r="G28" i="7"/>
  <c r="G29" i="7"/>
  <c r="G30" i="7"/>
  <c r="G25" i="7"/>
  <c r="G27" i="7"/>
  <c r="G26" i="7"/>
  <c r="G24" i="7"/>
  <c r="G22" i="7"/>
  <c r="G23" i="7"/>
  <c r="G21" i="7"/>
  <c r="G20" i="7"/>
  <c r="G18" i="7"/>
  <c r="G17" i="7"/>
  <c r="G19" i="7"/>
  <c r="G15" i="7"/>
  <c r="G16" i="7"/>
  <c r="G12" i="7"/>
  <c r="G13" i="7"/>
  <c r="G14" i="7"/>
  <c r="G10" i="7"/>
  <c r="G9" i="7"/>
  <c r="G11" i="7"/>
  <c r="G8" i="7"/>
  <c r="G7" i="7"/>
  <c r="G6" i="7"/>
  <c r="F3" i="7"/>
  <c r="D3" i="6"/>
  <c r="D4" i="6"/>
  <c r="D5" i="6"/>
  <c r="D6" i="6"/>
  <c r="D2" i="6"/>
  <c r="G5" i="7" l="1"/>
  <c r="G3" i="7"/>
  <c r="G4" i="7"/>
  <c r="F4" i="5"/>
  <c r="J4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3" i="4"/>
  <c r="G2" i="4"/>
  <c r="E23" i="4"/>
  <c r="D23" i="4"/>
  <c r="C23" i="4"/>
  <c r="L3" i="2"/>
  <c r="M3" i="2"/>
  <c r="N3" i="2"/>
  <c r="P3" i="2"/>
  <c r="Q3" i="2"/>
  <c r="L4" i="2"/>
  <c r="M4" i="2"/>
  <c r="N4" i="2"/>
  <c r="O4" i="2"/>
  <c r="P4" i="2"/>
  <c r="Q4" i="2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L24" i="2"/>
  <c r="M24" i="2"/>
  <c r="N24" i="2"/>
  <c r="O24" i="2"/>
  <c r="P24" i="2"/>
  <c r="Q24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L29" i="2"/>
  <c r="M29" i="2"/>
  <c r="N29" i="2"/>
  <c r="O29" i="2"/>
  <c r="P29" i="2"/>
  <c r="Q29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L39" i="2"/>
  <c r="M39" i="2"/>
  <c r="N39" i="2"/>
  <c r="O39" i="2"/>
  <c r="P39" i="2"/>
  <c r="Q39" i="2"/>
  <c r="L40" i="2"/>
  <c r="M40" i="2"/>
  <c r="N40" i="2"/>
  <c r="O40" i="2"/>
  <c r="P40" i="2"/>
  <c r="Q40" i="2"/>
  <c r="L41" i="2"/>
  <c r="M41" i="2"/>
  <c r="N41" i="2"/>
  <c r="O41" i="2"/>
  <c r="P41" i="2"/>
  <c r="Q41" i="2"/>
  <c r="L42" i="2"/>
  <c r="M42" i="2"/>
  <c r="N42" i="2"/>
  <c r="O42" i="2"/>
  <c r="P42" i="2"/>
  <c r="Q42" i="2"/>
  <c r="L43" i="2"/>
  <c r="M43" i="2"/>
  <c r="N43" i="2"/>
  <c r="O43" i="2"/>
  <c r="P43" i="2"/>
  <c r="Q43" i="2"/>
  <c r="L44" i="2"/>
  <c r="M44" i="2"/>
  <c r="N44" i="2"/>
  <c r="O44" i="2"/>
  <c r="P44" i="2"/>
  <c r="Q44" i="2"/>
  <c r="L45" i="2"/>
  <c r="M45" i="2"/>
  <c r="N45" i="2"/>
  <c r="O45" i="2"/>
  <c r="P45" i="2"/>
  <c r="Q45" i="2"/>
  <c r="L46" i="2"/>
  <c r="M46" i="2"/>
  <c r="N46" i="2"/>
  <c r="O46" i="2"/>
  <c r="P46" i="2"/>
  <c r="Q46" i="2"/>
  <c r="L47" i="2"/>
  <c r="M47" i="2"/>
  <c r="N47" i="2"/>
  <c r="O47" i="2"/>
  <c r="P47" i="2"/>
  <c r="Q47" i="2"/>
  <c r="L48" i="2"/>
  <c r="M48" i="2"/>
  <c r="N48" i="2"/>
  <c r="O48" i="2"/>
  <c r="P48" i="2"/>
  <c r="Q48" i="2"/>
  <c r="L49" i="2"/>
  <c r="M49" i="2"/>
  <c r="N49" i="2"/>
  <c r="O49" i="2"/>
  <c r="P49" i="2"/>
  <c r="Q49" i="2"/>
  <c r="L50" i="2"/>
  <c r="M50" i="2"/>
  <c r="N50" i="2"/>
  <c r="O50" i="2"/>
  <c r="P50" i="2"/>
  <c r="Q50" i="2"/>
  <c r="L51" i="2"/>
  <c r="M51" i="2"/>
  <c r="N51" i="2"/>
  <c r="O51" i="2"/>
  <c r="P51" i="2"/>
  <c r="Q51" i="2"/>
  <c r="L52" i="2"/>
  <c r="M52" i="2"/>
  <c r="N52" i="2"/>
  <c r="O52" i="2"/>
  <c r="P52" i="2"/>
  <c r="Q52" i="2"/>
  <c r="L53" i="2"/>
  <c r="M53" i="2"/>
  <c r="N53" i="2"/>
  <c r="O53" i="2"/>
  <c r="P53" i="2"/>
  <c r="Q53" i="2"/>
  <c r="L54" i="2"/>
  <c r="M54" i="2"/>
  <c r="N54" i="2"/>
  <c r="O54" i="2"/>
  <c r="P54" i="2"/>
  <c r="Q54" i="2"/>
  <c r="L55" i="2"/>
  <c r="M55" i="2"/>
  <c r="N55" i="2"/>
  <c r="O55" i="2"/>
  <c r="P55" i="2"/>
  <c r="Q55" i="2"/>
  <c r="L56" i="2"/>
  <c r="M56" i="2"/>
  <c r="N56" i="2"/>
  <c r="O56" i="2"/>
  <c r="P56" i="2"/>
  <c r="Q56" i="2"/>
  <c r="L57" i="2"/>
  <c r="M57" i="2"/>
  <c r="N57" i="2"/>
  <c r="O57" i="2"/>
  <c r="P57" i="2"/>
  <c r="Q57" i="2"/>
  <c r="L58" i="2"/>
  <c r="M58" i="2"/>
  <c r="N58" i="2"/>
  <c r="O58" i="2"/>
  <c r="P58" i="2"/>
  <c r="Q58" i="2"/>
  <c r="L59" i="2"/>
  <c r="M59" i="2"/>
  <c r="N59" i="2"/>
  <c r="O59" i="2"/>
  <c r="P59" i="2"/>
  <c r="Q59" i="2"/>
  <c r="L60" i="2"/>
  <c r="M60" i="2"/>
  <c r="N60" i="2"/>
  <c r="O60" i="2"/>
  <c r="P60" i="2"/>
  <c r="Q60" i="2"/>
  <c r="L61" i="2"/>
  <c r="M61" i="2"/>
  <c r="N61" i="2"/>
  <c r="O61" i="2"/>
  <c r="P61" i="2"/>
  <c r="Q61" i="2"/>
  <c r="L62" i="2"/>
  <c r="M62" i="2"/>
  <c r="N62" i="2"/>
  <c r="O62" i="2"/>
  <c r="P62" i="2"/>
  <c r="Q62" i="2"/>
  <c r="L63" i="2"/>
  <c r="M63" i="2"/>
  <c r="N63" i="2"/>
  <c r="O63" i="2"/>
  <c r="P63" i="2"/>
  <c r="Q63" i="2"/>
  <c r="L64" i="2"/>
  <c r="M64" i="2"/>
  <c r="N64" i="2"/>
  <c r="O64" i="2"/>
  <c r="P64" i="2"/>
  <c r="Q64" i="2"/>
  <c r="Q2" i="2"/>
  <c r="P2" i="2"/>
  <c r="O2" i="2"/>
  <c r="N2" i="2"/>
  <c r="M2" i="2"/>
  <c r="L2" i="2"/>
  <c r="F5" i="5" l="1"/>
  <c r="J5" i="5" s="1"/>
  <c r="G2" i="7"/>
  <c r="R7" i="2"/>
  <c r="R5" i="2"/>
  <c r="R2" i="2"/>
  <c r="R15" i="2"/>
  <c r="R13" i="2"/>
  <c r="R11" i="2"/>
  <c r="R9" i="2"/>
  <c r="R3" i="2"/>
  <c r="R64" i="2"/>
  <c r="R62" i="2"/>
  <c r="R60" i="2"/>
  <c r="R58" i="2"/>
  <c r="R56" i="2"/>
  <c r="R54" i="2"/>
  <c r="R52" i="2"/>
  <c r="R50" i="2"/>
  <c r="R48" i="2"/>
  <c r="R46" i="2"/>
  <c r="R44" i="2"/>
  <c r="R42" i="2"/>
  <c r="R40" i="2"/>
  <c r="R38" i="2"/>
  <c r="R36" i="2"/>
  <c r="R34" i="2"/>
  <c r="R32" i="2"/>
  <c r="R30" i="2"/>
  <c r="R28" i="2"/>
  <c r="R26" i="2"/>
  <c r="R24" i="2"/>
  <c r="R22" i="2"/>
  <c r="R20" i="2"/>
  <c r="R18" i="2"/>
  <c r="R16" i="2"/>
  <c r="R14" i="2"/>
  <c r="R12" i="2"/>
  <c r="R10" i="2"/>
  <c r="R8" i="2"/>
  <c r="R6" i="2"/>
  <c r="R4" i="2"/>
  <c r="R63" i="2"/>
  <c r="R61" i="2"/>
  <c r="R59" i="2"/>
  <c r="R57" i="2"/>
  <c r="R55" i="2"/>
  <c r="R53" i="2"/>
  <c r="R51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7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  <c r="H3" i="2"/>
  <c r="AJ3" i="2" s="1"/>
  <c r="AK3" i="2" s="1"/>
  <c r="H4" i="2"/>
  <c r="AJ4" i="2" s="1"/>
  <c r="AK4" i="2" s="1"/>
  <c r="H5" i="2"/>
  <c r="AJ5" i="2" s="1"/>
  <c r="AK5" i="2" s="1"/>
  <c r="H6" i="2"/>
  <c r="AJ6" i="2" s="1"/>
  <c r="AK6" i="2" s="1"/>
  <c r="H7" i="2"/>
  <c r="AJ7" i="2" s="1"/>
  <c r="AK7" i="2" s="1"/>
  <c r="H8" i="2"/>
  <c r="AJ8" i="2" s="1"/>
  <c r="AK8" i="2" s="1"/>
  <c r="H9" i="2"/>
  <c r="AJ9" i="2" s="1"/>
  <c r="AK9" i="2" s="1"/>
  <c r="H10" i="2"/>
  <c r="AJ10" i="2" s="1"/>
  <c r="AK10" i="2" s="1"/>
  <c r="H11" i="2"/>
  <c r="AJ11" i="2" s="1"/>
  <c r="AK11" i="2" s="1"/>
  <c r="H12" i="2"/>
  <c r="AJ12" i="2" s="1"/>
  <c r="AK12" i="2" s="1"/>
  <c r="H13" i="2"/>
  <c r="AJ13" i="2" s="1"/>
  <c r="AK13" i="2" s="1"/>
  <c r="H14" i="2"/>
  <c r="AJ14" i="2" s="1"/>
  <c r="AK14" i="2" s="1"/>
  <c r="H15" i="2"/>
  <c r="AJ15" i="2" s="1"/>
  <c r="AK15" i="2" s="1"/>
  <c r="H16" i="2"/>
  <c r="AJ16" i="2" s="1"/>
  <c r="AK16" i="2" s="1"/>
  <c r="H17" i="2"/>
  <c r="AJ17" i="2" s="1"/>
  <c r="AK17" i="2" s="1"/>
  <c r="H18" i="2"/>
  <c r="AJ18" i="2" s="1"/>
  <c r="AK18" i="2" s="1"/>
  <c r="H19" i="2"/>
  <c r="AJ19" i="2" s="1"/>
  <c r="AK19" i="2" s="1"/>
  <c r="H20" i="2"/>
  <c r="AJ20" i="2" s="1"/>
  <c r="AK20" i="2" s="1"/>
  <c r="H21" i="2"/>
  <c r="AJ21" i="2" s="1"/>
  <c r="AK21" i="2" s="1"/>
  <c r="H22" i="2"/>
  <c r="AJ22" i="2" s="1"/>
  <c r="AK22" i="2" s="1"/>
  <c r="H23" i="2"/>
  <c r="AJ23" i="2" s="1"/>
  <c r="AK23" i="2" s="1"/>
  <c r="H24" i="2"/>
  <c r="AJ24" i="2" s="1"/>
  <c r="AK24" i="2" s="1"/>
  <c r="H25" i="2"/>
  <c r="AJ25" i="2" s="1"/>
  <c r="AK25" i="2" s="1"/>
  <c r="H26" i="2"/>
  <c r="AJ26" i="2" s="1"/>
  <c r="AK26" i="2" s="1"/>
  <c r="H27" i="2"/>
  <c r="AJ27" i="2" s="1"/>
  <c r="AK27" i="2" s="1"/>
  <c r="H28" i="2"/>
  <c r="AJ28" i="2" s="1"/>
  <c r="AK28" i="2" s="1"/>
  <c r="H29" i="2"/>
  <c r="AJ29" i="2" s="1"/>
  <c r="AK29" i="2" s="1"/>
  <c r="H30" i="2"/>
  <c r="AJ30" i="2" s="1"/>
  <c r="AK30" i="2" s="1"/>
  <c r="H31" i="2"/>
  <c r="AJ31" i="2" s="1"/>
  <c r="AK31" i="2" s="1"/>
  <c r="H32" i="2"/>
  <c r="AJ32" i="2" s="1"/>
  <c r="AK32" i="2" s="1"/>
  <c r="H33" i="2"/>
  <c r="AJ33" i="2" s="1"/>
  <c r="AK33" i="2" s="1"/>
  <c r="H34" i="2"/>
  <c r="AJ34" i="2" s="1"/>
  <c r="AK34" i="2" s="1"/>
  <c r="H35" i="2"/>
  <c r="AJ35" i="2" s="1"/>
  <c r="AK35" i="2" s="1"/>
  <c r="H36" i="2"/>
  <c r="AJ36" i="2" s="1"/>
  <c r="AK36" i="2" s="1"/>
  <c r="H37" i="2"/>
  <c r="AJ37" i="2" s="1"/>
  <c r="AK37" i="2" s="1"/>
  <c r="H38" i="2"/>
  <c r="AJ38" i="2" s="1"/>
  <c r="AK38" i="2" s="1"/>
  <c r="H39" i="2"/>
  <c r="AJ39" i="2" s="1"/>
  <c r="AK39" i="2" s="1"/>
  <c r="H40" i="2"/>
  <c r="AJ40" i="2" s="1"/>
  <c r="AK40" i="2" s="1"/>
  <c r="H41" i="2"/>
  <c r="AJ41" i="2" s="1"/>
  <c r="AK41" i="2" s="1"/>
  <c r="H42" i="2"/>
  <c r="AJ42" i="2" s="1"/>
  <c r="AK42" i="2" s="1"/>
  <c r="H43" i="2"/>
  <c r="AJ43" i="2" s="1"/>
  <c r="AK43" i="2" s="1"/>
  <c r="H44" i="2"/>
  <c r="AJ44" i="2" s="1"/>
  <c r="AK44" i="2" s="1"/>
  <c r="H45" i="2"/>
  <c r="AJ45" i="2" s="1"/>
  <c r="AK45" i="2" s="1"/>
  <c r="H46" i="2"/>
  <c r="AJ46" i="2" s="1"/>
  <c r="AK46" i="2" s="1"/>
  <c r="H47" i="2"/>
  <c r="AJ47" i="2" s="1"/>
  <c r="AK47" i="2" s="1"/>
  <c r="H48" i="2"/>
  <c r="AJ48" i="2" s="1"/>
  <c r="AK48" i="2" s="1"/>
  <c r="H49" i="2"/>
  <c r="AJ49" i="2" s="1"/>
  <c r="AK49" i="2" s="1"/>
  <c r="H50" i="2"/>
  <c r="AJ50" i="2" s="1"/>
  <c r="AK50" i="2" s="1"/>
  <c r="H51" i="2"/>
  <c r="AJ51" i="2" s="1"/>
  <c r="AK51" i="2" s="1"/>
  <c r="H52" i="2"/>
  <c r="AJ52" i="2" s="1"/>
  <c r="AK52" i="2" s="1"/>
  <c r="H53" i="2"/>
  <c r="AJ53" i="2" s="1"/>
  <c r="AK53" i="2" s="1"/>
  <c r="H54" i="2"/>
  <c r="AJ54" i="2" s="1"/>
  <c r="AK54" i="2" s="1"/>
  <c r="H55" i="2"/>
  <c r="AJ55" i="2" s="1"/>
  <c r="AK55" i="2" s="1"/>
  <c r="H56" i="2"/>
  <c r="AJ56" i="2" s="1"/>
  <c r="AK56" i="2" s="1"/>
  <c r="H57" i="2"/>
  <c r="AJ57" i="2" s="1"/>
  <c r="AK57" i="2" s="1"/>
  <c r="H58" i="2"/>
  <c r="AJ58" i="2" s="1"/>
  <c r="AK58" i="2" s="1"/>
  <c r="H59" i="2"/>
  <c r="AJ59" i="2" s="1"/>
  <c r="AK59" i="2" s="1"/>
  <c r="H60" i="2"/>
  <c r="AJ60" i="2" s="1"/>
  <c r="AK60" i="2" s="1"/>
  <c r="H61" i="2"/>
  <c r="AJ61" i="2" s="1"/>
  <c r="AK61" i="2" s="1"/>
  <c r="H62" i="2"/>
  <c r="AJ62" i="2" s="1"/>
  <c r="AK62" i="2" s="1"/>
  <c r="H63" i="2"/>
  <c r="AJ63" i="2" s="1"/>
  <c r="AK63" i="2" s="1"/>
  <c r="H64" i="2"/>
  <c r="AJ64" i="2" s="1"/>
  <c r="AK64" i="2" s="1"/>
  <c r="H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G2" i="5" l="1"/>
  <c r="K2" i="5" s="1"/>
  <c r="AE2" i="2"/>
  <c r="AJ2" i="2"/>
  <c r="I3" i="5" s="1"/>
  <c r="V55" i="2"/>
  <c r="W55" i="2" s="1"/>
  <c r="AF55" i="2"/>
  <c r="AE55" i="2"/>
  <c r="AB55" i="2"/>
  <c r="AC55" i="2"/>
  <c r="V50" i="2"/>
  <c r="W50" i="2" s="1"/>
  <c r="AB50" i="2"/>
  <c r="AC50" i="2"/>
  <c r="AF50" i="2"/>
  <c r="AE50" i="2"/>
  <c r="AC2" i="2"/>
  <c r="V2" i="2"/>
  <c r="AB2" i="2"/>
  <c r="AF2" i="2"/>
  <c r="V45" i="2"/>
  <c r="W45" i="2" s="1"/>
  <c r="AE45" i="2"/>
  <c r="AF45" i="2"/>
  <c r="AB45" i="2"/>
  <c r="AC45" i="2"/>
  <c r="V41" i="2"/>
  <c r="W41" i="2" s="1"/>
  <c r="AE41" i="2"/>
  <c r="AB41" i="2"/>
  <c r="AF41" i="2"/>
  <c r="AC41" i="2"/>
  <c r="V37" i="2"/>
  <c r="W37" i="2" s="1"/>
  <c r="AF37" i="2"/>
  <c r="AC37" i="2"/>
  <c r="AB37" i="2"/>
  <c r="AE37" i="2"/>
  <c r="V33" i="2"/>
  <c r="W33" i="2" s="1"/>
  <c r="AB33" i="2"/>
  <c r="AC33" i="2"/>
  <c r="AF33" i="2"/>
  <c r="AE33" i="2"/>
  <c r="V29" i="2"/>
  <c r="W29" i="2" s="1"/>
  <c r="AE29" i="2"/>
  <c r="AF29" i="2"/>
  <c r="AB29" i="2"/>
  <c r="AC29" i="2"/>
  <c r="V25" i="2"/>
  <c r="W25" i="2" s="1"/>
  <c r="AE25" i="2"/>
  <c r="AB25" i="2"/>
  <c r="AF25" i="2"/>
  <c r="AC25" i="2"/>
  <c r="V21" i="2"/>
  <c r="W21" i="2" s="1"/>
  <c r="AF21" i="2"/>
  <c r="AC21" i="2"/>
  <c r="AB21" i="2"/>
  <c r="AE21" i="2"/>
  <c r="V17" i="2"/>
  <c r="W17" i="2" s="1"/>
  <c r="AB17" i="2"/>
  <c r="AC17" i="2"/>
  <c r="AF17" i="2"/>
  <c r="AE17" i="2"/>
  <c r="V13" i="2"/>
  <c r="W13" i="2" s="1"/>
  <c r="AE13" i="2"/>
  <c r="AF13" i="2"/>
  <c r="AB13" i="2"/>
  <c r="AC13" i="2"/>
  <c r="V60" i="2"/>
  <c r="W60" i="2" s="1"/>
  <c r="AE60" i="2"/>
  <c r="AB60" i="2"/>
  <c r="AF60" i="2"/>
  <c r="AC60" i="2"/>
  <c r="V8" i="2"/>
  <c r="W8" i="2" s="1"/>
  <c r="AE8" i="2"/>
  <c r="AF8" i="2"/>
  <c r="AC8" i="2"/>
  <c r="AB8" i="2"/>
  <c r="V4" i="2"/>
  <c r="W4" i="2" s="1"/>
  <c r="AF4" i="2"/>
  <c r="AE4" i="2"/>
  <c r="AC4" i="2"/>
  <c r="AB4" i="2"/>
  <c r="S2" i="2"/>
  <c r="T2" i="2" s="1"/>
  <c r="U2" i="2" s="1"/>
  <c r="S15" i="2"/>
  <c r="T15" i="2" s="1"/>
  <c r="U15" i="2" s="1"/>
  <c r="S13" i="2"/>
  <c r="T13" i="2" s="1"/>
  <c r="U13" i="2" s="1"/>
  <c r="S9" i="2"/>
  <c r="T9" i="2" s="1"/>
  <c r="U9" i="2" s="1"/>
  <c r="S7" i="2"/>
  <c r="T7" i="2" s="1"/>
  <c r="U7" i="2" s="1"/>
  <c r="S5" i="2"/>
  <c r="T5" i="2" s="1"/>
  <c r="U5" i="2" s="1"/>
  <c r="S3" i="2"/>
  <c r="T3" i="2" s="1"/>
  <c r="U3" i="2" s="1"/>
  <c r="S11" i="2"/>
  <c r="T11" i="2" s="1"/>
  <c r="U11" i="2" s="1"/>
  <c r="S10" i="2"/>
  <c r="T10" i="2" s="1"/>
  <c r="U10" i="2" s="1"/>
  <c r="S18" i="2"/>
  <c r="S26" i="2"/>
  <c r="T26" i="2" s="1"/>
  <c r="U26" i="2" s="1"/>
  <c r="S34" i="2"/>
  <c r="T34" i="2" s="1"/>
  <c r="U34" i="2" s="1"/>
  <c r="S42" i="2"/>
  <c r="S50" i="2"/>
  <c r="T50" i="2" s="1"/>
  <c r="U50" i="2" s="1"/>
  <c r="S58" i="2"/>
  <c r="T58" i="2" s="1"/>
  <c r="U58" i="2" s="1"/>
  <c r="S25" i="2"/>
  <c r="T25" i="2" s="1"/>
  <c r="U25" i="2" s="1"/>
  <c r="S41" i="2"/>
  <c r="T41" i="2" s="1"/>
  <c r="U41" i="2" s="1"/>
  <c r="S57" i="2"/>
  <c r="T57" i="2" s="1"/>
  <c r="U57" i="2" s="1"/>
  <c r="S27" i="2"/>
  <c r="T27" i="2" s="1"/>
  <c r="U27" i="2" s="1"/>
  <c r="S43" i="2"/>
  <c r="T43" i="2" s="1"/>
  <c r="U43" i="2" s="1"/>
  <c r="S4" i="2"/>
  <c r="T4" i="2" s="1"/>
  <c r="U4" i="2" s="1"/>
  <c r="S60" i="2"/>
  <c r="T60" i="2" s="1"/>
  <c r="U60" i="2" s="1"/>
  <c r="S21" i="2"/>
  <c r="T21" i="2" s="1"/>
  <c r="U21" i="2" s="1"/>
  <c r="S29" i="2"/>
  <c r="T29" i="2" s="1"/>
  <c r="U29" i="2" s="1"/>
  <c r="S37" i="2"/>
  <c r="T37" i="2" s="1"/>
  <c r="U37" i="2" s="1"/>
  <c r="S45" i="2"/>
  <c r="T45" i="2" s="1"/>
  <c r="U45" i="2" s="1"/>
  <c r="S53" i="2"/>
  <c r="T53" i="2" s="1"/>
  <c r="U53" i="2" s="1"/>
  <c r="S61" i="2"/>
  <c r="T61" i="2" s="1"/>
  <c r="U61" i="2" s="1"/>
  <c r="S6" i="2"/>
  <c r="T6" i="2" s="1"/>
  <c r="U6" i="2" s="1"/>
  <c r="S14" i="2"/>
  <c r="T14" i="2" s="1"/>
  <c r="U14" i="2" s="1"/>
  <c r="S22" i="2"/>
  <c r="T22" i="2" s="1"/>
  <c r="U22" i="2" s="1"/>
  <c r="S30" i="2"/>
  <c r="T30" i="2" s="1"/>
  <c r="U30" i="2" s="1"/>
  <c r="S38" i="2"/>
  <c r="T38" i="2" s="1"/>
  <c r="U38" i="2" s="1"/>
  <c r="S46" i="2"/>
  <c r="T46" i="2" s="1"/>
  <c r="U46" i="2" s="1"/>
  <c r="S54" i="2"/>
  <c r="T54" i="2" s="1"/>
  <c r="U54" i="2" s="1"/>
  <c r="S62" i="2"/>
  <c r="T62" i="2" s="1"/>
  <c r="U62" i="2" s="1"/>
  <c r="S17" i="2"/>
  <c r="T17" i="2" s="1"/>
  <c r="U17" i="2" s="1"/>
  <c r="S33" i="2"/>
  <c r="T33" i="2" s="1"/>
  <c r="U33" i="2" s="1"/>
  <c r="S49" i="2"/>
  <c r="T49" i="2" s="1"/>
  <c r="U49" i="2" s="1"/>
  <c r="S19" i="2"/>
  <c r="T19" i="2" s="1"/>
  <c r="U19" i="2" s="1"/>
  <c r="S35" i="2"/>
  <c r="T35" i="2" s="1"/>
  <c r="U35" i="2" s="1"/>
  <c r="S51" i="2"/>
  <c r="T51" i="2" s="1"/>
  <c r="U51" i="2" s="1"/>
  <c r="S59" i="2"/>
  <c r="T59" i="2" s="1"/>
  <c r="U59" i="2" s="1"/>
  <c r="S12" i="2"/>
  <c r="S20" i="2"/>
  <c r="T20" i="2" s="1"/>
  <c r="U20" i="2" s="1"/>
  <c r="S28" i="2"/>
  <c r="T28" i="2" s="1"/>
  <c r="U28" i="2" s="1"/>
  <c r="S36" i="2"/>
  <c r="T36" i="2" s="1"/>
  <c r="U36" i="2" s="1"/>
  <c r="S44" i="2"/>
  <c r="T44" i="2" s="1"/>
  <c r="U44" i="2" s="1"/>
  <c r="S52" i="2"/>
  <c r="T52" i="2" s="1"/>
  <c r="U52" i="2" s="1"/>
  <c r="S23" i="2"/>
  <c r="T23" i="2" s="1"/>
  <c r="U23" i="2" s="1"/>
  <c r="S31" i="2"/>
  <c r="T31" i="2" s="1"/>
  <c r="U31" i="2" s="1"/>
  <c r="S39" i="2"/>
  <c r="T39" i="2" s="1"/>
  <c r="U39" i="2" s="1"/>
  <c r="S47" i="2"/>
  <c r="T47" i="2" s="1"/>
  <c r="U47" i="2" s="1"/>
  <c r="S55" i="2"/>
  <c r="T55" i="2" s="1"/>
  <c r="U55" i="2" s="1"/>
  <c r="S63" i="2"/>
  <c r="T63" i="2" s="1"/>
  <c r="U63" i="2" s="1"/>
  <c r="S8" i="2"/>
  <c r="T8" i="2" s="1"/>
  <c r="U8" i="2" s="1"/>
  <c r="S16" i="2"/>
  <c r="T16" i="2" s="1"/>
  <c r="U16" i="2" s="1"/>
  <c r="S24" i="2"/>
  <c r="T24" i="2" s="1"/>
  <c r="U24" i="2" s="1"/>
  <c r="S32" i="2"/>
  <c r="T32" i="2" s="1"/>
  <c r="U32" i="2" s="1"/>
  <c r="S40" i="2"/>
  <c r="T40" i="2" s="1"/>
  <c r="U40" i="2" s="1"/>
  <c r="S48" i="2"/>
  <c r="T48" i="2" s="1"/>
  <c r="U48" i="2" s="1"/>
  <c r="S56" i="2"/>
  <c r="T56" i="2" s="1"/>
  <c r="U56" i="2" s="1"/>
  <c r="AC56" i="2" s="1"/>
  <c r="S64" i="2"/>
  <c r="T64" i="2" s="1"/>
  <c r="U64" i="2" s="1"/>
  <c r="T12" i="2"/>
  <c r="U12" i="2" s="1"/>
  <c r="T42" i="2"/>
  <c r="U42" i="2" s="1"/>
  <c r="T18" i="2"/>
  <c r="U18" i="2" s="1"/>
  <c r="AD55" i="2" l="1"/>
  <c r="AK2" i="2"/>
  <c r="I6" i="5" s="1"/>
  <c r="H2" i="5"/>
  <c r="AD17" i="2"/>
  <c r="AD33" i="2"/>
  <c r="AD2" i="2"/>
  <c r="AD4" i="2"/>
  <c r="AD60" i="2"/>
  <c r="AD13" i="2"/>
  <c r="AD25" i="2"/>
  <c r="AD29" i="2"/>
  <c r="AD41" i="2"/>
  <c r="AD45" i="2"/>
  <c r="AD50" i="2"/>
  <c r="AD8" i="2"/>
  <c r="AD21" i="2"/>
  <c r="AD37" i="2"/>
  <c r="V7" i="2"/>
  <c r="W7" i="2" s="1"/>
  <c r="AC7" i="2"/>
  <c r="AB7" i="2"/>
  <c r="V16" i="2"/>
  <c r="W16" i="2" s="1"/>
  <c r="AC16" i="2"/>
  <c r="AB16" i="2"/>
  <c r="V52" i="2"/>
  <c r="W52" i="2" s="1"/>
  <c r="AC52" i="2"/>
  <c r="AB52" i="2"/>
  <c r="V12" i="2"/>
  <c r="W12" i="2" s="1"/>
  <c r="AC12" i="2"/>
  <c r="AB12" i="2"/>
  <c r="V40" i="2"/>
  <c r="W40" i="2" s="1"/>
  <c r="AC40" i="2"/>
  <c r="AB40" i="2"/>
  <c r="V39" i="2"/>
  <c r="W39" i="2" s="1"/>
  <c r="AC39" i="2"/>
  <c r="AB39" i="2"/>
  <c r="V44" i="2"/>
  <c r="W44" i="2" s="1"/>
  <c r="AC44" i="2"/>
  <c r="AB44" i="2"/>
  <c r="V19" i="2"/>
  <c r="W19" i="2" s="1"/>
  <c r="AB19" i="2"/>
  <c r="AC19" i="2"/>
  <c r="V62" i="2"/>
  <c r="W62" i="2" s="1"/>
  <c r="AB62" i="2"/>
  <c r="AC62" i="2"/>
  <c r="V30" i="2"/>
  <c r="W30" i="2" s="1"/>
  <c r="AC30" i="2"/>
  <c r="AB30" i="2"/>
  <c r="V61" i="2"/>
  <c r="W61" i="2" s="1"/>
  <c r="AC61" i="2"/>
  <c r="AB61" i="2"/>
  <c r="V43" i="2"/>
  <c r="W43" i="2" s="1"/>
  <c r="AB43" i="2"/>
  <c r="AC43" i="2"/>
  <c r="V34" i="2"/>
  <c r="W34" i="2" s="1"/>
  <c r="AC34" i="2"/>
  <c r="AB34" i="2"/>
  <c r="V11" i="2"/>
  <c r="W11" i="2" s="1"/>
  <c r="AB11" i="2"/>
  <c r="AC11" i="2"/>
  <c r="V9" i="2"/>
  <c r="W9" i="2" s="1"/>
  <c r="AC9" i="2"/>
  <c r="AB9" i="2"/>
  <c r="V42" i="2"/>
  <c r="W42" i="2" s="1"/>
  <c r="AB42" i="2"/>
  <c r="AC42" i="2"/>
  <c r="V47" i="2"/>
  <c r="W47" i="2" s="1"/>
  <c r="AC47" i="2"/>
  <c r="AB47" i="2"/>
  <c r="V35" i="2"/>
  <c r="W35" i="2" s="1"/>
  <c r="AC35" i="2"/>
  <c r="AB35" i="2"/>
  <c r="V6" i="2"/>
  <c r="W6" i="2" s="1"/>
  <c r="AC6" i="2"/>
  <c r="AB6" i="2"/>
  <c r="V64" i="2"/>
  <c r="W64" i="2" s="1"/>
  <c r="AB64" i="2"/>
  <c r="AC64" i="2"/>
  <c r="V63" i="2"/>
  <c r="W63" i="2" s="1"/>
  <c r="AB63" i="2"/>
  <c r="AC63" i="2"/>
  <c r="V31" i="2"/>
  <c r="W31" i="2" s="1"/>
  <c r="AC31" i="2"/>
  <c r="AB31" i="2"/>
  <c r="V36" i="2"/>
  <c r="W36" i="2" s="1"/>
  <c r="AB36" i="2"/>
  <c r="AC36" i="2"/>
  <c r="V59" i="2"/>
  <c r="W59" i="2" s="1"/>
  <c r="AB59" i="2"/>
  <c r="AC59" i="2"/>
  <c r="V49" i="2"/>
  <c r="W49" i="2" s="1"/>
  <c r="AC49" i="2"/>
  <c r="AB49" i="2"/>
  <c r="V54" i="2"/>
  <c r="W54" i="2" s="1"/>
  <c r="AC54" i="2"/>
  <c r="AB54" i="2"/>
  <c r="V22" i="2"/>
  <c r="W22" i="2" s="1"/>
  <c r="AC22" i="2"/>
  <c r="AB22" i="2"/>
  <c r="V53" i="2"/>
  <c r="W53" i="2" s="1"/>
  <c r="AB53" i="2"/>
  <c r="AC53" i="2"/>
  <c r="V27" i="2"/>
  <c r="W27" i="2" s="1"/>
  <c r="AB27" i="2"/>
  <c r="AC27" i="2"/>
  <c r="V58" i="2"/>
  <c r="W58" i="2" s="1"/>
  <c r="AC58" i="2"/>
  <c r="AB58" i="2"/>
  <c r="V26" i="2"/>
  <c r="W26" i="2" s="1"/>
  <c r="AB26" i="2"/>
  <c r="AC26" i="2"/>
  <c r="V3" i="2"/>
  <c r="AC3" i="2"/>
  <c r="AB3" i="2"/>
  <c r="V48" i="2"/>
  <c r="W48" i="2" s="1"/>
  <c r="AC48" i="2"/>
  <c r="AB48" i="2"/>
  <c r="V20" i="2"/>
  <c r="W20" i="2" s="1"/>
  <c r="AB20" i="2"/>
  <c r="AC20" i="2"/>
  <c r="V38" i="2"/>
  <c r="W38" i="2" s="1"/>
  <c r="AC38" i="2"/>
  <c r="AB38" i="2"/>
  <c r="V10" i="2"/>
  <c r="W10" i="2" s="1"/>
  <c r="AC10" i="2"/>
  <c r="AB10" i="2"/>
  <c r="V32" i="2"/>
  <c r="W32" i="2" s="1"/>
  <c r="AB32" i="2"/>
  <c r="AC32" i="2"/>
  <c r="V18" i="2"/>
  <c r="W18" i="2" s="1"/>
  <c r="AC18" i="2"/>
  <c r="AB18" i="2"/>
  <c r="V56" i="2"/>
  <c r="W56" i="2" s="1"/>
  <c r="AB56" i="2"/>
  <c r="V24" i="2"/>
  <c r="W24" i="2" s="1"/>
  <c r="AC24" i="2"/>
  <c r="AB24" i="2"/>
  <c r="V23" i="2"/>
  <c r="W23" i="2" s="1"/>
  <c r="AB23" i="2"/>
  <c r="AC23" i="2"/>
  <c r="V28" i="2"/>
  <c r="W28" i="2" s="1"/>
  <c r="AB28" i="2"/>
  <c r="AC28" i="2"/>
  <c r="V51" i="2"/>
  <c r="W51" i="2" s="1"/>
  <c r="AB51" i="2"/>
  <c r="AC51" i="2"/>
  <c r="V46" i="2"/>
  <c r="W46" i="2" s="1"/>
  <c r="AC46" i="2"/>
  <c r="AB46" i="2"/>
  <c r="V14" i="2"/>
  <c r="W14" i="2" s="1"/>
  <c r="AC14" i="2"/>
  <c r="AB14" i="2"/>
  <c r="V57" i="2"/>
  <c r="W57" i="2" s="1"/>
  <c r="AC57" i="2"/>
  <c r="AB57" i="2"/>
  <c r="V5" i="2"/>
  <c r="W5" i="2" s="1"/>
  <c r="AB5" i="2"/>
  <c r="AC5" i="2"/>
  <c r="V15" i="2"/>
  <c r="W15" i="2" s="1"/>
  <c r="AC15" i="2"/>
  <c r="AB15" i="2"/>
  <c r="W2" i="2"/>
  <c r="F3" i="5" l="1"/>
  <c r="J3" i="5" s="1"/>
  <c r="AM64" i="2"/>
  <c r="AN64" i="2"/>
  <c r="AN63" i="2"/>
  <c r="AM63" i="2"/>
  <c r="AN62" i="2"/>
  <c r="AM62" i="2"/>
  <c r="AM61" i="2"/>
  <c r="AN61" i="2"/>
  <c r="AN57" i="2"/>
  <c r="AM57" i="2"/>
  <c r="AM58" i="2"/>
  <c r="AN58" i="2"/>
  <c r="AN56" i="2"/>
  <c r="AM56" i="2"/>
  <c r="AM59" i="2"/>
  <c r="AN59" i="2"/>
  <c r="AM54" i="2"/>
  <c r="AN54" i="2"/>
  <c r="AM31" i="2"/>
  <c r="AN31" i="2"/>
  <c r="AN35" i="2"/>
  <c r="AM35" i="2"/>
  <c r="AN44" i="2"/>
  <c r="AM44" i="2"/>
  <c r="AN36" i="2"/>
  <c r="AM36" i="2"/>
  <c r="AN32" i="2"/>
  <c r="AM32" i="2"/>
  <c r="AM30" i="2"/>
  <c r="AN30" i="2"/>
  <c r="AN39" i="2"/>
  <c r="AM39" i="2"/>
  <c r="AM38" i="2"/>
  <c r="AN38" i="2"/>
  <c r="AN52" i="2"/>
  <c r="AM52" i="2"/>
  <c r="AM46" i="2"/>
  <c r="AN46" i="2"/>
  <c r="AN51" i="2"/>
  <c r="AM51" i="2"/>
  <c r="AN48" i="2"/>
  <c r="AM48" i="2"/>
  <c r="AM53" i="2"/>
  <c r="AN53" i="2"/>
  <c r="AM49" i="2"/>
  <c r="AN49" i="2"/>
  <c r="AN47" i="2"/>
  <c r="AM47" i="2"/>
  <c r="AM42" i="2"/>
  <c r="AN42" i="2"/>
  <c r="AM34" i="2"/>
  <c r="AN34" i="2"/>
  <c r="AM43" i="2"/>
  <c r="AN43" i="2"/>
  <c r="AN40" i="2"/>
  <c r="AM40" i="2"/>
  <c r="AN27" i="2"/>
  <c r="AM27" i="2"/>
  <c r="AN28" i="2"/>
  <c r="AM28" i="2"/>
  <c r="AN26" i="2"/>
  <c r="AM26" i="2"/>
  <c r="AN24" i="2"/>
  <c r="AM24" i="2"/>
  <c r="AN23" i="2"/>
  <c r="AM23" i="2"/>
  <c r="AN22" i="2"/>
  <c r="AM22" i="2"/>
  <c r="J6" i="5"/>
  <c r="I7" i="5"/>
  <c r="J7" i="5" s="1"/>
  <c r="AN16" i="2"/>
  <c r="AM16" i="2"/>
  <c r="AN20" i="2"/>
  <c r="AM20" i="2"/>
  <c r="AN6" i="2"/>
  <c r="AM6" i="2"/>
  <c r="AN9" i="2"/>
  <c r="AM9" i="2"/>
  <c r="AN11" i="2"/>
  <c r="AM11" i="2"/>
  <c r="AN18" i="2"/>
  <c r="AM18" i="2"/>
  <c r="AN3" i="2"/>
  <c r="AM3" i="2"/>
  <c r="AN12" i="2"/>
  <c r="AM12" i="2"/>
  <c r="AN14" i="2"/>
  <c r="AM14" i="2"/>
  <c r="AN10" i="2"/>
  <c r="AM10" i="2"/>
  <c r="AN15" i="2"/>
  <c r="AM15" i="2"/>
  <c r="AN5" i="2"/>
  <c r="AM5" i="2"/>
  <c r="AN19" i="2"/>
  <c r="AM19" i="2"/>
  <c r="AN7" i="2"/>
  <c r="AM7" i="2"/>
  <c r="AF15" i="2"/>
  <c r="AD46" i="2"/>
  <c r="AD24" i="2"/>
  <c r="AF56" i="2"/>
  <c r="AD38" i="2"/>
  <c r="AF26" i="2"/>
  <c r="AF53" i="2"/>
  <c r="AF22" i="2"/>
  <c r="AF59" i="2"/>
  <c r="AD36" i="2"/>
  <c r="AF64" i="2"/>
  <c r="AD42" i="2"/>
  <c r="AF43" i="2"/>
  <c r="AF61" i="2"/>
  <c r="AF44" i="2"/>
  <c r="AD12" i="2"/>
  <c r="AF52" i="2"/>
  <c r="AF28" i="2"/>
  <c r="AD18" i="2"/>
  <c r="AD20" i="2"/>
  <c r="AD58" i="2"/>
  <c r="AF54" i="2"/>
  <c r="AD30" i="2"/>
  <c r="AF39" i="2"/>
  <c r="AD14" i="2"/>
  <c r="AF27" i="2"/>
  <c r="AF49" i="2"/>
  <c r="AD34" i="2"/>
  <c r="AF62" i="2"/>
  <c r="AF40" i="2"/>
  <c r="AF51" i="2"/>
  <c r="AD51" i="2"/>
  <c r="AF10" i="2"/>
  <c r="AD10" i="2"/>
  <c r="AD15" i="2"/>
  <c r="AF14" i="2"/>
  <c r="AF46" i="2"/>
  <c r="AF24" i="2"/>
  <c r="AF48" i="2"/>
  <c r="AD48" i="2"/>
  <c r="AD27" i="2"/>
  <c r="AD53" i="2"/>
  <c r="AD49" i="2"/>
  <c r="AD59" i="2"/>
  <c r="AD64" i="2"/>
  <c r="AD47" i="2"/>
  <c r="AF47" i="2"/>
  <c r="AF42" i="2"/>
  <c r="AF34" i="2"/>
  <c r="AD43" i="2"/>
  <c r="AD62" i="2"/>
  <c r="AF19" i="2"/>
  <c r="AD19" i="2"/>
  <c r="AD40" i="2"/>
  <c r="AF12" i="2"/>
  <c r="AD7" i="2"/>
  <c r="AF7" i="2"/>
  <c r="AF5" i="2"/>
  <c r="AD5" i="2"/>
  <c r="AD3" i="2"/>
  <c r="AF3" i="2"/>
  <c r="AD32" i="2"/>
  <c r="AF32" i="2"/>
  <c r="W3" i="2"/>
  <c r="G6" i="5" s="1"/>
  <c r="AD31" i="2"/>
  <c r="AF31" i="2"/>
  <c r="AD63" i="2"/>
  <c r="AF63" i="2"/>
  <c r="AF35" i="2"/>
  <c r="AD35" i="2"/>
  <c r="AD16" i="2"/>
  <c r="AF16" i="2"/>
  <c r="AD57" i="2"/>
  <c r="AF57" i="2"/>
  <c r="AF23" i="2"/>
  <c r="AD23" i="2"/>
  <c r="AD28" i="2"/>
  <c r="AD56" i="2"/>
  <c r="AF18" i="2"/>
  <c r="AF38" i="2"/>
  <c r="AF20" i="2"/>
  <c r="AD26" i="2"/>
  <c r="AF58" i="2"/>
  <c r="AD22" i="2"/>
  <c r="AD54" i="2"/>
  <c r="AF36" i="2"/>
  <c r="AF6" i="2"/>
  <c r="AD6" i="2"/>
  <c r="AD9" i="2"/>
  <c r="AF9" i="2"/>
  <c r="AD11" i="2"/>
  <c r="AF11" i="2"/>
  <c r="AD61" i="2"/>
  <c r="AF30" i="2"/>
  <c r="AD44" i="2"/>
  <c r="AD39" i="2"/>
  <c r="AD52" i="2"/>
  <c r="G10" i="5" l="1"/>
  <c r="K10" i="5" s="1"/>
  <c r="G15" i="5"/>
  <c r="K15" i="5" s="1"/>
  <c r="G14" i="5"/>
  <c r="K14" i="5" s="1"/>
  <c r="G12" i="5"/>
  <c r="K12" i="5" s="1"/>
  <c r="G11" i="5"/>
  <c r="K11" i="5" s="1"/>
  <c r="G9" i="5"/>
  <c r="K9" i="5" s="1"/>
  <c r="G5" i="5"/>
  <c r="G8" i="5"/>
  <c r="K8" i="5" s="1"/>
  <c r="G13" i="5"/>
  <c r="K13" i="5" s="1"/>
  <c r="N3" i="5"/>
  <c r="O3" i="5" s="1"/>
  <c r="N2" i="5"/>
  <c r="O2" i="5" s="1"/>
  <c r="AE64" i="2"/>
  <c r="AO64" i="2"/>
  <c r="AE61" i="2"/>
  <c r="AO61" i="2"/>
  <c r="AP61" i="2" s="1"/>
  <c r="AE63" i="2"/>
  <c r="AO63" i="2"/>
  <c r="AP63" i="2" s="1"/>
  <c r="K6" i="5"/>
  <c r="AE62" i="2"/>
  <c r="AO62" i="2"/>
  <c r="AP62" i="2" s="1"/>
  <c r="AP64" i="2"/>
  <c r="AE58" i="2"/>
  <c r="AO58" i="2"/>
  <c r="AP58" i="2" s="1"/>
  <c r="AE59" i="2"/>
  <c r="AO59" i="2"/>
  <c r="AP59" i="2" s="1"/>
  <c r="AE57" i="2"/>
  <c r="AO57" i="2"/>
  <c r="AP57" i="2" s="1"/>
  <c r="AE56" i="2"/>
  <c r="AO56" i="2"/>
  <c r="AP56" i="2" s="1"/>
  <c r="AE54" i="2"/>
  <c r="AO54" i="2"/>
  <c r="AP54" i="2" s="1"/>
  <c r="AE40" i="2"/>
  <c r="AO40" i="2"/>
  <c r="AP40" i="2" s="1"/>
  <c r="AE53" i="2"/>
  <c r="AO53" i="2"/>
  <c r="AP53" i="2" s="1"/>
  <c r="AE46" i="2"/>
  <c r="AO46" i="2"/>
  <c r="AP46" i="2" s="1"/>
  <c r="AE38" i="2"/>
  <c r="AO38" i="2"/>
  <c r="AP38" i="2" s="1"/>
  <c r="AE39" i="2"/>
  <c r="AO39" i="2"/>
  <c r="AP39" i="2" s="1"/>
  <c r="AE48" i="2"/>
  <c r="AO48" i="2"/>
  <c r="AP48" i="2" s="1"/>
  <c r="AE51" i="2"/>
  <c r="AO51" i="2"/>
  <c r="AP51" i="2" s="1"/>
  <c r="AE34" i="2"/>
  <c r="AO34" i="2"/>
  <c r="AP34" i="2" s="1"/>
  <c r="AE42" i="2"/>
  <c r="AO42" i="2"/>
  <c r="AP42" i="2" s="1"/>
  <c r="AE52" i="2"/>
  <c r="AO52" i="2"/>
  <c r="AP52" i="2" s="1"/>
  <c r="AE31" i="2"/>
  <c r="AO31" i="2"/>
  <c r="AP31" i="2" s="1"/>
  <c r="AE32" i="2"/>
  <c r="AO32" i="2"/>
  <c r="AP32" i="2" s="1"/>
  <c r="AE43" i="2"/>
  <c r="AO43" i="2"/>
  <c r="AP43" i="2" s="1"/>
  <c r="AE47" i="2"/>
  <c r="AO47" i="2"/>
  <c r="AP47" i="2" s="1"/>
  <c r="AE36" i="2"/>
  <c r="AO36" i="2"/>
  <c r="AP36" i="2" s="1"/>
  <c r="AE44" i="2"/>
  <c r="AO44" i="2"/>
  <c r="AP44" i="2" s="1"/>
  <c r="AE35" i="2"/>
  <c r="AO35" i="2"/>
  <c r="AP35" i="2" s="1"/>
  <c r="AE49" i="2"/>
  <c r="AO49" i="2"/>
  <c r="AP49" i="2" s="1"/>
  <c r="AE30" i="2"/>
  <c r="AO30" i="2"/>
  <c r="AP30" i="2" s="1"/>
  <c r="AE27" i="2"/>
  <c r="AO27" i="2"/>
  <c r="AP27" i="2" s="1"/>
  <c r="AE28" i="2"/>
  <c r="AO28" i="2"/>
  <c r="AP28" i="2" s="1"/>
  <c r="AE26" i="2"/>
  <c r="AO26" i="2"/>
  <c r="AP26" i="2" s="1"/>
  <c r="AE24" i="2"/>
  <c r="AO24" i="2"/>
  <c r="AP24" i="2" s="1"/>
  <c r="AE22" i="2"/>
  <c r="AO22" i="2"/>
  <c r="AP22" i="2" s="1"/>
  <c r="AE23" i="2"/>
  <c r="AO23" i="2"/>
  <c r="AP23" i="2" s="1"/>
  <c r="H6" i="5"/>
  <c r="AE7" i="2"/>
  <c r="AO7" i="2"/>
  <c r="AP7" i="2" s="1"/>
  <c r="AE20" i="2"/>
  <c r="AO20" i="2"/>
  <c r="AP20" i="2" s="1"/>
  <c r="AE12" i="2"/>
  <c r="AO12" i="2"/>
  <c r="AP12" i="2" s="1"/>
  <c r="AE5" i="2"/>
  <c r="AO5" i="2"/>
  <c r="AP5" i="2" s="1"/>
  <c r="AE15" i="2"/>
  <c r="AO15" i="2"/>
  <c r="AP15" i="2" s="1"/>
  <c r="AE18" i="2"/>
  <c r="AO18" i="2"/>
  <c r="AP18" i="2" s="1"/>
  <c r="AE9" i="2"/>
  <c r="AO9" i="2"/>
  <c r="AP9" i="2" s="1"/>
  <c r="AE11" i="2"/>
  <c r="AO11" i="2"/>
  <c r="AP11" i="2" s="1"/>
  <c r="AE16" i="2"/>
  <c r="AO16" i="2"/>
  <c r="AP16" i="2" s="1"/>
  <c r="AE3" i="2"/>
  <c r="AO3" i="2"/>
  <c r="AE10" i="2"/>
  <c r="AO10" i="2"/>
  <c r="AP10" i="2" s="1"/>
  <c r="AE6" i="2"/>
  <c r="AO6" i="2"/>
  <c r="AP6" i="2" s="1"/>
  <c r="AE19" i="2"/>
  <c r="AO19" i="2"/>
  <c r="AP19" i="2" s="1"/>
  <c r="AE14" i="2"/>
  <c r="AO14" i="2"/>
  <c r="AP14" i="2" s="1"/>
  <c r="G7" i="5"/>
  <c r="K7" i="5" s="1"/>
  <c r="K5" i="5"/>
  <c r="G3" i="5" l="1"/>
  <c r="K3" i="5" s="1"/>
  <c r="N4" i="5"/>
  <c r="O4" i="5" s="1"/>
  <c r="AP3" i="2"/>
  <c r="H13" i="5"/>
  <c r="H11" i="5"/>
  <c r="H12" i="5"/>
  <c r="H5" i="5"/>
  <c r="H9" i="5"/>
  <c r="H10" i="5"/>
  <c r="H15" i="5"/>
  <c r="H14" i="5"/>
  <c r="H8" i="5"/>
  <c r="H7" i="5"/>
  <c r="G4" i="5"/>
  <c r="K4" i="5" s="1"/>
  <c r="N5" i="5" l="1"/>
  <c r="O5" i="5" s="1"/>
  <c r="H4" i="5"/>
  <c r="H3" i="5"/>
</calcChain>
</file>

<file path=xl/sharedStrings.xml><?xml version="1.0" encoding="utf-8"?>
<sst xmlns="http://schemas.openxmlformats.org/spreadsheetml/2006/main" count="572" uniqueCount="306">
  <si>
    <t>EloRank</t>
  </si>
  <si>
    <t>1YearChange</t>
  </si>
  <si>
    <t>Team</t>
  </si>
  <si>
    <t>EloRating</t>
  </si>
  <si>
    <t>FIFARank</t>
  </si>
  <si>
    <t>Steady</t>
  </si>
  <si>
    <t xml:space="preserve"> Brazil</t>
  </si>
  <si>
    <t xml:space="preserve"> Germany</t>
  </si>
  <si>
    <t xml:space="preserve"> Spain</t>
  </si>
  <si>
    <t>Increase 1</t>
  </si>
  <si>
    <t xml:space="preserve"> France</t>
  </si>
  <si>
    <t>Decrease 2</t>
  </si>
  <si>
    <t xml:space="preserve"> Argentina</t>
  </si>
  <si>
    <t>Increase 4</t>
  </si>
  <si>
    <t xml:space="preserve"> Portugal</t>
  </si>
  <si>
    <t>Increase 2</t>
  </si>
  <si>
    <t xml:space="preserve"> England</t>
  </si>
  <si>
    <t>Decrease 1</t>
  </si>
  <si>
    <t xml:space="preserve"> Colombia</t>
  </si>
  <si>
    <t>Increase 3</t>
  </si>
  <si>
    <t xml:space="preserve"> Belgium</t>
  </si>
  <si>
    <t>Increase 8</t>
  </si>
  <si>
    <t xml:space="preserve"> Netherlands</t>
  </si>
  <si>
    <t>Increase 6</t>
  </si>
  <si>
    <t xml:space="preserve"> Peru</t>
  </si>
  <si>
    <t>Decrease 4</t>
  </si>
  <si>
    <t xml:space="preserve"> Italy</t>
  </si>
  <si>
    <t xml:space="preserve"> Uruguay</t>
  </si>
  <si>
    <t xml:space="preserve">  Switzerland</t>
  </si>
  <si>
    <t>Decrease 9</t>
  </si>
  <si>
    <t xml:space="preserve"> Chile</t>
  </si>
  <si>
    <t>Decrease 5</t>
  </si>
  <si>
    <t xml:space="preserve"> Mexico</t>
  </si>
  <si>
    <t xml:space="preserve"> Croatia</t>
  </si>
  <si>
    <t>Increase 16</t>
  </si>
  <si>
    <t xml:space="preserve"> Denmark</t>
  </si>
  <si>
    <t xml:space="preserve"> Poland</t>
  </si>
  <si>
    <t xml:space="preserve"> Sweden</t>
  </si>
  <si>
    <t xml:space="preserve"> Iceland</t>
  </si>
  <si>
    <t xml:space="preserve"> Iran</t>
  </si>
  <si>
    <t xml:space="preserve"> Wales</t>
  </si>
  <si>
    <t>Increase 9</t>
  </si>
  <si>
    <t xml:space="preserve"> Serbia</t>
  </si>
  <si>
    <t>Increase 7</t>
  </si>
  <si>
    <t xml:space="preserve"> United States</t>
  </si>
  <si>
    <t>Increase 5</t>
  </si>
  <si>
    <t xml:space="preserve"> Slovakia</t>
  </si>
  <si>
    <t xml:space="preserve"> South Korea</t>
  </si>
  <si>
    <t xml:space="preserve"> Ecuador</t>
  </si>
  <si>
    <t xml:space="preserve"> Senegal</t>
  </si>
  <si>
    <t xml:space="preserve"> Paraguay</t>
  </si>
  <si>
    <t xml:space="preserve"> Costa Rica</t>
  </si>
  <si>
    <t xml:space="preserve"> Ukraine</t>
  </si>
  <si>
    <t>Increase 11</t>
  </si>
  <si>
    <t xml:space="preserve"> Venezuela</t>
  </si>
  <si>
    <t>Decrease 14</t>
  </si>
  <si>
    <t xml:space="preserve"> Turkey</t>
  </si>
  <si>
    <t xml:space="preserve"> Austria</t>
  </si>
  <si>
    <t>Decrease 7</t>
  </si>
  <si>
    <t xml:space="preserve"> Bosnia and Herzegovina</t>
  </si>
  <si>
    <t xml:space="preserve"> Czech Republic</t>
  </si>
  <si>
    <t xml:space="preserve"> Republic of Ireland</t>
  </si>
  <si>
    <t xml:space="preserve"> Scotland</t>
  </si>
  <si>
    <t>Decrease 3</t>
  </si>
  <si>
    <t xml:space="preserve"> Australia</t>
  </si>
  <si>
    <t>Increase 17</t>
  </si>
  <si>
    <t xml:space="preserve"> Morocco</t>
  </si>
  <si>
    <t xml:space="preserve"> Romania</t>
  </si>
  <si>
    <t xml:space="preserve"> Nigeria</t>
  </si>
  <si>
    <t>Decrease 21</t>
  </si>
  <si>
    <t xml:space="preserve"> Japan</t>
  </si>
  <si>
    <t xml:space="preserve"> Russia</t>
  </si>
  <si>
    <t xml:space="preserve"> Northern Ireland</t>
  </si>
  <si>
    <t xml:space="preserve"> Bolivia</t>
  </si>
  <si>
    <t xml:space="preserve"> Panama</t>
  </si>
  <si>
    <t>Increase 21</t>
  </si>
  <si>
    <t xml:space="preserve"> Tunisia</t>
  </si>
  <si>
    <t xml:space="preserve"> Greece</t>
  </si>
  <si>
    <t>Decrease 11</t>
  </si>
  <si>
    <t xml:space="preserve"> Cameroon</t>
  </si>
  <si>
    <t>Decrease 12</t>
  </si>
  <si>
    <t xml:space="preserve"> Egypt</t>
  </si>
  <si>
    <t>Increase 12</t>
  </si>
  <si>
    <t xml:space="preserve"> Ghana</t>
  </si>
  <si>
    <t>Increase 10</t>
  </si>
  <si>
    <t xml:space="preserve"> Montenegro</t>
  </si>
  <si>
    <t xml:space="preserve"> Bulgaria</t>
  </si>
  <si>
    <t>Increase 14</t>
  </si>
  <si>
    <t xml:space="preserve"> Norway</t>
  </si>
  <si>
    <t xml:space="preserve"> Slovenia</t>
  </si>
  <si>
    <t xml:space="preserve"> Syria</t>
  </si>
  <si>
    <t>Increase 13</t>
  </si>
  <si>
    <t xml:space="preserve"> Finland</t>
  </si>
  <si>
    <t xml:space="preserve"> Honduras</t>
  </si>
  <si>
    <t>Decrease 22</t>
  </si>
  <si>
    <t xml:space="preserve"> Ivory Coast</t>
  </si>
  <si>
    <t>Decrease 8</t>
  </si>
  <si>
    <t xml:space="preserve"> Uzbekistan</t>
  </si>
  <si>
    <t xml:space="preserve"> Burkina Faso</t>
  </si>
  <si>
    <t>Decrease 6</t>
  </si>
  <si>
    <t xml:space="preserve"> Saudi Arabia</t>
  </si>
  <si>
    <t xml:space="preserve"> Albania</t>
  </si>
  <si>
    <t xml:space="preserve"> DR Congo</t>
  </si>
  <si>
    <t>Decrease 24</t>
  </si>
  <si>
    <t xml:space="preserve"> Hungary</t>
  </si>
  <si>
    <t xml:space="preserve"> Jamaica</t>
  </si>
  <si>
    <t xml:space="preserve"> South Africa</t>
  </si>
  <si>
    <t xml:space="preserve"> Iraq</t>
  </si>
  <si>
    <t>Increase 18</t>
  </si>
  <si>
    <t xml:space="preserve"> Oman</t>
  </si>
  <si>
    <t xml:space="preserve"> Canada</t>
  </si>
  <si>
    <t xml:space="preserve"> United Arab Emirates</t>
  </si>
  <si>
    <t xml:space="preserve"> Belarus</t>
  </si>
  <si>
    <t>Decrease 19</t>
  </si>
  <si>
    <t xml:space="preserve"> Israel</t>
  </si>
  <si>
    <t>Decrease 16</t>
  </si>
  <si>
    <t xml:space="preserve"> Algeria</t>
  </si>
  <si>
    <t xml:space="preserve"> China PR</t>
  </si>
  <si>
    <t xml:space="preserve"> Mali</t>
  </si>
  <si>
    <t xml:space="preserve"> Macedonia</t>
  </si>
  <si>
    <t>Decrease 13</t>
  </si>
  <si>
    <t xml:space="preserve"> New Zealand</t>
  </si>
  <si>
    <t xml:space="preserve"> Guatemala</t>
  </si>
  <si>
    <t xml:space="preserve"> Georgia</t>
  </si>
  <si>
    <t xml:space="preserve"> Estonia</t>
  </si>
  <si>
    <t xml:space="preserve"> Haiti</t>
  </si>
  <si>
    <t xml:space="preserve"> Qatar</t>
  </si>
  <si>
    <t xml:space="preserve"> Libya</t>
  </si>
  <si>
    <t xml:space="preserve"> Jordan</t>
  </si>
  <si>
    <t xml:space="preserve"> Zambia</t>
  </si>
  <si>
    <t xml:space="preserve"> Armenia</t>
  </si>
  <si>
    <t>Increase 23</t>
  </si>
  <si>
    <t xml:space="preserve"> Lebanon</t>
  </si>
  <si>
    <t xml:space="preserve"> El Salvador</t>
  </si>
  <si>
    <t xml:space="preserve"> North Korea</t>
  </si>
  <si>
    <t xml:space="preserve"> Uganda</t>
  </si>
  <si>
    <t xml:space="preserve"> Guinea</t>
  </si>
  <si>
    <t xml:space="preserve"> Northern Cyprus[a]</t>
  </si>
  <si>
    <t>—</t>
  </si>
  <si>
    <t xml:space="preserve"> Zimbabwe</t>
  </si>
  <si>
    <t xml:space="preserve"> Gabon</t>
  </si>
  <si>
    <t xml:space="preserve"> Kuwait[b]</t>
  </si>
  <si>
    <t xml:space="preserve"> Cape Verde</t>
  </si>
  <si>
    <t xml:space="preserve"> Trinidad and Tobago</t>
  </si>
  <si>
    <t>World Cup Group Stages Fixture &amp; Results</t>
  </si>
  <si>
    <t>Thursday, Jun 14 2018</t>
  </si>
  <si>
    <t>Russia</t>
  </si>
  <si>
    <t>vs</t>
  </si>
  <si>
    <t>Saudi Arabia</t>
  </si>
  <si>
    <t>Friday, Jun 15 2018</t>
  </si>
  <si>
    <t>Egypt</t>
  </si>
  <si>
    <t>Uruguay</t>
  </si>
  <si>
    <t>Morocco</t>
  </si>
  <si>
    <t>Iran</t>
  </si>
  <si>
    <t>Portugal</t>
  </si>
  <si>
    <t>Spain</t>
  </si>
  <si>
    <t>Saturday, Jun 16 2018</t>
  </si>
  <si>
    <t>France</t>
  </si>
  <si>
    <t>Australia</t>
  </si>
  <si>
    <t>Argentina</t>
  </si>
  <si>
    <t>Iceland</t>
  </si>
  <si>
    <t>Peru</t>
  </si>
  <si>
    <t>Denmark</t>
  </si>
  <si>
    <t>Croatia</t>
  </si>
  <si>
    <t>Nigeria</t>
  </si>
  <si>
    <t>Sunday, Jun 17 2018</t>
  </si>
  <si>
    <t>Costa Rica</t>
  </si>
  <si>
    <t>Serbia</t>
  </si>
  <si>
    <t>Germany</t>
  </si>
  <si>
    <t>Mexico</t>
  </si>
  <si>
    <t>Brazil</t>
  </si>
  <si>
    <t>Switzerland</t>
  </si>
  <si>
    <t>Monday, Jun 18 2018</t>
  </si>
  <si>
    <t>Sweden</t>
  </si>
  <si>
    <t>South Korea</t>
  </si>
  <si>
    <t>Belgium</t>
  </si>
  <si>
    <t>Panama</t>
  </si>
  <si>
    <t>Tunisia</t>
  </si>
  <si>
    <t>England</t>
  </si>
  <si>
    <t>Tuesday, Jun 19 2018</t>
  </si>
  <si>
    <t>Colombia</t>
  </si>
  <si>
    <t>Japan</t>
  </si>
  <si>
    <t>Poland</t>
  </si>
  <si>
    <t>Senegal</t>
  </si>
  <si>
    <t>Wednesday, Jun 20 2018</t>
  </si>
  <si>
    <t>Thursday, Jun 21 2018</t>
  </si>
  <si>
    <t>Friday, Jun 22 2018</t>
  </si>
  <si>
    <t>Saturday, Jun 23 2018</t>
  </si>
  <si>
    <t>Sunday, Jun 24 2018</t>
  </si>
  <si>
    <t>Monday, Jun 25 2018</t>
  </si>
  <si>
    <t>Tuesday, Jun 26 2018</t>
  </si>
  <si>
    <t>Wednesday, Jun 27 2018</t>
  </si>
  <si>
    <t>Thursday, Jun 28 2018</t>
  </si>
  <si>
    <t>xTeam</t>
  </si>
  <si>
    <t>xEloRank</t>
  </si>
  <si>
    <t>FIFA rank1</t>
  </si>
  <si>
    <t>Elo rank1</t>
  </si>
  <si>
    <t>Elo rank2</t>
  </si>
  <si>
    <t>FIFA rank2</t>
  </si>
  <si>
    <t>Elo rating1</t>
  </si>
  <si>
    <t>Elo rating2</t>
  </si>
  <si>
    <t>Rating diff</t>
  </si>
  <si>
    <t>Rating diff /w home adj</t>
  </si>
  <si>
    <t>Home Adv1</t>
  </si>
  <si>
    <t>Home Adv2</t>
  </si>
  <si>
    <t>Win expectancy1</t>
  </si>
  <si>
    <t>Goal diff</t>
  </si>
  <si>
    <t>EDITION</t>
  </si>
  <si>
    <t>TEAMS</t>
  </si>
  <si>
    <t>MATCHES PLAYED</t>
  </si>
  <si>
    <t>GOALS SCORED</t>
  </si>
  <si>
    <t>AVERAGE GOALS</t>
  </si>
  <si>
    <t>AVG. ATTENDANCE</t>
  </si>
  <si>
    <t>2014 FIFA World Cup Brazil ™</t>
  </si>
  <si>
    <t>2010 FIFA World Cup South Africa ™</t>
  </si>
  <si>
    <t>2006 FIFA World Cup Germany ™</t>
  </si>
  <si>
    <t>2002 FIFA World Cup Korea/Japan ™</t>
  </si>
  <si>
    <t>1998 FIFA World Cup France ™</t>
  </si>
  <si>
    <t>1994 FIFA World Cup USA ™</t>
  </si>
  <si>
    <t>1990 FIFA World Cup Italy ™</t>
  </si>
  <si>
    <t>1986 FIFA World Cup Mexico ™</t>
  </si>
  <si>
    <t>1982 FIFA World Cup Spain ™</t>
  </si>
  <si>
    <t>1978 FIFA World Cup Argentina ™</t>
  </si>
  <si>
    <t>1974 FIFA World Cup Germany ™</t>
  </si>
  <si>
    <t>1970 FIFA World Cup Mexico ™</t>
  </si>
  <si>
    <t>1966 FIFA World Cup England ™</t>
  </si>
  <si>
    <t>1962 FIFA World Cup Chile ™</t>
  </si>
  <si>
    <t>1958 FIFA World Cup Sweden ™</t>
  </si>
  <si>
    <t>1954 FIFA World Cup Switzerland ™</t>
  </si>
  <si>
    <t>1950 FIFA World Cup Brazil ™</t>
  </si>
  <si>
    <t>1938 FIFA World Cup France ™</t>
  </si>
  <si>
    <t>1934 FIFA World Cup Italy ™</t>
  </si>
  <si>
    <t>1930 FIFA World Cup Uruguay ™</t>
  </si>
  <si>
    <t>http://www.fifa.com/fifa-tournaments/statistics-and-records/worldcup/index.html</t>
  </si>
  <si>
    <t>https://en.m.wikipedia.org/wiki/World_Football_Elo_Ratings</t>
  </si>
  <si>
    <t>Goal diff mod</t>
  </si>
  <si>
    <t>ROLLING</t>
  </si>
  <si>
    <t>Value</t>
  </si>
  <si>
    <t>Goal weight</t>
  </si>
  <si>
    <t>Matches</t>
  </si>
  <si>
    <t>Average goals per game</t>
  </si>
  <si>
    <t>Wins</t>
  </si>
  <si>
    <t>% games won</t>
  </si>
  <si>
    <t>% games drawn</t>
  </si>
  <si>
    <t>Number</t>
  </si>
  <si>
    <t>Home</t>
  </si>
  <si>
    <t>Away</t>
  </si>
  <si>
    <t>https://blog.annabet.com/soccer-goal-probabilities-poisson-vs-actual-distribution/</t>
  </si>
  <si>
    <t>Average (neutral)</t>
  </si>
  <si>
    <t>Goals for</t>
  </si>
  <si>
    <t>Goals against</t>
  </si>
  <si>
    <t>All goals</t>
  </si>
  <si>
    <t>Goal pace (all goals per game)</t>
  </si>
  <si>
    <t>Rank</t>
  </si>
  <si>
    <t>Parameter</t>
  </si>
  <si>
    <t>Stat</t>
  </si>
  <si>
    <t>Expected</t>
  </si>
  <si>
    <t>Prediction</t>
  </si>
  <si>
    <t>Total goals</t>
  </si>
  <si>
    <t>k</t>
  </si>
  <si>
    <r>
      <t>P</t>
    </r>
    <r>
      <rPr>
        <b/>
        <sz val="11"/>
        <color rgb="FF222222"/>
        <rFont val="Arial"/>
        <family val="2"/>
      </rPr>
      <t>(</t>
    </r>
    <r>
      <rPr>
        <b/>
        <i/>
        <sz val="12"/>
        <color rgb="FF222222"/>
        <rFont val="Times New Roman"/>
        <family val="1"/>
      </rPr>
      <t>k</t>
    </r>
    <r>
      <rPr>
        <b/>
        <sz val="11"/>
        <color rgb="FF222222"/>
        <rFont val="Arial"/>
        <family val="2"/>
      </rPr>
      <t> goals in a World Cup soccer match)</t>
    </r>
  </si>
  <si>
    <t>https://en.wikipedia.org/wiki/Poisson_distribution</t>
  </si>
  <si>
    <t>Pace rank1</t>
  </si>
  <si>
    <t>Goal boost</t>
  </si>
  <si>
    <t>Pace rank2</t>
  </si>
  <si>
    <t>Pace average</t>
  </si>
  <si>
    <t>Apply goal boost</t>
  </si>
  <si>
    <t>Goals1</t>
  </si>
  <si>
    <t>Goals2</t>
  </si>
  <si>
    <t>Diff</t>
  </si>
  <si>
    <t>Diff (mod)</t>
  </si>
  <si>
    <t>Total</t>
  </si>
  <si>
    <t>My team</t>
  </si>
  <si>
    <t>Is fixture</t>
  </si>
  <si>
    <t>Actual1</t>
  </si>
  <si>
    <t>Actual2</t>
  </si>
  <si>
    <t>Correct score</t>
  </si>
  <si>
    <t>Correct goal diff</t>
  </si>
  <si>
    <t>Correct result</t>
  </si>
  <si>
    <t>Points</t>
  </si>
  <si>
    <t>Actual</t>
  </si>
  <si>
    <t>Goal total</t>
  </si>
  <si>
    <t>Goal diff (mod)</t>
  </si>
  <si>
    <t>Exp vs Pred</t>
  </si>
  <si>
    <t>Exp vs Act</t>
  </si>
  <si>
    <t>Pred vs Act</t>
  </si>
  <si>
    <t>Performance</t>
  </si>
  <si>
    <t>Percentage</t>
  </si>
  <si>
    <t>Submitted</t>
  </si>
  <si>
    <t>Saturday, Jun 30 2018</t>
  </si>
  <si>
    <t>Sunday, Jul 1 2018</t>
  </si>
  <si>
    <t>Monday, Jul 2 2018</t>
  </si>
  <si>
    <t>Preview</t>
  </si>
  <si>
    <t>Tuesday, Jul 3 2018</t>
  </si>
  <si>
    <r>
      <t>Preview</t>
    </r>
    <r>
      <rPr>
        <sz val="10.050000000000001"/>
        <color rgb="FF808080"/>
        <rFont val="Arial"/>
        <family val="2"/>
      </rPr>
      <t>1</t>
    </r>
  </si>
  <si>
    <t>Pre</t>
  </si>
  <si>
    <t>Friday, Jul 6 2018</t>
  </si>
  <si>
    <r>
      <t>Preview</t>
    </r>
    <r>
      <rPr>
        <sz val="10.050000000000001"/>
        <color rgb="FF808080"/>
        <rFont val="Calibri"/>
        <family val="2"/>
        <scheme val="minor"/>
      </rPr>
      <t>5</t>
    </r>
  </si>
  <si>
    <r>
      <t>Preview</t>
    </r>
    <r>
      <rPr>
        <sz val="10.050000000000001"/>
        <color rgb="FF808080"/>
        <rFont val="Calibri"/>
        <family val="2"/>
        <scheme val="minor"/>
      </rPr>
      <t>7</t>
    </r>
  </si>
  <si>
    <t>Saturday, Jul 7 2018</t>
  </si>
  <si>
    <r>
      <t>Preview</t>
    </r>
    <r>
      <rPr>
        <sz val="10.050000000000001"/>
        <color rgb="FF808080"/>
        <rFont val="Calibri"/>
        <family val="2"/>
        <scheme val="minor"/>
      </rPr>
      <t>4</t>
    </r>
  </si>
  <si>
    <t>Tuesday, Jul 10 2018</t>
  </si>
  <si>
    <r>
      <t>Preview</t>
    </r>
    <r>
      <rPr>
        <sz val="10.050000000000001"/>
        <color rgb="FF808080"/>
        <rFont val="Arial"/>
        <family val="2"/>
      </rPr>
      <t>21</t>
    </r>
  </si>
  <si>
    <t>Wednesday, Jul 11 2018</t>
  </si>
  <si>
    <t>Saturday, Jul 14 2018</t>
  </si>
  <si>
    <t>Sunday, Jul 15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</si>
</sst>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#,##0.0"/>
    <numFmt numFmtId="167" formatCode="_-* #,##0.0000_-;\-* #,##0.00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.6"/>
      <color rgb="FF60606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606060"/>
      <name val="Calibri"/>
      <family val="2"/>
      <scheme val="minor"/>
    </font>
    <font>
      <sz val="9"/>
      <color rgb="FF222222"/>
      <name val="Arial"/>
      <family val="2"/>
    </font>
    <font>
      <sz val="9"/>
      <color rgb="FF606060"/>
      <name val="Arial"/>
      <family val="2"/>
    </font>
    <font>
      <sz val="8"/>
      <color rgb="FF999999"/>
      <name val="Arial"/>
      <family val="2"/>
    </font>
    <font>
      <sz val="11"/>
      <color rgb="FF474747"/>
      <name val="Arial"/>
      <family val="2"/>
    </font>
    <font>
      <b/>
      <sz val="8"/>
      <name val="Arial"/>
      <family val="2"/>
    </font>
    <font>
      <b/>
      <sz val="11"/>
      <color rgb="FF222222"/>
      <name val="Arial"/>
      <family val="2"/>
    </font>
    <font>
      <b/>
      <i/>
      <sz val="12"/>
      <color rgb="FF222222"/>
      <name val="Times New Roman"/>
      <family val="1"/>
    </font>
    <font>
      <b/>
      <i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606060"/>
      <name val="Arial"/>
      <family val="2"/>
    </font>
    <font>
      <b/>
      <sz val="10.050000000000001"/>
      <color rgb="FFFFFFFF"/>
      <name val="Arial"/>
      <family val="2"/>
    </font>
    <font>
      <sz val="10.050000000000001"/>
      <color rgb="FF808080"/>
      <name val="Arial"/>
      <family val="2"/>
    </font>
    <font>
      <b/>
      <sz val="9"/>
      <color rgb="FF222222"/>
      <name val="Arial"/>
      <family val="2"/>
    </font>
    <font>
      <b/>
      <sz val="10.050000000000001"/>
      <color rgb="FFFFFFFF"/>
      <name val="Calibri"/>
      <family val="2"/>
      <scheme val="minor"/>
    </font>
    <font>
      <sz val="10.050000000000001"/>
      <color rgb="FF80808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5E5E5"/>
      </top>
      <bottom/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20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2" applyFill="1" applyAlignment="1">
      <alignment horizontal="right" vertical="center"/>
    </xf>
    <xf numFmtId="0" fontId="3" fillId="3" borderId="0" xfId="2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0" fillId="4" borderId="0" xfId="0" applyFill="1" applyAlignment="1">
      <alignment vertical="center"/>
    </xf>
    <xf numFmtId="20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4" borderId="0" xfId="2" applyFill="1" applyAlignment="1">
      <alignment horizontal="right" vertical="center"/>
    </xf>
    <xf numFmtId="0" fontId="3" fillId="4" borderId="0" xfId="2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2" applyAlignment="1">
      <alignment horizontal="right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horizontal="left" vertical="center"/>
    </xf>
    <xf numFmtId="0" fontId="7" fillId="2" borderId="0" xfId="0" applyFont="1" applyFill="1" applyAlignment="1">
      <alignment vertical="center"/>
    </xf>
    <xf numFmtId="20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0" xfId="2" applyFill="1" applyAlignment="1">
      <alignment horizontal="right" vertical="center"/>
    </xf>
    <xf numFmtId="0" fontId="3" fillId="2" borderId="0" xfId="2" applyFill="1" applyAlignment="1">
      <alignment horizontal="center" vertical="center"/>
    </xf>
    <xf numFmtId="0" fontId="3" fillId="2" borderId="0" xfId="2" applyFill="1" applyAlignment="1">
      <alignment horizontal="left" vertical="center"/>
    </xf>
    <xf numFmtId="0" fontId="2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 applyAlignment="1">
      <alignment wrapText="1"/>
    </xf>
    <xf numFmtId="0" fontId="4" fillId="7" borderId="0" xfId="0" applyFont="1" applyFill="1" applyAlignment="1">
      <alignment vertical="center"/>
    </xf>
    <xf numFmtId="0" fontId="0" fillId="7" borderId="0" xfId="0" applyFill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3" fillId="2" borderId="1" xfId="2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0" fontId="3" fillId="2" borderId="2" xfId="2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164" fontId="2" fillId="7" borderId="0" xfId="1" applyNumberFormat="1" applyFont="1" applyFill="1"/>
    <xf numFmtId="164" fontId="0" fillId="0" borderId="3" xfId="1" applyNumberFormat="1" applyFont="1" applyBorder="1"/>
    <xf numFmtId="167" fontId="0" fillId="0" borderId="0" xfId="1" applyNumberFormat="1" applyFont="1"/>
    <xf numFmtId="167" fontId="2" fillId="5" borderId="0" xfId="1" applyNumberFormat="1" applyFont="1" applyFill="1"/>
    <xf numFmtId="167" fontId="2" fillId="6" borderId="0" xfId="1" applyNumberFormat="1" applyFont="1" applyFill="1"/>
    <xf numFmtId="43" fontId="2" fillId="6" borderId="0" xfId="1" applyFont="1" applyFill="1" applyAlignment="1">
      <alignment wrapText="1"/>
    </xf>
    <xf numFmtId="43" fontId="0" fillId="0" borderId="0" xfId="1" applyFont="1"/>
    <xf numFmtId="164" fontId="2" fillId="8" borderId="0" xfId="1" applyNumberFormat="1" applyFont="1" applyFill="1"/>
    <xf numFmtId="164" fontId="0" fillId="0" borderId="0" xfId="1" applyNumberFormat="1" applyFont="1" applyFill="1"/>
    <xf numFmtId="9" fontId="0" fillId="0" borderId="0" xfId="3" applyFont="1"/>
    <xf numFmtId="0" fontId="13" fillId="12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0" xfId="0" applyFont="1" applyFill="1" applyAlignment="1">
      <alignment vertical="center" wrapText="1"/>
    </xf>
    <xf numFmtId="165" fontId="2" fillId="10" borderId="0" xfId="1" applyNumberFormat="1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9" fontId="0" fillId="0" borderId="0" xfId="3" applyFont="1" applyFill="1"/>
    <xf numFmtId="9" fontId="2" fillId="7" borderId="0" xfId="3" applyFont="1" applyFill="1"/>
    <xf numFmtId="164" fontId="0" fillId="0" borderId="0" xfId="1" applyNumberFormat="1" applyFont="1" applyBorder="1"/>
    <xf numFmtId="0" fontId="3" fillId="3" borderId="0" xfId="2" applyFill="1" applyAlignment="1">
      <alignment vertical="center"/>
    </xf>
    <xf numFmtId="20" fontId="16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3" fillId="0" borderId="0" xfId="2" applyAlignment="1">
      <alignment vertical="center"/>
    </xf>
    <xf numFmtId="2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20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2" borderId="0" xfId="2" applyFill="1" applyAlignment="1">
      <alignment vertical="center"/>
    </xf>
    <xf numFmtId="0" fontId="3" fillId="4" borderId="0" xfId="2" applyFill="1" applyAlignment="1">
      <alignment vertical="center"/>
    </xf>
    <xf numFmtId="20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0" fillId="13" borderId="0" xfId="0" applyFill="1"/>
    <xf numFmtId="0" fontId="0" fillId="2" borderId="0" xfId="0" applyFill="1"/>
    <xf numFmtId="0" fontId="19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fa.com/worldcup/archive/mexico1986/index.html" TargetMode="External"/><Relationship Id="rId13" Type="http://schemas.openxmlformats.org/officeDocument/2006/relationships/hyperlink" Target="http://www.fifa.com/worldcup/archive/england1966/index.html" TargetMode="External"/><Relationship Id="rId18" Type="http://schemas.openxmlformats.org/officeDocument/2006/relationships/hyperlink" Target="http://www.fifa.com/worldcup/archive/france1938/index.html" TargetMode="External"/><Relationship Id="rId3" Type="http://schemas.openxmlformats.org/officeDocument/2006/relationships/hyperlink" Target="http://www.fifa.com/worldcup/archive/germany2006/index.html" TargetMode="External"/><Relationship Id="rId7" Type="http://schemas.openxmlformats.org/officeDocument/2006/relationships/hyperlink" Target="http://www.fifa.com/worldcup/archive/italy1990/index.html" TargetMode="External"/><Relationship Id="rId12" Type="http://schemas.openxmlformats.org/officeDocument/2006/relationships/hyperlink" Target="http://www.fifa.com/worldcup/archive/mexico1970/index.html" TargetMode="External"/><Relationship Id="rId17" Type="http://schemas.openxmlformats.org/officeDocument/2006/relationships/hyperlink" Target="http://www.fifa.com/worldcup/archive/brazil1950/index.html" TargetMode="External"/><Relationship Id="rId2" Type="http://schemas.openxmlformats.org/officeDocument/2006/relationships/hyperlink" Target="http://www.fifa.com/worldcup/archive/southafrica2010/index.html" TargetMode="External"/><Relationship Id="rId16" Type="http://schemas.openxmlformats.org/officeDocument/2006/relationships/hyperlink" Target="http://www.fifa.com/worldcup/archive/switzerland1954/index.html" TargetMode="External"/><Relationship Id="rId20" Type="http://schemas.openxmlformats.org/officeDocument/2006/relationships/hyperlink" Target="http://www.fifa.com/worldcup/archive/uruguay1930/index.html" TargetMode="External"/><Relationship Id="rId1" Type="http://schemas.openxmlformats.org/officeDocument/2006/relationships/hyperlink" Target="http://www.fifa.com/worldcup/archive/brazil2014/index.html" TargetMode="External"/><Relationship Id="rId6" Type="http://schemas.openxmlformats.org/officeDocument/2006/relationships/hyperlink" Target="http://www.fifa.com/worldcup/archive/usa1994/index.html" TargetMode="External"/><Relationship Id="rId11" Type="http://schemas.openxmlformats.org/officeDocument/2006/relationships/hyperlink" Target="http://www.fifa.com/worldcup/archive/germany1974/index.html" TargetMode="External"/><Relationship Id="rId5" Type="http://schemas.openxmlformats.org/officeDocument/2006/relationships/hyperlink" Target="http://www.fifa.com/worldcup/archive/france1998/index.html" TargetMode="External"/><Relationship Id="rId15" Type="http://schemas.openxmlformats.org/officeDocument/2006/relationships/hyperlink" Target="http://www.fifa.com/worldcup/archive/sweden1958/index.html" TargetMode="External"/><Relationship Id="rId10" Type="http://schemas.openxmlformats.org/officeDocument/2006/relationships/hyperlink" Target="http://www.fifa.com/worldcup/archive/argentina1978/index.html" TargetMode="External"/><Relationship Id="rId19" Type="http://schemas.openxmlformats.org/officeDocument/2006/relationships/hyperlink" Target="http://www.fifa.com/worldcup/archive/italy1934/index.html" TargetMode="External"/><Relationship Id="rId4" Type="http://schemas.openxmlformats.org/officeDocument/2006/relationships/hyperlink" Target="http://www.fifa.com/worldcup/archive/koreajapan2002/index.html" TargetMode="External"/><Relationship Id="rId9" Type="http://schemas.openxmlformats.org/officeDocument/2006/relationships/hyperlink" Target="http://www.fifa.com/worldcup/archive/spain1982/index.html" TargetMode="External"/><Relationship Id="rId14" Type="http://schemas.openxmlformats.org/officeDocument/2006/relationships/hyperlink" Target="http://www.fifa.com/worldcup/archive/chile1962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hoscored.com/Teams/346/Show/Argentina-Argentina" TargetMode="External"/><Relationship Id="rId21" Type="http://schemas.openxmlformats.org/officeDocument/2006/relationships/hyperlink" Target="https://www.whoscored.com/Teams/425/Show/Denmark-Denmark" TargetMode="External"/><Relationship Id="rId42" Type="http://schemas.openxmlformats.org/officeDocument/2006/relationships/hyperlink" Target="https://www.whoscored.com/Teams/345/Show/England-England" TargetMode="External"/><Relationship Id="rId63" Type="http://schemas.openxmlformats.org/officeDocument/2006/relationships/hyperlink" Target="https://www.whoscored.com/Teams/328/Show/Australia-Australia" TargetMode="External"/><Relationship Id="rId84" Type="http://schemas.openxmlformats.org/officeDocument/2006/relationships/hyperlink" Target="https://www.whoscored.com/Teams/972/Show/Mexico-Mexico" TargetMode="External"/><Relationship Id="rId138" Type="http://schemas.openxmlformats.org/officeDocument/2006/relationships/hyperlink" Target="https://www.whoscored.com/Teams/408/Show/Colombia-Colombia" TargetMode="External"/><Relationship Id="rId159" Type="http://schemas.openxmlformats.org/officeDocument/2006/relationships/hyperlink" Target="https://www.whoscored.com/Matches/1293264/Show/International-FIFA-World-Cup-2018-Croatia-Denmark" TargetMode="External"/><Relationship Id="rId170" Type="http://schemas.openxmlformats.org/officeDocument/2006/relationships/hyperlink" Target="https://www.whoscored.com/Matches/1294524/Preview/International-FIFA-World-Cup-2018-Belgium-Japan" TargetMode="External"/><Relationship Id="rId191" Type="http://schemas.openxmlformats.org/officeDocument/2006/relationships/hyperlink" Target="https://www.whoscored.com/Teams/345/Show/England-England" TargetMode="External"/><Relationship Id="rId205" Type="http://schemas.openxmlformats.org/officeDocument/2006/relationships/hyperlink" Target="https://www.whoscored.com/Regions/247/Tournaments/36/Seasons/5967/Stages/12762/Show/International-FIFA-World-Cup-2018" TargetMode="External"/><Relationship Id="rId107" Type="http://schemas.openxmlformats.org/officeDocument/2006/relationships/hyperlink" Target="https://www.whoscored.com/Matches/1249931/Show/International-FIFA-World-Cup-2018-Iran-Portugal" TargetMode="External"/><Relationship Id="rId11" Type="http://schemas.openxmlformats.org/officeDocument/2006/relationships/hyperlink" Target="https://www.whoscored.com/Matches/1249919/Show/International-FIFA-World-Cup-2018-Portugal-Spain" TargetMode="External"/><Relationship Id="rId32" Type="http://schemas.openxmlformats.org/officeDocument/2006/relationships/hyperlink" Target="https://www.whoscored.com/Matches/1249921/Show/International-FIFA-World-Cup-2018-Brazil-Switzerland" TargetMode="External"/><Relationship Id="rId53" Type="http://schemas.openxmlformats.org/officeDocument/2006/relationships/hyperlink" Target="https://www.whoscored.com/Matches/1249949/Show/International-FIFA-World-Cup-2018-Portugal-Morocco" TargetMode="External"/><Relationship Id="rId74" Type="http://schemas.openxmlformats.org/officeDocument/2006/relationships/hyperlink" Target="https://www.whoscored.com/Matches/1249955/Show/International-FIFA-World-Cup-2018-Nigeria-Iceland" TargetMode="External"/><Relationship Id="rId128" Type="http://schemas.openxmlformats.org/officeDocument/2006/relationships/hyperlink" Target="https://www.whoscored.com/Matches/1249947/Show/International-FIFA-World-Cup-2018-Serbia-Brazil" TargetMode="External"/><Relationship Id="rId149" Type="http://schemas.openxmlformats.org/officeDocument/2006/relationships/hyperlink" Target="https://www.whoscored.com/Regions/247/Tournaments/36/International-FIFA-World-Cup" TargetMode="External"/><Relationship Id="rId5" Type="http://schemas.openxmlformats.org/officeDocument/2006/relationships/hyperlink" Target="https://www.whoscored.com/Matches/1249926/Show/International-FIFA-World-Cup-2018-Egypt-Uruguay" TargetMode="External"/><Relationship Id="rId95" Type="http://schemas.openxmlformats.org/officeDocument/2006/relationships/hyperlink" Target="https://www.whoscored.com/Matches/1249925/Show/International-FIFA-World-Cup-2018-Poland-Colombia" TargetMode="External"/><Relationship Id="rId160" Type="http://schemas.openxmlformats.org/officeDocument/2006/relationships/hyperlink" Target="https://www.whoscored.com/Teams/425/Show/Denmark-Denmark" TargetMode="External"/><Relationship Id="rId181" Type="http://schemas.openxmlformats.org/officeDocument/2006/relationships/hyperlink" Target="https://www.whoscored.com/Teams/967/Show/Uruguay-Uruguay" TargetMode="External"/><Relationship Id="rId22" Type="http://schemas.openxmlformats.org/officeDocument/2006/relationships/hyperlink" Target="https://www.whoscored.com/Teams/337/Show/Croatia-Croatia" TargetMode="External"/><Relationship Id="rId43" Type="http://schemas.openxmlformats.org/officeDocument/2006/relationships/hyperlink" Target="https://www.whoscored.com/Teams/408/Show/Colombia-Colombia" TargetMode="External"/><Relationship Id="rId64" Type="http://schemas.openxmlformats.org/officeDocument/2006/relationships/hyperlink" Target="https://www.whoscored.com/Teams/341/Show/France-France" TargetMode="External"/><Relationship Id="rId118" Type="http://schemas.openxmlformats.org/officeDocument/2006/relationships/hyperlink" Target="https://www.whoscored.com/Teams/770/Show/Iceland-Iceland" TargetMode="External"/><Relationship Id="rId139" Type="http://schemas.openxmlformats.org/officeDocument/2006/relationships/hyperlink" Target="https://www.whoscored.com/Teams/2694/Show/Panama-Panama" TargetMode="External"/><Relationship Id="rId85" Type="http://schemas.openxmlformats.org/officeDocument/2006/relationships/hyperlink" Target="https://www.whoscored.com/Teams/336/Show/Germany-Germany" TargetMode="External"/><Relationship Id="rId150" Type="http://schemas.openxmlformats.org/officeDocument/2006/relationships/hyperlink" Target="https://www.whoscored.com/Teams/967/Show/Uruguay-Uruguay" TargetMode="External"/><Relationship Id="rId171" Type="http://schemas.openxmlformats.org/officeDocument/2006/relationships/hyperlink" Target="https://www.whoscored.com/Regions/247/Tournaments/36/International-FIFA-World-Cup" TargetMode="External"/><Relationship Id="rId192" Type="http://schemas.openxmlformats.org/officeDocument/2006/relationships/hyperlink" Target="https://www.whoscored.com/Matches/1297396/Show/International-FIFA-World-Cup-2018-Sweden-England" TargetMode="External"/><Relationship Id="rId206" Type="http://schemas.openxmlformats.org/officeDocument/2006/relationships/hyperlink" Target="https://www.whoscored.com/Teams/339/Show/Belgium-Belgium" TargetMode="External"/><Relationship Id="rId12" Type="http://schemas.openxmlformats.org/officeDocument/2006/relationships/hyperlink" Target="https://www.whoscored.com/Teams/338/Show/Spain-Spain" TargetMode="External"/><Relationship Id="rId33" Type="http://schemas.openxmlformats.org/officeDocument/2006/relationships/hyperlink" Target="https://www.whoscored.com/Teams/423/Show/Switzerland-Switzerland" TargetMode="External"/><Relationship Id="rId108" Type="http://schemas.openxmlformats.org/officeDocument/2006/relationships/hyperlink" Target="https://www.whoscored.com/Teams/340/Show/Portugal-Portugal" TargetMode="External"/><Relationship Id="rId129" Type="http://schemas.openxmlformats.org/officeDocument/2006/relationships/hyperlink" Target="https://www.whoscored.com/Teams/409/Show/Brazil-Brazil" TargetMode="External"/><Relationship Id="rId54" Type="http://schemas.openxmlformats.org/officeDocument/2006/relationships/hyperlink" Target="https://www.whoscored.com/Teams/495/Show/Morocco-Morocco" TargetMode="External"/><Relationship Id="rId75" Type="http://schemas.openxmlformats.org/officeDocument/2006/relationships/hyperlink" Target="https://www.whoscored.com/Teams/770/Show/Iceland-Iceland" TargetMode="External"/><Relationship Id="rId96" Type="http://schemas.openxmlformats.org/officeDocument/2006/relationships/hyperlink" Target="https://www.whoscored.com/Teams/408/Show/Colombia-Colombia" TargetMode="External"/><Relationship Id="rId140" Type="http://schemas.openxmlformats.org/officeDocument/2006/relationships/hyperlink" Target="https://www.whoscored.com/Matches/1249959/Show/International-FIFA-World-Cup-2018-Panama-Tunisia" TargetMode="External"/><Relationship Id="rId161" Type="http://schemas.openxmlformats.org/officeDocument/2006/relationships/hyperlink" Target="https://www.whoscored.com/Regions/247/Tournaments/36/International-FIFA-World-Cup" TargetMode="External"/><Relationship Id="rId182" Type="http://schemas.openxmlformats.org/officeDocument/2006/relationships/hyperlink" Target="https://www.whoscored.com/Matches/1296185/Show/International-FIFA-World-Cup-2018-Uruguay-France" TargetMode="External"/><Relationship Id="rId6" Type="http://schemas.openxmlformats.org/officeDocument/2006/relationships/hyperlink" Target="https://www.whoscored.com/Teams/967/Show/Uruguay-Uruguay" TargetMode="External"/><Relationship Id="rId23" Type="http://schemas.openxmlformats.org/officeDocument/2006/relationships/hyperlink" Target="https://www.whoscored.com/Matches/1249954/Show/International-FIFA-World-Cup-2018-Croatia-Nigeria" TargetMode="External"/><Relationship Id="rId119" Type="http://schemas.openxmlformats.org/officeDocument/2006/relationships/hyperlink" Target="https://www.whoscored.com/Matches/1249933/Show/International-FIFA-World-Cup-2018-Iceland-Croatia" TargetMode="External"/><Relationship Id="rId44" Type="http://schemas.openxmlformats.org/officeDocument/2006/relationships/hyperlink" Target="https://www.whoscored.com/Matches/1249963/Show/International-FIFA-World-Cup-2018-Colombia-Japan" TargetMode="External"/><Relationship Id="rId65" Type="http://schemas.openxmlformats.org/officeDocument/2006/relationships/hyperlink" Target="https://www.whoscored.com/Matches/1249920/Show/International-FIFA-World-Cup-2018-France-Peru" TargetMode="External"/><Relationship Id="rId86" Type="http://schemas.openxmlformats.org/officeDocument/2006/relationships/hyperlink" Target="https://www.whoscored.com/Matches/1249936/Show/International-FIFA-World-Cup-2018-Germany-Sweden" TargetMode="External"/><Relationship Id="rId130" Type="http://schemas.openxmlformats.org/officeDocument/2006/relationships/hyperlink" Target="https://www.whoscored.com/Teams/423/Show/Switzerland-Switzerland" TargetMode="External"/><Relationship Id="rId151" Type="http://schemas.openxmlformats.org/officeDocument/2006/relationships/hyperlink" Target="https://www.whoscored.com/Matches/1292946/Show/International-FIFA-World-Cup-2018-Uruguay-Portugal" TargetMode="External"/><Relationship Id="rId172" Type="http://schemas.openxmlformats.org/officeDocument/2006/relationships/hyperlink" Target="https://www.whoscored.com/Teams/344/Show/Sweden-Sweden" TargetMode="External"/><Relationship Id="rId193" Type="http://schemas.openxmlformats.org/officeDocument/2006/relationships/hyperlink" Target="https://www.whoscored.com/Regions/247/Tournaments/36/Seasons/5967/Stages/12760/Show/International-FIFA-World-Cup-2018" TargetMode="External"/><Relationship Id="rId207" Type="http://schemas.openxmlformats.org/officeDocument/2006/relationships/hyperlink" Target="https://www.whoscored.com/Matches/1307191/Show/International-FIFA-World-Cup-2018-Belgium-England" TargetMode="External"/><Relationship Id="rId13" Type="http://schemas.openxmlformats.org/officeDocument/2006/relationships/hyperlink" Target="https://www.whoscored.com/Teams/341/Show/France-France" TargetMode="External"/><Relationship Id="rId109" Type="http://schemas.openxmlformats.org/officeDocument/2006/relationships/hyperlink" Target="https://www.whoscored.com/Teams/328/Show/Australia-Australia" TargetMode="External"/><Relationship Id="rId34" Type="http://schemas.openxmlformats.org/officeDocument/2006/relationships/hyperlink" Target="https://www.whoscored.com/Teams/344/Show/Sweden-Sweden" TargetMode="External"/><Relationship Id="rId55" Type="http://schemas.openxmlformats.org/officeDocument/2006/relationships/hyperlink" Target="https://www.whoscored.com/Teams/967/Show/Uruguay-Uruguay" TargetMode="External"/><Relationship Id="rId76" Type="http://schemas.openxmlformats.org/officeDocument/2006/relationships/hyperlink" Target="https://www.whoscored.com/Teams/771/Show/Serbia-Serbia" TargetMode="External"/><Relationship Id="rId97" Type="http://schemas.openxmlformats.org/officeDocument/2006/relationships/hyperlink" Target="https://www.whoscored.com/Teams/494/Show/Saudi-Arabia-Saudi-Arabia" TargetMode="External"/><Relationship Id="rId120" Type="http://schemas.openxmlformats.org/officeDocument/2006/relationships/hyperlink" Target="https://www.whoscored.com/Teams/337/Show/Croatia-Croatia" TargetMode="External"/><Relationship Id="rId141" Type="http://schemas.openxmlformats.org/officeDocument/2006/relationships/hyperlink" Target="https://www.whoscored.com/Teams/959/Show/Tunisia-Tunisia" TargetMode="External"/><Relationship Id="rId7" Type="http://schemas.openxmlformats.org/officeDocument/2006/relationships/hyperlink" Target="https://www.whoscored.com/Teams/495/Show/Morocco-Morocco" TargetMode="External"/><Relationship Id="rId162" Type="http://schemas.openxmlformats.org/officeDocument/2006/relationships/hyperlink" Target="https://www.whoscored.com/Teams/409/Show/Brazil-Brazil" TargetMode="External"/><Relationship Id="rId183" Type="http://schemas.openxmlformats.org/officeDocument/2006/relationships/hyperlink" Target="https://www.whoscored.com/Teams/341/Show/France-France" TargetMode="External"/><Relationship Id="rId24" Type="http://schemas.openxmlformats.org/officeDocument/2006/relationships/hyperlink" Target="https://www.whoscored.com/Teams/977/Show/Nigeria-Nigeria" TargetMode="External"/><Relationship Id="rId45" Type="http://schemas.openxmlformats.org/officeDocument/2006/relationships/hyperlink" Target="https://www.whoscored.com/Teams/986/Show/Japan-Japan" TargetMode="External"/><Relationship Id="rId66" Type="http://schemas.openxmlformats.org/officeDocument/2006/relationships/hyperlink" Target="https://www.whoscored.com/Teams/416/Show/Peru-Peru" TargetMode="External"/><Relationship Id="rId87" Type="http://schemas.openxmlformats.org/officeDocument/2006/relationships/hyperlink" Target="https://www.whoscored.com/Teams/344/Show/Sweden-Sweden" TargetMode="External"/><Relationship Id="rId110" Type="http://schemas.openxmlformats.org/officeDocument/2006/relationships/hyperlink" Target="https://www.whoscored.com/Matches/1249953/Show/International-FIFA-World-Cup-2018-Australia-Peru" TargetMode="External"/><Relationship Id="rId131" Type="http://schemas.openxmlformats.org/officeDocument/2006/relationships/hyperlink" Target="https://www.whoscored.com/Matches/1249935/Show/International-FIFA-World-Cup-2018-Switzerland-Costa-Rica" TargetMode="External"/><Relationship Id="rId152" Type="http://schemas.openxmlformats.org/officeDocument/2006/relationships/hyperlink" Target="https://www.whoscored.com/Teams/340/Show/Portugal-Portugal" TargetMode="External"/><Relationship Id="rId173" Type="http://schemas.openxmlformats.org/officeDocument/2006/relationships/hyperlink" Target="https://www.whoscored.com/Matches/1293606/Show/International-FIFA-World-Cup-2018-Sweden-Switzerland" TargetMode="External"/><Relationship Id="rId194" Type="http://schemas.openxmlformats.org/officeDocument/2006/relationships/hyperlink" Target="https://www.whoscored.com/Teams/326/Show/Russia-Russia" TargetMode="External"/><Relationship Id="rId208" Type="http://schemas.openxmlformats.org/officeDocument/2006/relationships/hyperlink" Target="https://www.whoscored.com/Teams/345/Show/England-England" TargetMode="External"/><Relationship Id="rId19" Type="http://schemas.openxmlformats.org/officeDocument/2006/relationships/hyperlink" Target="https://www.whoscored.com/Teams/416/Show/Peru-Peru" TargetMode="External"/><Relationship Id="rId14" Type="http://schemas.openxmlformats.org/officeDocument/2006/relationships/hyperlink" Target="https://www.whoscored.com/Matches/1249951/Show/International-FIFA-World-Cup-2018-France-Australia" TargetMode="External"/><Relationship Id="rId30" Type="http://schemas.openxmlformats.org/officeDocument/2006/relationships/hyperlink" Target="https://www.whoscored.com/Teams/972/Show/Mexico-Mexico" TargetMode="External"/><Relationship Id="rId35" Type="http://schemas.openxmlformats.org/officeDocument/2006/relationships/hyperlink" Target="https://www.whoscored.com/Matches/1249960/Show/International-FIFA-World-Cup-2018-Sweden-South-Korea" TargetMode="External"/><Relationship Id="rId56" Type="http://schemas.openxmlformats.org/officeDocument/2006/relationships/hyperlink" Target="https://www.whoscored.com/Matches/1249943/Show/International-FIFA-World-Cup-2018-Uruguay-Saudi-Arabia" TargetMode="External"/><Relationship Id="rId77" Type="http://schemas.openxmlformats.org/officeDocument/2006/relationships/hyperlink" Target="https://www.whoscored.com/Matches/1249946/Show/International-FIFA-World-Cup-2018-Serbia-Switzerland" TargetMode="External"/><Relationship Id="rId100" Type="http://schemas.openxmlformats.org/officeDocument/2006/relationships/hyperlink" Target="https://www.whoscored.com/Teams/967/Show/Uruguay-Uruguay" TargetMode="External"/><Relationship Id="rId105" Type="http://schemas.openxmlformats.org/officeDocument/2006/relationships/hyperlink" Target="https://www.whoscored.com/Teams/495/Show/Morocco-Morocco" TargetMode="External"/><Relationship Id="rId126" Type="http://schemas.openxmlformats.org/officeDocument/2006/relationships/hyperlink" Target="https://www.whoscored.com/Teams/344/Show/Sweden-Sweden" TargetMode="External"/><Relationship Id="rId147" Type="http://schemas.openxmlformats.org/officeDocument/2006/relationships/hyperlink" Target="https://www.whoscored.com/Matches/1293265/Show/International-FIFA-World-Cup-2018-France-Argentina" TargetMode="External"/><Relationship Id="rId168" Type="http://schemas.openxmlformats.org/officeDocument/2006/relationships/hyperlink" Target="https://www.whoscored.com/Matches/1294524/Show/International-FIFA-World-Cup-2018-Belgium-Japan" TargetMode="External"/><Relationship Id="rId8" Type="http://schemas.openxmlformats.org/officeDocument/2006/relationships/hyperlink" Target="https://www.whoscored.com/Matches/1249948/Show/International-FIFA-World-Cup-2018-Morocco-Iran" TargetMode="External"/><Relationship Id="rId51" Type="http://schemas.openxmlformats.org/officeDocument/2006/relationships/hyperlink" Target="https://www.whoscored.com/Teams/944/Show/Egypt-Egypt" TargetMode="External"/><Relationship Id="rId72" Type="http://schemas.openxmlformats.org/officeDocument/2006/relationships/hyperlink" Target="https://www.whoscored.com/Teams/970/Show/Costa-Rica-Costa-Rica" TargetMode="External"/><Relationship Id="rId93" Type="http://schemas.openxmlformats.org/officeDocument/2006/relationships/hyperlink" Target="https://www.whoscored.com/Teams/957/Show/Senegal-Senegal" TargetMode="External"/><Relationship Id="rId98" Type="http://schemas.openxmlformats.org/officeDocument/2006/relationships/hyperlink" Target="https://www.whoscored.com/Matches/1249944/Show/International-FIFA-World-Cup-2018-Saudi-Arabia-Egypt" TargetMode="External"/><Relationship Id="rId121" Type="http://schemas.openxmlformats.org/officeDocument/2006/relationships/hyperlink" Target="https://www.whoscored.com/Teams/1159/Show/South-Korea-South-Korea" TargetMode="External"/><Relationship Id="rId142" Type="http://schemas.openxmlformats.org/officeDocument/2006/relationships/hyperlink" Target="https://www.whoscored.com/Teams/345/Show/England-England" TargetMode="External"/><Relationship Id="rId163" Type="http://schemas.openxmlformats.org/officeDocument/2006/relationships/hyperlink" Target="https://www.whoscored.com/Matches/1293605/Show/International-FIFA-World-Cup-2018-Brazil-Mexico" TargetMode="External"/><Relationship Id="rId184" Type="http://schemas.openxmlformats.org/officeDocument/2006/relationships/hyperlink" Target="https://www.whoscored.com/Regions/247/Tournaments/36/Seasons/5967/Stages/12760/Show/International-FIFA-World-Cup-2018" TargetMode="External"/><Relationship Id="rId189" Type="http://schemas.openxmlformats.org/officeDocument/2006/relationships/hyperlink" Target="https://www.whoscored.com/Teams/344/Show/Sweden-Sweden" TargetMode="External"/><Relationship Id="rId3" Type="http://schemas.openxmlformats.org/officeDocument/2006/relationships/hyperlink" Target="https://www.whoscored.com/Teams/494/Show/Saudi-Arabia-Saudi-Arabia" TargetMode="External"/><Relationship Id="rId25" Type="http://schemas.openxmlformats.org/officeDocument/2006/relationships/hyperlink" Target="https://www.whoscored.com/Teams/970/Show/Costa-Rica-Costa-Rica" TargetMode="External"/><Relationship Id="rId46" Type="http://schemas.openxmlformats.org/officeDocument/2006/relationships/hyperlink" Target="https://www.whoscored.com/Teams/342/Show/Poland-Poland" TargetMode="External"/><Relationship Id="rId67" Type="http://schemas.openxmlformats.org/officeDocument/2006/relationships/hyperlink" Target="https://www.whoscored.com/Teams/346/Show/Argentina-Argentina" TargetMode="External"/><Relationship Id="rId116" Type="http://schemas.openxmlformats.org/officeDocument/2006/relationships/hyperlink" Target="https://www.whoscored.com/Matches/1249956/Show/International-FIFA-World-Cup-2018-Nigeria-Argentina" TargetMode="External"/><Relationship Id="rId137" Type="http://schemas.openxmlformats.org/officeDocument/2006/relationships/hyperlink" Target="https://www.whoscored.com/Matches/1249941/Show/International-FIFA-World-Cup-2018-Senegal-Colombia" TargetMode="External"/><Relationship Id="rId158" Type="http://schemas.openxmlformats.org/officeDocument/2006/relationships/hyperlink" Target="https://www.whoscored.com/Teams/337/Show/Croatia-Croatia" TargetMode="External"/><Relationship Id="rId20" Type="http://schemas.openxmlformats.org/officeDocument/2006/relationships/hyperlink" Target="https://www.whoscored.com/Matches/1249928/Show/International-FIFA-World-Cup-2018-Peru-Denmark" TargetMode="External"/><Relationship Id="rId41" Type="http://schemas.openxmlformats.org/officeDocument/2006/relationships/hyperlink" Target="https://www.whoscored.com/Matches/1249938/Show/International-FIFA-World-Cup-2018-Tunisia-England" TargetMode="External"/><Relationship Id="rId62" Type="http://schemas.openxmlformats.org/officeDocument/2006/relationships/hyperlink" Target="https://www.whoscored.com/Matches/1249952/Show/International-FIFA-World-Cup-2018-Denmark-Australia" TargetMode="External"/><Relationship Id="rId83" Type="http://schemas.openxmlformats.org/officeDocument/2006/relationships/hyperlink" Target="https://www.whoscored.com/Matches/1249961/Show/International-FIFA-World-Cup-2018-South-Korea-Mexico" TargetMode="External"/><Relationship Id="rId88" Type="http://schemas.openxmlformats.org/officeDocument/2006/relationships/hyperlink" Target="https://www.whoscored.com/Teams/345/Show/England-England" TargetMode="External"/><Relationship Id="rId111" Type="http://schemas.openxmlformats.org/officeDocument/2006/relationships/hyperlink" Target="https://www.whoscored.com/Teams/416/Show/Peru-Peru" TargetMode="External"/><Relationship Id="rId132" Type="http://schemas.openxmlformats.org/officeDocument/2006/relationships/hyperlink" Target="https://www.whoscored.com/Teams/970/Show/Costa-Rica-Costa-Rica" TargetMode="External"/><Relationship Id="rId153" Type="http://schemas.openxmlformats.org/officeDocument/2006/relationships/hyperlink" Target="https://www.whoscored.com/Regions/247/Tournaments/36/International-FIFA-World-Cup" TargetMode="External"/><Relationship Id="rId174" Type="http://schemas.openxmlformats.org/officeDocument/2006/relationships/hyperlink" Target="https://www.whoscored.com/Teams/423/Show/Switzerland-Switzerland" TargetMode="External"/><Relationship Id="rId179" Type="http://schemas.openxmlformats.org/officeDocument/2006/relationships/hyperlink" Target="https://www.whoscored.com/Matches/1294525/Preview/International-FIFA-World-Cup-2018-Colombia-England" TargetMode="External"/><Relationship Id="rId195" Type="http://schemas.openxmlformats.org/officeDocument/2006/relationships/hyperlink" Target="https://www.whoscored.com/Matches/1296532/Show/International-FIFA-World-Cup-2018-Russia-Croatia" TargetMode="External"/><Relationship Id="rId209" Type="http://schemas.openxmlformats.org/officeDocument/2006/relationships/hyperlink" Target="https://www.whoscored.com/Regions/247/Tournaments/36/Seasons/5967/Stages/12763/Show/International-FIFA-World-Cup-2018" TargetMode="External"/><Relationship Id="rId190" Type="http://schemas.openxmlformats.org/officeDocument/2006/relationships/hyperlink" Target="https://www.whoscored.com/Matches/1297396/Show/International-FIFA-World-Cup-2018-Sweden-England" TargetMode="External"/><Relationship Id="rId204" Type="http://schemas.openxmlformats.org/officeDocument/2006/relationships/hyperlink" Target="https://www.whoscored.com/Teams/345/Show/England-England" TargetMode="External"/><Relationship Id="rId15" Type="http://schemas.openxmlformats.org/officeDocument/2006/relationships/hyperlink" Target="https://www.whoscored.com/Teams/328/Show/Australia-Australia" TargetMode="External"/><Relationship Id="rId36" Type="http://schemas.openxmlformats.org/officeDocument/2006/relationships/hyperlink" Target="https://www.whoscored.com/Teams/1159/Show/South-Korea-South-Korea" TargetMode="External"/><Relationship Id="rId57" Type="http://schemas.openxmlformats.org/officeDocument/2006/relationships/hyperlink" Target="https://www.whoscored.com/Teams/494/Show/Saudi-Arabia-Saudi-Arabia" TargetMode="External"/><Relationship Id="rId106" Type="http://schemas.openxmlformats.org/officeDocument/2006/relationships/hyperlink" Target="https://www.whoscored.com/Teams/1293/Show/Iran-Iran" TargetMode="External"/><Relationship Id="rId127" Type="http://schemas.openxmlformats.org/officeDocument/2006/relationships/hyperlink" Target="https://www.whoscored.com/Teams/771/Show/Serbia-Serbia" TargetMode="External"/><Relationship Id="rId10" Type="http://schemas.openxmlformats.org/officeDocument/2006/relationships/hyperlink" Target="https://www.whoscored.com/Teams/340/Show/Portugal-Portugal" TargetMode="External"/><Relationship Id="rId31" Type="http://schemas.openxmlformats.org/officeDocument/2006/relationships/hyperlink" Target="https://www.whoscored.com/Teams/409/Show/Brazil-Brazil" TargetMode="External"/><Relationship Id="rId52" Type="http://schemas.openxmlformats.org/officeDocument/2006/relationships/hyperlink" Target="https://www.whoscored.com/Teams/340/Show/Portugal-Portugal" TargetMode="External"/><Relationship Id="rId73" Type="http://schemas.openxmlformats.org/officeDocument/2006/relationships/hyperlink" Target="https://www.whoscored.com/Teams/977/Show/Nigeria-Nigeria" TargetMode="External"/><Relationship Id="rId78" Type="http://schemas.openxmlformats.org/officeDocument/2006/relationships/hyperlink" Target="https://www.whoscored.com/Teams/423/Show/Switzerland-Switzerland" TargetMode="External"/><Relationship Id="rId94" Type="http://schemas.openxmlformats.org/officeDocument/2006/relationships/hyperlink" Target="https://www.whoscored.com/Teams/342/Show/Poland-Poland" TargetMode="External"/><Relationship Id="rId99" Type="http://schemas.openxmlformats.org/officeDocument/2006/relationships/hyperlink" Target="https://www.whoscored.com/Teams/944/Show/Egypt-Egypt" TargetMode="External"/><Relationship Id="rId101" Type="http://schemas.openxmlformats.org/officeDocument/2006/relationships/hyperlink" Target="https://www.whoscored.com/Matches/1249918/Show/International-FIFA-World-Cup-2018-Uruguay-Russia" TargetMode="External"/><Relationship Id="rId122" Type="http://schemas.openxmlformats.org/officeDocument/2006/relationships/hyperlink" Target="https://www.whoscored.com/Matches/1249962/Show/International-FIFA-World-Cup-2018-South-Korea-Germany" TargetMode="External"/><Relationship Id="rId143" Type="http://schemas.openxmlformats.org/officeDocument/2006/relationships/hyperlink" Target="https://www.whoscored.com/Matches/1249924/Show/International-FIFA-World-Cup-2018-England-Belgium" TargetMode="External"/><Relationship Id="rId148" Type="http://schemas.openxmlformats.org/officeDocument/2006/relationships/hyperlink" Target="https://www.whoscored.com/Teams/346/Show/Argentina-Argentina" TargetMode="External"/><Relationship Id="rId164" Type="http://schemas.openxmlformats.org/officeDocument/2006/relationships/hyperlink" Target="https://www.whoscored.com/Teams/972/Show/Mexico-Mexico" TargetMode="External"/><Relationship Id="rId169" Type="http://schemas.openxmlformats.org/officeDocument/2006/relationships/hyperlink" Target="https://www.whoscored.com/Teams/986/Show/Japan-Japan" TargetMode="External"/><Relationship Id="rId185" Type="http://schemas.openxmlformats.org/officeDocument/2006/relationships/hyperlink" Target="https://www.whoscored.com/Teams/409/Show/Brazil-Brazil" TargetMode="External"/><Relationship Id="rId4" Type="http://schemas.openxmlformats.org/officeDocument/2006/relationships/hyperlink" Target="https://www.whoscored.com/Teams/944/Show/Egypt-Egypt" TargetMode="External"/><Relationship Id="rId9" Type="http://schemas.openxmlformats.org/officeDocument/2006/relationships/hyperlink" Target="https://www.whoscored.com/Teams/1293/Show/Iran-Iran" TargetMode="External"/><Relationship Id="rId180" Type="http://schemas.openxmlformats.org/officeDocument/2006/relationships/hyperlink" Target="https://www.whoscored.com/Regions/247/Tournaments/36/Seasons/5967/Stages/12760/Show/International-FIFA-World-Cup-2018" TargetMode="External"/><Relationship Id="rId210" Type="http://schemas.openxmlformats.org/officeDocument/2006/relationships/hyperlink" Target="https://www.whoscored.com/Teams/341/Show/France-France" TargetMode="External"/><Relationship Id="rId26" Type="http://schemas.openxmlformats.org/officeDocument/2006/relationships/hyperlink" Target="https://www.whoscored.com/Matches/1249945/Show/International-FIFA-World-Cup-2018-Costa-Rica-Serbia" TargetMode="External"/><Relationship Id="rId47" Type="http://schemas.openxmlformats.org/officeDocument/2006/relationships/hyperlink" Target="https://www.whoscored.com/Matches/1249940/Show/International-FIFA-World-Cup-2018-Poland-Senegal" TargetMode="External"/><Relationship Id="rId68" Type="http://schemas.openxmlformats.org/officeDocument/2006/relationships/hyperlink" Target="https://www.whoscored.com/Matches/1249922/Show/International-FIFA-World-Cup-2018-Argentina-Croatia" TargetMode="External"/><Relationship Id="rId89" Type="http://schemas.openxmlformats.org/officeDocument/2006/relationships/hyperlink" Target="https://www.whoscored.com/Matches/1249958/Show/International-FIFA-World-Cup-2018-England-Panama" TargetMode="External"/><Relationship Id="rId112" Type="http://schemas.openxmlformats.org/officeDocument/2006/relationships/hyperlink" Target="https://www.whoscored.com/Teams/425/Show/Denmark-Denmark" TargetMode="External"/><Relationship Id="rId133" Type="http://schemas.openxmlformats.org/officeDocument/2006/relationships/hyperlink" Target="https://www.whoscored.com/Teams/986/Show/Japan-Japan" TargetMode="External"/><Relationship Id="rId154" Type="http://schemas.openxmlformats.org/officeDocument/2006/relationships/hyperlink" Target="https://www.whoscored.com/Teams/338/Show/Spain-Spain" TargetMode="External"/><Relationship Id="rId175" Type="http://schemas.openxmlformats.org/officeDocument/2006/relationships/hyperlink" Target="https://www.whoscored.com/Regions/247/Tournaments/36/International-FIFA-World-Cup" TargetMode="External"/><Relationship Id="rId196" Type="http://schemas.openxmlformats.org/officeDocument/2006/relationships/hyperlink" Target="https://www.whoscored.com/Teams/337/Show/Croatia-Croatia" TargetMode="External"/><Relationship Id="rId200" Type="http://schemas.openxmlformats.org/officeDocument/2006/relationships/hyperlink" Target="https://www.whoscored.com/Teams/339/Show/Belgium-Belgium" TargetMode="External"/><Relationship Id="rId16" Type="http://schemas.openxmlformats.org/officeDocument/2006/relationships/hyperlink" Target="https://www.whoscored.com/Teams/346/Show/Argentina-Argentina" TargetMode="External"/><Relationship Id="rId37" Type="http://schemas.openxmlformats.org/officeDocument/2006/relationships/hyperlink" Target="https://www.whoscored.com/Teams/339/Show/Belgium-Belgium" TargetMode="External"/><Relationship Id="rId58" Type="http://schemas.openxmlformats.org/officeDocument/2006/relationships/hyperlink" Target="https://www.whoscored.com/Teams/1293/Show/Iran-Iran" TargetMode="External"/><Relationship Id="rId79" Type="http://schemas.openxmlformats.org/officeDocument/2006/relationships/hyperlink" Target="https://www.whoscored.com/Teams/339/Show/Belgium-Belgium" TargetMode="External"/><Relationship Id="rId102" Type="http://schemas.openxmlformats.org/officeDocument/2006/relationships/hyperlink" Target="https://www.whoscored.com/Teams/326/Show/Russia-Russia" TargetMode="External"/><Relationship Id="rId123" Type="http://schemas.openxmlformats.org/officeDocument/2006/relationships/hyperlink" Target="https://www.whoscored.com/Teams/336/Show/Germany-Germany" TargetMode="External"/><Relationship Id="rId144" Type="http://schemas.openxmlformats.org/officeDocument/2006/relationships/hyperlink" Target="https://www.whoscored.com/Teams/339/Show/Belgium-Belgium" TargetMode="External"/><Relationship Id="rId90" Type="http://schemas.openxmlformats.org/officeDocument/2006/relationships/hyperlink" Target="https://www.whoscored.com/Teams/2694/Show/Panama-Panama" TargetMode="External"/><Relationship Id="rId165" Type="http://schemas.openxmlformats.org/officeDocument/2006/relationships/hyperlink" Target="https://www.whoscored.com/Matches/1293605/Preview/International-FIFA-World-Cup-2018-Brazil-Mexico" TargetMode="External"/><Relationship Id="rId186" Type="http://schemas.openxmlformats.org/officeDocument/2006/relationships/hyperlink" Target="https://www.whoscored.com/Matches/1296533/Show/International-FIFA-World-Cup-2018-Brazil-Belgium" TargetMode="External"/><Relationship Id="rId211" Type="http://schemas.openxmlformats.org/officeDocument/2006/relationships/hyperlink" Target="https://www.whoscored.com/Matches/1307192/Show/International-FIFA-World-Cup-2018-France-Croatia" TargetMode="External"/><Relationship Id="rId27" Type="http://schemas.openxmlformats.org/officeDocument/2006/relationships/hyperlink" Target="https://www.whoscored.com/Teams/771/Show/Serbia-Serbia" TargetMode="External"/><Relationship Id="rId48" Type="http://schemas.openxmlformats.org/officeDocument/2006/relationships/hyperlink" Target="https://www.whoscored.com/Teams/957/Show/Senegal-Senegal" TargetMode="External"/><Relationship Id="rId69" Type="http://schemas.openxmlformats.org/officeDocument/2006/relationships/hyperlink" Target="https://www.whoscored.com/Teams/337/Show/Croatia-Croatia" TargetMode="External"/><Relationship Id="rId113" Type="http://schemas.openxmlformats.org/officeDocument/2006/relationships/hyperlink" Target="https://www.whoscored.com/Matches/1249929/Show/International-FIFA-World-Cup-2018-Denmark-France" TargetMode="External"/><Relationship Id="rId134" Type="http://schemas.openxmlformats.org/officeDocument/2006/relationships/hyperlink" Target="https://www.whoscored.com/Matches/1249965/Show/International-FIFA-World-Cup-2018-Japan-Poland" TargetMode="External"/><Relationship Id="rId80" Type="http://schemas.openxmlformats.org/officeDocument/2006/relationships/hyperlink" Target="https://www.whoscored.com/Matches/1249939/Show/International-FIFA-World-Cup-2018-Belgium-Tunisia" TargetMode="External"/><Relationship Id="rId155" Type="http://schemas.openxmlformats.org/officeDocument/2006/relationships/hyperlink" Target="https://www.whoscored.com/Matches/1292947/Show/International-FIFA-World-Cup-2018-Spain-Russia" TargetMode="External"/><Relationship Id="rId176" Type="http://schemas.openxmlformats.org/officeDocument/2006/relationships/hyperlink" Target="https://www.whoscored.com/Teams/408/Show/Colombia-Colombia" TargetMode="External"/><Relationship Id="rId197" Type="http://schemas.openxmlformats.org/officeDocument/2006/relationships/hyperlink" Target="https://www.whoscored.com/Regions/247/Tournaments/36/International-FIFA-World-Cup" TargetMode="External"/><Relationship Id="rId201" Type="http://schemas.openxmlformats.org/officeDocument/2006/relationships/hyperlink" Target="https://www.whoscored.com/Regions/247/Tournaments/36/International-FIFA-World-Cup" TargetMode="External"/><Relationship Id="rId17" Type="http://schemas.openxmlformats.org/officeDocument/2006/relationships/hyperlink" Target="https://www.whoscored.com/Matches/1249932/Show/International-FIFA-World-Cup-2018-Argentina-Iceland" TargetMode="External"/><Relationship Id="rId38" Type="http://schemas.openxmlformats.org/officeDocument/2006/relationships/hyperlink" Target="https://www.whoscored.com/Matches/1249957/Show/International-FIFA-World-Cup-2018-Belgium-Panama" TargetMode="External"/><Relationship Id="rId59" Type="http://schemas.openxmlformats.org/officeDocument/2006/relationships/hyperlink" Target="https://www.whoscored.com/Matches/1249930/Show/International-FIFA-World-Cup-2018-Iran-Spain" TargetMode="External"/><Relationship Id="rId103" Type="http://schemas.openxmlformats.org/officeDocument/2006/relationships/hyperlink" Target="https://www.whoscored.com/Teams/338/Show/Spain-Spain" TargetMode="External"/><Relationship Id="rId124" Type="http://schemas.openxmlformats.org/officeDocument/2006/relationships/hyperlink" Target="https://www.whoscored.com/Teams/972/Show/Mexico-Mexico" TargetMode="External"/><Relationship Id="rId70" Type="http://schemas.openxmlformats.org/officeDocument/2006/relationships/hyperlink" Target="https://www.whoscored.com/Teams/409/Show/Brazil-Brazil" TargetMode="External"/><Relationship Id="rId91" Type="http://schemas.openxmlformats.org/officeDocument/2006/relationships/hyperlink" Target="https://www.whoscored.com/Teams/986/Show/Japan-Japan" TargetMode="External"/><Relationship Id="rId145" Type="http://schemas.openxmlformats.org/officeDocument/2006/relationships/hyperlink" Target="https://www.whoscored.com/Regions/247/Tournaments/36/International-FIFA-World-Cup" TargetMode="External"/><Relationship Id="rId166" Type="http://schemas.openxmlformats.org/officeDocument/2006/relationships/hyperlink" Target="https://www.whoscored.com/Regions/247/Tournaments/36/International-FIFA-World-Cup" TargetMode="External"/><Relationship Id="rId187" Type="http://schemas.openxmlformats.org/officeDocument/2006/relationships/hyperlink" Target="https://www.whoscored.com/Teams/339/Show/Belgium-Belgium" TargetMode="External"/><Relationship Id="rId1" Type="http://schemas.openxmlformats.org/officeDocument/2006/relationships/hyperlink" Target="https://www.whoscored.com/Teams/326/Show/Russia-Russia" TargetMode="External"/><Relationship Id="rId212" Type="http://schemas.openxmlformats.org/officeDocument/2006/relationships/hyperlink" Target="https://www.whoscored.com/Teams/337/Show/Croatia-Croatia" TargetMode="External"/><Relationship Id="rId28" Type="http://schemas.openxmlformats.org/officeDocument/2006/relationships/hyperlink" Target="https://www.whoscored.com/Teams/336/Show/Germany-Germany" TargetMode="External"/><Relationship Id="rId49" Type="http://schemas.openxmlformats.org/officeDocument/2006/relationships/hyperlink" Target="https://www.whoscored.com/Teams/326/Show/Russia-Russia" TargetMode="External"/><Relationship Id="rId114" Type="http://schemas.openxmlformats.org/officeDocument/2006/relationships/hyperlink" Target="https://www.whoscored.com/Teams/341/Show/France-France" TargetMode="External"/><Relationship Id="rId60" Type="http://schemas.openxmlformats.org/officeDocument/2006/relationships/hyperlink" Target="https://www.whoscored.com/Teams/338/Show/Spain-Spain" TargetMode="External"/><Relationship Id="rId81" Type="http://schemas.openxmlformats.org/officeDocument/2006/relationships/hyperlink" Target="https://www.whoscored.com/Teams/959/Show/Tunisia-Tunisia" TargetMode="External"/><Relationship Id="rId135" Type="http://schemas.openxmlformats.org/officeDocument/2006/relationships/hyperlink" Target="https://www.whoscored.com/Teams/342/Show/Poland-Poland" TargetMode="External"/><Relationship Id="rId156" Type="http://schemas.openxmlformats.org/officeDocument/2006/relationships/hyperlink" Target="https://www.whoscored.com/Teams/326/Show/Russia-Russia" TargetMode="External"/><Relationship Id="rId177" Type="http://schemas.openxmlformats.org/officeDocument/2006/relationships/hyperlink" Target="https://www.whoscored.com/Matches/1294525/Show/International-FIFA-World-Cup-2018-Colombia-England" TargetMode="External"/><Relationship Id="rId198" Type="http://schemas.openxmlformats.org/officeDocument/2006/relationships/hyperlink" Target="https://www.whoscored.com/Teams/341/Show/France-France" TargetMode="External"/><Relationship Id="rId202" Type="http://schemas.openxmlformats.org/officeDocument/2006/relationships/hyperlink" Target="https://www.whoscored.com/Teams/337/Show/Croatia-Croatia" TargetMode="External"/><Relationship Id="rId18" Type="http://schemas.openxmlformats.org/officeDocument/2006/relationships/hyperlink" Target="https://www.whoscored.com/Teams/770/Show/Iceland-Iceland" TargetMode="External"/><Relationship Id="rId39" Type="http://schemas.openxmlformats.org/officeDocument/2006/relationships/hyperlink" Target="https://www.whoscored.com/Teams/2694/Show/Panama-Panama" TargetMode="External"/><Relationship Id="rId50" Type="http://schemas.openxmlformats.org/officeDocument/2006/relationships/hyperlink" Target="https://www.whoscored.com/Matches/1249927/Show/International-FIFA-World-Cup-2018-Russia-Egypt" TargetMode="External"/><Relationship Id="rId104" Type="http://schemas.openxmlformats.org/officeDocument/2006/relationships/hyperlink" Target="https://www.whoscored.com/Matches/1249950/Show/International-FIFA-World-Cup-2018-Spain-Morocco" TargetMode="External"/><Relationship Id="rId125" Type="http://schemas.openxmlformats.org/officeDocument/2006/relationships/hyperlink" Target="https://www.whoscored.com/Matches/1249937/Show/International-FIFA-World-Cup-2018-Mexico-Sweden" TargetMode="External"/><Relationship Id="rId146" Type="http://schemas.openxmlformats.org/officeDocument/2006/relationships/hyperlink" Target="https://www.whoscored.com/Teams/341/Show/France-France" TargetMode="External"/><Relationship Id="rId167" Type="http://schemas.openxmlformats.org/officeDocument/2006/relationships/hyperlink" Target="https://www.whoscored.com/Teams/339/Show/Belgium-Belgium" TargetMode="External"/><Relationship Id="rId188" Type="http://schemas.openxmlformats.org/officeDocument/2006/relationships/hyperlink" Target="https://www.whoscored.com/Regions/247/Tournaments/36/Seasons/5967/Stages/12760/Show/International-FIFA-World-Cup-2018" TargetMode="External"/><Relationship Id="rId71" Type="http://schemas.openxmlformats.org/officeDocument/2006/relationships/hyperlink" Target="https://www.whoscored.com/Matches/1249934/Show/International-FIFA-World-Cup-2018-Brazil-Costa-Rica" TargetMode="External"/><Relationship Id="rId92" Type="http://schemas.openxmlformats.org/officeDocument/2006/relationships/hyperlink" Target="https://www.whoscored.com/Matches/1249964/Show/International-FIFA-World-Cup-2018-Japan-Senegal" TargetMode="External"/><Relationship Id="rId213" Type="http://schemas.openxmlformats.org/officeDocument/2006/relationships/printerSettings" Target="../printerSettings/printerSettings3.bin"/><Relationship Id="rId2" Type="http://schemas.openxmlformats.org/officeDocument/2006/relationships/hyperlink" Target="https://www.whoscored.com/Matches/1249942/Show/International-FIFA-World-Cup-2018-Russia-Saudi-Arabia" TargetMode="External"/><Relationship Id="rId29" Type="http://schemas.openxmlformats.org/officeDocument/2006/relationships/hyperlink" Target="https://www.whoscored.com/Matches/1249923/Show/International-FIFA-World-Cup-2018-Germany-Mexico" TargetMode="External"/><Relationship Id="rId40" Type="http://schemas.openxmlformats.org/officeDocument/2006/relationships/hyperlink" Target="https://www.whoscored.com/Teams/959/Show/Tunisia-Tunisia" TargetMode="External"/><Relationship Id="rId115" Type="http://schemas.openxmlformats.org/officeDocument/2006/relationships/hyperlink" Target="https://www.whoscored.com/Teams/977/Show/Nigeria-Nigeria" TargetMode="External"/><Relationship Id="rId136" Type="http://schemas.openxmlformats.org/officeDocument/2006/relationships/hyperlink" Target="https://www.whoscored.com/Teams/957/Show/Senegal-Senegal" TargetMode="External"/><Relationship Id="rId157" Type="http://schemas.openxmlformats.org/officeDocument/2006/relationships/hyperlink" Target="https://www.whoscored.com/Regions/247/Tournaments/36/International-FIFA-World-Cup" TargetMode="External"/><Relationship Id="rId178" Type="http://schemas.openxmlformats.org/officeDocument/2006/relationships/hyperlink" Target="https://www.whoscored.com/Teams/345/Show/England-England" TargetMode="External"/><Relationship Id="rId61" Type="http://schemas.openxmlformats.org/officeDocument/2006/relationships/hyperlink" Target="https://www.whoscored.com/Teams/425/Show/Denmark-Denmark" TargetMode="External"/><Relationship Id="rId82" Type="http://schemas.openxmlformats.org/officeDocument/2006/relationships/hyperlink" Target="https://www.whoscored.com/Teams/1159/Show/South-Korea-South-Korea" TargetMode="External"/><Relationship Id="rId199" Type="http://schemas.openxmlformats.org/officeDocument/2006/relationships/hyperlink" Target="https://www.whoscored.com/Matches/1301293/Show/International-FIFA-World-Cup-2018-France-Belgium" TargetMode="External"/><Relationship Id="rId203" Type="http://schemas.openxmlformats.org/officeDocument/2006/relationships/hyperlink" Target="https://www.whoscored.com/Matches/1302108/Show/International-FIFA-World-Cup-2018-Croatia-Eng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pane ySplit="1" topLeftCell="A86" activePane="bottomLeft" state="frozen"/>
      <selection pane="bottomLeft" activeCell="I1" sqref="I1"/>
    </sheetView>
  </sheetViews>
  <sheetFormatPr defaultRowHeight="15" x14ac:dyDescent="0.25"/>
  <cols>
    <col min="1" max="1" width="22.42578125" bestFit="1" customWidth="1"/>
    <col min="2" max="3" width="8" bestFit="1" customWidth="1"/>
    <col min="4" max="4" width="12.42578125" bestFit="1" customWidth="1"/>
    <col min="5" max="5" width="22.85546875" bestFit="1" customWidth="1"/>
    <col min="6" max="6" width="9.28515625" bestFit="1" customWidth="1"/>
    <col min="7" max="7" width="9.140625" bestFit="1" customWidth="1"/>
  </cols>
  <sheetData>
    <row r="1" spans="1:9" x14ac:dyDescent="0.25">
      <c r="A1" s="27" t="s">
        <v>2</v>
      </c>
      <c r="B1" s="27" t="s">
        <v>0</v>
      </c>
      <c r="C1" s="26" t="s">
        <v>194</v>
      </c>
      <c r="D1" s="26" t="s">
        <v>1</v>
      </c>
      <c r="E1" s="26" t="s">
        <v>193</v>
      </c>
      <c r="F1" s="26" t="s">
        <v>3</v>
      </c>
      <c r="G1" s="26" t="s">
        <v>4</v>
      </c>
      <c r="I1" t="s">
        <v>234</v>
      </c>
    </row>
    <row r="2" spans="1:9" x14ac:dyDescent="0.25">
      <c r="A2" t="str">
        <f>TRIM(E2)</f>
        <v>Brazil</v>
      </c>
      <c r="B2">
        <f>IF(C2="",IF(C1="",c0),C2)</f>
        <v>1</v>
      </c>
      <c r="C2">
        <v>1</v>
      </c>
      <c r="D2" t="s">
        <v>5</v>
      </c>
      <c r="E2" t="s">
        <v>6</v>
      </c>
      <c r="F2">
        <v>2131</v>
      </c>
      <c r="G2">
        <v>2</v>
      </c>
    </row>
    <row r="3" spans="1:9" x14ac:dyDescent="0.25">
      <c r="A3" t="str">
        <f t="shared" ref="A3:A66" si="0">TRIM(E3)</f>
        <v>Germany</v>
      </c>
      <c r="B3">
        <f>IF(C3="",IF(C2="",C1,C2),C3)</f>
        <v>2</v>
      </c>
      <c r="C3">
        <v>2</v>
      </c>
      <c r="D3" t="s">
        <v>5</v>
      </c>
      <c r="E3" t="s">
        <v>7</v>
      </c>
      <c r="F3">
        <v>2092</v>
      </c>
      <c r="G3">
        <v>1</v>
      </c>
    </row>
    <row r="4" spans="1:9" x14ac:dyDescent="0.25">
      <c r="A4" t="str">
        <f t="shared" si="0"/>
        <v>Spain</v>
      </c>
      <c r="B4">
        <f t="shared" ref="B4:B67" si="1">IF(C4="",IF(C3="",C2,C3),C4)</f>
        <v>3</v>
      </c>
      <c r="C4">
        <v>3</v>
      </c>
      <c r="D4" t="s">
        <v>5</v>
      </c>
      <c r="E4" t="s">
        <v>8</v>
      </c>
      <c r="F4">
        <v>2049</v>
      </c>
      <c r="G4">
        <v>8</v>
      </c>
    </row>
    <row r="5" spans="1:9" x14ac:dyDescent="0.25">
      <c r="A5" t="str">
        <f t="shared" si="0"/>
        <v>France</v>
      </c>
      <c r="B5">
        <f t="shared" si="1"/>
        <v>4</v>
      </c>
      <c r="C5">
        <v>4</v>
      </c>
      <c r="D5" t="s">
        <v>9</v>
      </c>
      <c r="E5" t="s">
        <v>10</v>
      </c>
      <c r="F5">
        <v>1987</v>
      </c>
      <c r="G5">
        <v>7</v>
      </c>
    </row>
    <row r="6" spans="1:9" x14ac:dyDescent="0.25">
      <c r="A6" t="str">
        <f t="shared" si="0"/>
        <v>Argentina</v>
      </c>
      <c r="B6">
        <f t="shared" si="1"/>
        <v>5</v>
      </c>
      <c r="C6">
        <v>5</v>
      </c>
      <c r="D6" t="s">
        <v>11</v>
      </c>
      <c r="E6" t="s">
        <v>12</v>
      </c>
      <c r="F6">
        <v>1985</v>
      </c>
      <c r="G6">
        <v>5</v>
      </c>
    </row>
    <row r="7" spans="1:9" x14ac:dyDescent="0.25">
      <c r="A7" t="str">
        <f t="shared" si="0"/>
        <v>Portugal</v>
      </c>
      <c r="B7">
        <f t="shared" si="1"/>
        <v>6</v>
      </c>
      <c r="C7">
        <v>6</v>
      </c>
      <c r="D7" t="s">
        <v>13</v>
      </c>
      <c r="E7" t="s">
        <v>14</v>
      </c>
      <c r="F7">
        <v>1967</v>
      </c>
      <c r="G7">
        <v>4</v>
      </c>
    </row>
    <row r="8" spans="1:9" x14ac:dyDescent="0.25">
      <c r="A8" t="str">
        <f t="shared" si="0"/>
        <v>England</v>
      </c>
      <c r="B8">
        <f t="shared" si="1"/>
        <v>7</v>
      </c>
      <c r="C8">
        <v>7</v>
      </c>
      <c r="D8" t="s">
        <v>15</v>
      </c>
      <c r="E8" t="s">
        <v>16</v>
      </c>
      <c r="F8">
        <v>1941</v>
      </c>
      <c r="G8">
        <v>13</v>
      </c>
    </row>
    <row r="9" spans="1:9" x14ac:dyDescent="0.25">
      <c r="A9" t="str">
        <f t="shared" si="0"/>
        <v>Colombia</v>
      </c>
      <c r="B9">
        <f t="shared" si="1"/>
        <v>8</v>
      </c>
      <c r="C9">
        <v>8</v>
      </c>
      <c r="D9" t="s">
        <v>17</v>
      </c>
      <c r="E9" t="s">
        <v>18</v>
      </c>
      <c r="F9">
        <v>1935</v>
      </c>
      <c r="G9">
        <v>16</v>
      </c>
    </row>
    <row r="10" spans="1:9" x14ac:dyDescent="0.25">
      <c r="A10" t="str">
        <f t="shared" si="0"/>
        <v>Belgium</v>
      </c>
      <c r="B10">
        <f t="shared" si="1"/>
        <v>9</v>
      </c>
      <c r="C10">
        <v>9</v>
      </c>
      <c r="D10" t="s">
        <v>19</v>
      </c>
      <c r="E10" t="s">
        <v>20</v>
      </c>
      <c r="F10">
        <v>1931</v>
      </c>
      <c r="G10">
        <v>3</v>
      </c>
    </row>
    <row r="11" spans="1:9" x14ac:dyDescent="0.25">
      <c r="A11" t="str">
        <f t="shared" si="0"/>
        <v>Netherlands</v>
      </c>
      <c r="B11">
        <f t="shared" si="1"/>
        <v>10</v>
      </c>
      <c r="C11">
        <v>10</v>
      </c>
      <c r="D11" t="s">
        <v>21</v>
      </c>
      <c r="E11" t="s">
        <v>22</v>
      </c>
      <c r="F11">
        <v>1907</v>
      </c>
      <c r="G11">
        <v>19</v>
      </c>
    </row>
    <row r="12" spans="1:9" x14ac:dyDescent="0.25">
      <c r="A12" t="str">
        <f t="shared" si="0"/>
        <v>Peru</v>
      </c>
      <c r="B12">
        <f t="shared" si="1"/>
        <v>11</v>
      </c>
      <c r="C12">
        <v>11</v>
      </c>
      <c r="D12" t="s">
        <v>23</v>
      </c>
      <c r="E12" t="s">
        <v>24</v>
      </c>
      <c r="F12">
        <v>1906</v>
      </c>
      <c r="G12">
        <v>11</v>
      </c>
    </row>
    <row r="13" spans="1:9" x14ac:dyDescent="0.25">
      <c r="A13" t="str">
        <f t="shared" si="0"/>
        <v>Italy</v>
      </c>
      <c r="B13">
        <f t="shared" si="1"/>
        <v>12</v>
      </c>
      <c r="C13">
        <v>12</v>
      </c>
      <c r="D13" t="s">
        <v>25</v>
      </c>
      <c r="E13" t="s">
        <v>26</v>
      </c>
      <c r="F13">
        <v>1901</v>
      </c>
      <c r="G13">
        <v>20</v>
      </c>
    </row>
    <row r="14" spans="1:9" x14ac:dyDescent="0.25">
      <c r="A14" t="str">
        <f t="shared" si="0"/>
        <v>Uruguay</v>
      </c>
      <c r="B14">
        <f t="shared" si="1"/>
        <v>13</v>
      </c>
      <c r="C14">
        <v>13</v>
      </c>
      <c r="D14" t="s">
        <v>5</v>
      </c>
      <c r="E14" t="s">
        <v>27</v>
      </c>
      <c r="F14">
        <v>1891</v>
      </c>
      <c r="G14">
        <v>17</v>
      </c>
    </row>
    <row r="15" spans="1:9" x14ac:dyDescent="0.25">
      <c r="A15" t="str">
        <f t="shared" si="0"/>
        <v>Switzerland</v>
      </c>
      <c r="B15">
        <f t="shared" si="1"/>
        <v>14</v>
      </c>
      <c r="C15">
        <v>14</v>
      </c>
      <c r="D15" t="s">
        <v>15</v>
      </c>
      <c r="E15" t="s">
        <v>28</v>
      </c>
      <c r="F15">
        <v>1879</v>
      </c>
      <c r="G15">
        <v>6</v>
      </c>
    </row>
    <row r="16" spans="1:9" x14ac:dyDescent="0.25">
      <c r="A16" t="str">
        <f t="shared" si="0"/>
        <v>Chile</v>
      </c>
      <c r="B16">
        <f t="shared" si="1"/>
        <v>15</v>
      </c>
      <c r="C16">
        <v>15</v>
      </c>
      <c r="D16" t="s">
        <v>29</v>
      </c>
      <c r="E16" t="s">
        <v>30</v>
      </c>
      <c r="F16">
        <v>1874</v>
      </c>
      <c r="G16">
        <v>9</v>
      </c>
    </row>
    <row r="17" spans="1:7" x14ac:dyDescent="0.25">
      <c r="A17" t="str">
        <f t="shared" si="0"/>
        <v>Mexico</v>
      </c>
      <c r="B17">
        <f t="shared" si="1"/>
        <v>16</v>
      </c>
      <c r="C17">
        <v>16</v>
      </c>
      <c r="D17" t="s">
        <v>31</v>
      </c>
      <c r="E17" t="s">
        <v>32</v>
      </c>
      <c r="F17">
        <v>1857</v>
      </c>
      <c r="G17">
        <v>15</v>
      </c>
    </row>
    <row r="18" spans="1:7" x14ac:dyDescent="0.25">
      <c r="A18" t="str">
        <f t="shared" si="0"/>
        <v>Croatia</v>
      </c>
      <c r="B18">
        <f t="shared" si="1"/>
        <v>17</v>
      </c>
      <c r="C18">
        <v>17</v>
      </c>
      <c r="D18" t="s">
        <v>25</v>
      </c>
      <c r="E18" t="s">
        <v>33</v>
      </c>
      <c r="F18">
        <v>1853</v>
      </c>
      <c r="G18">
        <v>18</v>
      </c>
    </row>
    <row r="19" spans="1:7" x14ac:dyDescent="0.25">
      <c r="A19" t="str">
        <f t="shared" si="0"/>
        <v>Denmark</v>
      </c>
      <c r="B19">
        <f t="shared" si="1"/>
        <v>18</v>
      </c>
      <c r="C19">
        <v>18</v>
      </c>
      <c r="D19" t="s">
        <v>34</v>
      </c>
      <c r="E19" t="s">
        <v>35</v>
      </c>
      <c r="F19">
        <v>1843</v>
      </c>
      <c r="G19">
        <v>12</v>
      </c>
    </row>
    <row r="20" spans="1:7" x14ac:dyDescent="0.25">
      <c r="A20" t="str">
        <f t="shared" si="0"/>
        <v>Poland</v>
      </c>
      <c r="B20">
        <f t="shared" si="1"/>
        <v>19</v>
      </c>
      <c r="C20">
        <v>19</v>
      </c>
      <c r="D20" t="s">
        <v>25</v>
      </c>
      <c r="E20" t="s">
        <v>36</v>
      </c>
      <c r="F20">
        <v>1831</v>
      </c>
      <c r="G20">
        <v>10</v>
      </c>
    </row>
    <row r="21" spans="1:7" x14ac:dyDescent="0.25">
      <c r="A21" t="str">
        <f t="shared" si="0"/>
        <v>Sweden</v>
      </c>
      <c r="B21">
        <f t="shared" si="1"/>
        <v>20</v>
      </c>
      <c r="C21">
        <v>20</v>
      </c>
      <c r="D21" t="s">
        <v>9</v>
      </c>
      <c r="E21" t="s">
        <v>37</v>
      </c>
      <c r="F21">
        <v>1796</v>
      </c>
      <c r="G21">
        <v>22</v>
      </c>
    </row>
    <row r="22" spans="1:7" x14ac:dyDescent="0.25">
      <c r="A22" t="str">
        <f t="shared" si="0"/>
        <v>Iceland</v>
      </c>
      <c r="B22">
        <f t="shared" si="1"/>
        <v>21</v>
      </c>
      <c r="C22">
        <v>21</v>
      </c>
      <c r="D22" t="s">
        <v>9</v>
      </c>
      <c r="E22" t="s">
        <v>38</v>
      </c>
      <c r="F22">
        <v>1787</v>
      </c>
      <c r="G22">
        <v>23</v>
      </c>
    </row>
    <row r="23" spans="1:7" x14ac:dyDescent="0.25">
      <c r="A23" t="str">
        <f t="shared" si="0"/>
        <v>Iran</v>
      </c>
      <c r="B23">
        <f t="shared" si="1"/>
        <v>21</v>
      </c>
      <c r="D23" t="s">
        <v>13</v>
      </c>
      <c r="E23" t="s">
        <v>39</v>
      </c>
      <c r="F23">
        <v>1787</v>
      </c>
      <c r="G23">
        <v>36</v>
      </c>
    </row>
    <row r="24" spans="1:7" x14ac:dyDescent="0.25">
      <c r="A24" t="str">
        <f t="shared" si="0"/>
        <v>Wales</v>
      </c>
      <c r="B24">
        <f t="shared" si="1"/>
        <v>23</v>
      </c>
      <c r="C24">
        <v>23</v>
      </c>
      <c r="D24" t="s">
        <v>13</v>
      </c>
      <c r="E24" t="s">
        <v>40</v>
      </c>
      <c r="F24">
        <v>1777</v>
      </c>
      <c r="G24">
        <v>21</v>
      </c>
    </row>
    <row r="25" spans="1:7" x14ac:dyDescent="0.25">
      <c r="A25" t="str">
        <f t="shared" si="0"/>
        <v>Serbia</v>
      </c>
      <c r="B25">
        <f t="shared" si="1"/>
        <v>24</v>
      </c>
      <c r="C25">
        <v>24</v>
      </c>
      <c r="D25" t="s">
        <v>41</v>
      </c>
      <c r="E25" t="s">
        <v>42</v>
      </c>
      <c r="F25">
        <v>1770</v>
      </c>
      <c r="G25">
        <v>35</v>
      </c>
    </row>
    <row r="26" spans="1:7" x14ac:dyDescent="0.25">
      <c r="A26" t="str">
        <f t="shared" si="0"/>
        <v>United States</v>
      </c>
      <c r="B26">
        <f t="shared" si="1"/>
        <v>25</v>
      </c>
      <c r="C26">
        <v>25</v>
      </c>
      <c r="D26" t="s">
        <v>43</v>
      </c>
      <c r="E26" t="s">
        <v>44</v>
      </c>
      <c r="F26">
        <v>1764</v>
      </c>
      <c r="G26">
        <v>24</v>
      </c>
    </row>
    <row r="27" spans="1:7" x14ac:dyDescent="0.25">
      <c r="A27" t="str">
        <f t="shared" si="0"/>
        <v>Slovakia</v>
      </c>
      <c r="B27">
        <f t="shared" si="1"/>
        <v>26</v>
      </c>
      <c r="C27">
        <v>26</v>
      </c>
      <c r="D27" t="s">
        <v>45</v>
      </c>
      <c r="E27" t="s">
        <v>46</v>
      </c>
      <c r="F27">
        <v>1762</v>
      </c>
      <c r="G27">
        <v>29</v>
      </c>
    </row>
    <row r="28" spans="1:7" x14ac:dyDescent="0.25">
      <c r="A28" t="str">
        <f t="shared" si="0"/>
        <v>South Korea</v>
      </c>
      <c r="B28">
        <f t="shared" si="1"/>
        <v>27</v>
      </c>
      <c r="C28">
        <v>27</v>
      </c>
      <c r="D28" t="s">
        <v>9</v>
      </c>
      <c r="E28" t="s">
        <v>47</v>
      </c>
      <c r="F28">
        <v>1751</v>
      </c>
      <c r="G28">
        <v>61</v>
      </c>
    </row>
    <row r="29" spans="1:7" x14ac:dyDescent="0.25">
      <c r="A29" t="str">
        <f t="shared" si="0"/>
        <v>Ecuador</v>
      </c>
      <c r="B29">
        <f t="shared" si="1"/>
        <v>28</v>
      </c>
      <c r="C29">
        <v>28</v>
      </c>
      <c r="D29" t="s">
        <v>29</v>
      </c>
      <c r="E29" t="s">
        <v>48</v>
      </c>
      <c r="F29">
        <v>1747</v>
      </c>
      <c r="G29">
        <v>63</v>
      </c>
    </row>
    <row r="30" spans="1:7" x14ac:dyDescent="0.25">
      <c r="A30" t="str">
        <f t="shared" si="0"/>
        <v>Senegal</v>
      </c>
      <c r="B30">
        <f t="shared" si="1"/>
        <v>28</v>
      </c>
      <c r="D30" t="s">
        <v>21</v>
      </c>
      <c r="E30" t="s">
        <v>49</v>
      </c>
      <c r="F30">
        <v>1747</v>
      </c>
      <c r="G30">
        <v>28</v>
      </c>
    </row>
    <row r="31" spans="1:7" x14ac:dyDescent="0.25">
      <c r="A31" t="str">
        <f t="shared" si="0"/>
        <v>Paraguay</v>
      </c>
      <c r="B31">
        <f t="shared" si="1"/>
        <v>30</v>
      </c>
      <c r="C31">
        <v>30</v>
      </c>
      <c r="D31" t="s">
        <v>13</v>
      </c>
      <c r="E31" t="s">
        <v>50</v>
      </c>
      <c r="F31">
        <v>1746</v>
      </c>
      <c r="G31">
        <v>32</v>
      </c>
    </row>
    <row r="32" spans="1:7" x14ac:dyDescent="0.25">
      <c r="A32" t="str">
        <f t="shared" si="0"/>
        <v>Costa Rica</v>
      </c>
      <c r="B32">
        <f t="shared" si="1"/>
        <v>31</v>
      </c>
      <c r="C32">
        <v>31</v>
      </c>
      <c r="D32" t="s">
        <v>31</v>
      </c>
      <c r="E32" t="s">
        <v>51</v>
      </c>
      <c r="F32">
        <v>1745</v>
      </c>
      <c r="G32">
        <v>25</v>
      </c>
    </row>
    <row r="33" spans="1:7" x14ac:dyDescent="0.25">
      <c r="A33" t="str">
        <f t="shared" si="0"/>
        <v>Ukraine</v>
      </c>
      <c r="B33">
        <f t="shared" si="1"/>
        <v>32</v>
      </c>
      <c r="C33">
        <v>32</v>
      </c>
      <c r="D33" t="s">
        <v>11</v>
      </c>
      <c r="E33" t="s">
        <v>52</v>
      </c>
      <c r="F33">
        <v>1741</v>
      </c>
      <c r="G33">
        <v>30</v>
      </c>
    </row>
    <row r="34" spans="1:7" x14ac:dyDescent="0.25">
      <c r="A34" t="str">
        <f t="shared" si="0"/>
        <v>Venezuela</v>
      </c>
      <c r="B34">
        <f t="shared" si="1"/>
        <v>33</v>
      </c>
      <c r="C34">
        <v>33</v>
      </c>
      <c r="D34" t="s">
        <v>53</v>
      </c>
      <c r="E34" t="s">
        <v>54</v>
      </c>
      <c r="F34">
        <v>1739</v>
      </c>
      <c r="G34">
        <v>39</v>
      </c>
    </row>
    <row r="35" spans="1:7" x14ac:dyDescent="0.25">
      <c r="A35" t="str">
        <f t="shared" si="0"/>
        <v>Turkey</v>
      </c>
      <c r="B35">
        <f t="shared" si="1"/>
        <v>34</v>
      </c>
      <c r="C35">
        <v>34</v>
      </c>
      <c r="D35" t="s">
        <v>55</v>
      </c>
      <c r="E35" t="s">
        <v>56</v>
      </c>
      <c r="F35">
        <v>1729</v>
      </c>
      <c r="G35">
        <v>37</v>
      </c>
    </row>
    <row r="36" spans="1:7" x14ac:dyDescent="0.25">
      <c r="A36" t="str">
        <f t="shared" si="0"/>
        <v>Austria</v>
      </c>
      <c r="B36">
        <f t="shared" si="1"/>
        <v>35</v>
      </c>
      <c r="C36">
        <v>35</v>
      </c>
      <c r="D36" t="s">
        <v>45</v>
      </c>
      <c r="E36" t="s">
        <v>57</v>
      </c>
      <c r="F36">
        <v>1726</v>
      </c>
      <c r="G36">
        <v>26</v>
      </c>
    </row>
    <row r="37" spans="1:7" x14ac:dyDescent="0.25">
      <c r="A37" t="str">
        <f t="shared" si="0"/>
        <v>Bosnia and Herzegovina</v>
      </c>
      <c r="B37">
        <f t="shared" si="1"/>
        <v>36</v>
      </c>
      <c r="C37">
        <v>36</v>
      </c>
      <c r="D37" t="s">
        <v>58</v>
      </c>
      <c r="E37" t="s">
        <v>59</v>
      </c>
      <c r="F37">
        <v>1725</v>
      </c>
      <c r="G37">
        <v>41</v>
      </c>
    </row>
    <row r="38" spans="1:7" x14ac:dyDescent="0.25">
      <c r="A38" t="str">
        <f t="shared" si="0"/>
        <v>Czech Republic</v>
      </c>
      <c r="B38">
        <f t="shared" si="1"/>
        <v>37</v>
      </c>
      <c r="C38">
        <v>37</v>
      </c>
      <c r="D38" t="s">
        <v>9</v>
      </c>
      <c r="E38" t="s">
        <v>60</v>
      </c>
      <c r="F38">
        <v>1722</v>
      </c>
      <c r="G38">
        <v>45</v>
      </c>
    </row>
    <row r="39" spans="1:7" x14ac:dyDescent="0.25">
      <c r="A39" t="str">
        <f t="shared" si="0"/>
        <v>Republic of Ireland</v>
      </c>
      <c r="B39">
        <f t="shared" si="1"/>
        <v>38</v>
      </c>
      <c r="C39">
        <v>38</v>
      </c>
      <c r="D39" t="s">
        <v>55</v>
      </c>
      <c r="E39" t="s">
        <v>61</v>
      </c>
      <c r="F39">
        <v>1721</v>
      </c>
      <c r="G39">
        <v>31</v>
      </c>
    </row>
    <row r="40" spans="1:7" x14ac:dyDescent="0.25">
      <c r="A40" t="str">
        <f t="shared" si="0"/>
        <v>Scotland</v>
      </c>
      <c r="B40">
        <f t="shared" si="1"/>
        <v>39</v>
      </c>
      <c r="C40">
        <v>39</v>
      </c>
      <c r="D40" t="s">
        <v>43</v>
      </c>
      <c r="E40" t="s">
        <v>62</v>
      </c>
      <c r="F40">
        <v>1718</v>
      </c>
      <c r="G40">
        <v>34</v>
      </c>
    </row>
    <row r="41" spans="1:7" x14ac:dyDescent="0.25">
      <c r="A41" t="str">
        <f t="shared" si="0"/>
        <v>Australia</v>
      </c>
      <c r="B41">
        <f t="shared" si="1"/>
        <v>40</v>
      </c>
      <c r="C41">
        <v>40</v>
      </c>
      <c r="D41" t="s">
        <v>63</v>
      </c>
      <c r="E41" t="s">
        <v>64</v>
      </c>
      <c r="F41">
        <v>1714</v>
      </c>
      <c r="G41">
        <v>40</v>
      </c>
    </row>
    <row r="42" spans="1:7" x14ac:dyDescent="0.25">
      <c r="A42" t="str">
        <f t="shared" si="0"/>
        <v>Morocco</v>
      </c>
      <c r="B42">
        <f t="shared" si="1"/>
        <v>41</v>
      </c>
      <c r="C42">
        <v>41</v>
      </c>
      <c r="D42" t="s">
        <v>65</v>
      </c>
      <c r="E42" t="s">
        <v>66</v>
      </c>
      <c r="F42">
        <v>1711</v>
      </c>
      <c r="G42">
        <v>42</v>
      </c>
    </row>
    <row r="43" spans="1:7" x14ac:dyDescent="0.25">
      <c r="A43" t="str">
        <f t="shared" si="0"/>
        <v>Romania</v>
      </c>
      <c r="B43">
        <f t="shared" si="1"/>
        <v>42</v>
      </c>
      <c r="C43">
        <v>42</v>
      </c>
      <c r="D43" t="s">
        <v>13</v>
      </c>
      <c r="E43" t="s">
        <v>67</v>
      </c>
      <c r="F43">
        <v>1706</v>
      </c>
      <c r="G43">
        <v>32</v>
      </c>
    </row>
    <row r="44" spans="1:7" x14ac:dyDescent="0.25">
      <c r="A44" t="str">
        <f t="shared" si="0"/>
        <v>Nigeria</v>
      </c>
      <c r="B44">
        <f t="shared" si="1"/>
        <v>43</v>
      </c>
      <c r="C44">
        <v>43</v>
      </c>
      <c r="D44" t="s">
        <v>43</v>
      </c>
      <c r="E44" t="s">
        <v>68</v>
      </c>
      <c r="F44">
        <v>1693</v>
      </c>
      <c r="G44">
        <v>47</v>
      </c>
    </row>
    <row r="45" spans="1:7" x14ac:dyDescent="0.25">
      <c r="A45" t="str">
        <f t="shared" si="0"/>
        <v>Japan</v>
      </c>
      <c r="B45">
        <f t="shared" si="1"/>
        <v>44</v>
      </c>
      <c r="C45">
        <v>44</v>
      </c>
      <c r="D45" t="s">
        <v>69</v>
      </c>
      <c r="E45" t="s">
        <v>70</v>
      </c>
      <c r="F45">
        <v>1692</v>
      </c>
      <c r="G45">
        <v>60</v>
      </c>
    </row>
    <row r="46" spans="1:7" x14ac:dyDescent="0.25">
      <c r="A46" t="str">
        <f t="shared" si="0"/>
        <v>Russia</v>
      </c>
      <c r="B46">
        <f t="shared" si="1"/>
        <v>45</v>
      </c>
      <c r="C46">
        <v>45</v>
      </c>
      <c r="D46" t="s">
        <v>19</v>
      </c>
      <c r="E46" t="s">
        <v>71</v>
      </c>
      <c r="F46">
        <v>1685</v>
      </c>
      <c r="G46">
        <v>66</v>
      </c>
    </row>
    <row r="47" spans="1:7" x14ac:dyDescent="0.25">
      <c r="A47" t="str">
        <f t="shared" si="0"/>
        <v>Northern Ireland</v>
      </c>
      <c r="B47">
        <f t="shared" si="1"/>
        <v>46</v>
      </c>
      <c r="C47">
        <v>46</v>
      </c>
      <c r="D47" t="s">
        <v>45</v>
      </c>
      <c r="E47" t="s">
        <v>72</v>
      </c>
      <c r="F47">
        <v>1684</v>
      </c>
      <c r="G47">
        <v>27</v>
      </c>
    </row>
    <row r="48" spans="1:7" x14ac:dyDescent="0.25">
      <c r="A48" t="str">
        <f t="shared" si="0"/>
        <v>Bolivia</v>
      </c>
      <c r="B48">
        <f t="shared" si="1"/>
        <v>47</v>
      </c>
      <c r="C48">
        <v>47</v>
      </c>
      <c r="D48" t="s">
        <v>63</v>
      </c>
      <c r="E48" t="s">
        <v>73</v>
      </c>
      <c r="F48">
        <v>1673</v>
      </c>
      <c r="G48">
        <v>57</v>
      </c>
    </row>
    <row r="49" spans="1:7" x14ac:dyDescent="0.25">
      <c r="A49" t="str">
        <f t="shared" si="0"/>
        <v>Panama</v>
      </c>
      <c r="B49">
        <f t="shared" si="1"/>
        <v>48</v>
      </c>
      <c r="C49">
        <v>48</v>
      </c>
      <c r="D49" t="s">
        <v>13</v>
      </c>
      <c r="E49" t="s">
        <v>74</v>
      </c>
      <c r="F49">
        <v>1669</v>
      </c>
      <c r="G49">
        <v>55</v>
      </c>
    </row>
    <row r="50" spans="1:7" x14ac:dyDescent="0.25">
      <c r="A50" t="str">
        <f t="shared" si="0"/>
        <v>Tunisia</v>
      </c>
      <c r="B50">
        <f t="shared" si="1"/>
        <v>49</v>
      </c>
      <c r="C50">
        <v>49</v>
      </c>
      <c r="D50" t="s">
        <v>75</v>
      </c>
      <c r="E50" t="s">
        <v>76</v>
      </c>
      <c r="F50">
        <v>1657</v>
      </c>
      <c r="G50">
        <v>14</v>
      </c>
    </row>
    <row r="51" spans="1:7" x14ac:dyDescent="0.25">
      <c r="A51" t="str">
        <f t="shared" si="0"/>
        <v>Greece</v>
      </c>
      <c r="B51">
        <f t="shared" si="1"/>
        <v>50</v>
      </c>
      <c r="C51">
        <v>50</v>
      </c>
      <c r="D51" t="s">
        <v>17</v>
      </c>
      <c r="E51" t="s">
        <v>77</v>
      </c>
      <c r="F51">
        <v>1646</v>
      </c>
      <c r="G51">
        <v>44</v>
      </c>
    </row>
    <row r="52" spans="1:7" x14ac:dyDescent="0.25">
      <c r="A52" t="str">
        <f t="shared" si="0"/>
        <v>Cameroon</v>
      </c>
      <c r="B52">
        <f t="shared" si="1"/>
        <v>51</v>
      </c>
      <c r="C52">
        <v>51</v>
      </c>
      <c r="D52" t="s">
        <v>78</v>
      </c>
      <c r="E52" t="s">
        <v>79</v>
      </c>
      <c r="F52">
        <v>1645</v>
      </c>
      <c r="G52">
        <v>50</v>
      </c>
    </row>
    <row r="53" spans="1:7" x14ac:dyDescent="0.25">
      <c r="A53" t="str">
        <f t="shared" si="0"/>
        <v>Egypt</v>
      </c>
      <c r="B53">
        <f t="shared" si="1"/>
        <v>52</v>
      </c>
      <c r="C53">
        <v>52</v>
      </c>
      <c r="D53" t="s">
        <v>80</v>
      </c>
      <c r="E53" t="s">
        <v>81</v>
      </c>
      <c r="F53">
        <v>1643</v>
      </c>
      <c r="G53">
        <v>46</v>
      </c>
    </row>
    <row r="54" spans="1:7" x14ac:dyDescent="0.25">
      <c r="A54" t="str">
        <f t="shared" si="0"/>
        <v>Ghana</v>
      </c>
      <c r="B54">
        <f t="shared" si="1"/>
        <v>53</v>
      </c>
      <c r="C54">
        <v>53</v>
      </c>
      <c r="D54" t="s">
        <v>82</v>
      </c>
      <c r="E54" t="s">
        <v>83</v>
      </c>
      <c r="F54">
        <v>1617</v>
      </c>
      <c r="G54">
        <v>50</v>
      </c>
    </row>
    <row r="55" spans="1:7" x14ac:dyDescent="0.25">
      <c r="A55" t="str">
        <f t="shared" si="0"/>
        <v>Montenegro</v>
      </c>
      <c r="B55">
        <f t="shared" si="1"/>
        <v>53</v>
      </c>
      <c r="D55" t="s">
        <v>84</v>
      </c>
      <c r="E55" t="s">
        <v>85</v>
      </c>
      <c r="F55">
        <v>1617</v>
      </c>
      <c r="G55">
        <v>43</v>
      </c>
    </row>
    <row r="56" spans="1:7" x14ac:dyDescent="0.25">
      <c r="A56" t="str">
        <f t="shared" si="0"/>
        <v>Bulgaria</v>
      </c>
      <c r="B56">
        <f t="shared" si="1"/>
        <v>55</v>
      </c>
      <c r="C56">
        <v>55</v>
      </c>
      <c r="D56" t="s">
        <v>5</v>
      </c>
      <c r="E56" t="s">
        <v>86</v>
      </c>
      <c r="F56">
        <v>1615</v>
      </c>
      <c r="G56">
        <v>53</v>
      </c>
    </row>
    <row r="57" spans="1:7" x14ac:dyDescent="0.25">
      <c r="A57" t="str">
        <f t="shared" si="0"/>
        <v>Norway</v>
      </c>
      <c r="B57">
        <f t="shared" si="1"/>
        <v>55</v>
      </c>
      <c r="D57" t="s">
        <v>87</v>
      </c>
      <c r="E57" t="s">
        <v>88</v>
      </c>
      <c r="F57">
        <v>1615</v>
      </c>
      <c r="G57">
        <v>48</v>
      </c>
    </row>
    <row r="58" spans="1:7" x14ac:dyDescent="0.25">
      <c r="A58" t="str">
        <f t="shared" si="0"/>
        <v>Slovenia</v>
      </c>
      <c r="B58">
        <f t="shared" si="1"/>
        <v>57</v>
      </c>
      <c r="C58">
        <v>57</v>
      </c>
      <c r="D58" t="s">
        <v>63</v>
      </c>
      <c r="E58" t="s">
        <v>89</v>
      </c>
      <c r="F58">
        <v>1606</v>
      </c>
      <c r="G58">
        <v>65</v>
      </c>
    </row>
    <row r="59" spans="1:7" x14ac:dyDescent="0.25">
      <c r="A59" t="str">
        <f t="shared" si="0"/>
        <v>Syria</v>
      </c>
      <c r="B59">
        <f t="shared" si="1"/>
        <v>57</v>
      </c>
      <c r="D59" t="s">
        <v>53</v>
      </c>
      <c r="E59" t="s">
        <v>90</v>
      </c>
      <c r="F59">
        <v>1606</v>
      </c>
      <c r="G59">
        <v>76</v>
      </c>
    </row>
    <row r="60" spans="1:7" x14ac:dyDescent="0.25">
      <c r="A60" t="str">
        <f t="shared" si="0"/>
        <v>Finland</v>
      </c>
      <c r="B60">
        <f t="shared" si="1"/>
        <v>59</v>
      </c>
      <c r="C60">
        <v>59</v>
      </c>
      <c r="D60" t="s">
        <v>91</v>
      </c>
      <c r="E60" t="s">
        <v>92</v>
      </c>
      <c r="F60">
        <v>1604</v>
      </c>
      <c r="G60">
        <v>62</v>
      </c>
    </row>
    <row r="61" spans="1:7" x14ac:dyDescent="0.25">
      <c r="A61" t="str">
        <f t="shared" si="0"/>
        <v>Honduras</v>
      </c>
      <c r="B61">
        <f t="shared" si="1"/>
        <v>59</v>
      </c>
      <c r="D61" t="s">
        <v>19</v>
      </c>
      <c r="E61" t="s">
        <v>93</v>
      </c>
      <c r="F61">
        <v>1604</v>
      </c>
      <c r="G61">
        <v>59</v>
      </c>
    </row>
    <row r="62" spans="1:7" x14ac:dyDescent="0.25">
      <c r="A62" t="str">
        <f t="shared" si="0"/>
        <v>Ivory Coast</v>
      </c>
      <c r="B62">
        <f t="shared" si="1"/>
        <v>61</v>
      </c>
      <c r="C62">
        <v>61</v>
      </c>
      <c r="D62" t="s">
        <v>94</v>
      </c>
      <c r="E62" t="s">
        <v>95</v>
      </c>
      <c r="F62">
        <v>1602</v>
      </c>
      <c r="G62">
        <v>69</v>
      </c>
    </row>
    <row r="63" spans="1:7" x14ac:dyDescent="0.25">
      <c r="A63" t="str">
        <f t="shared" si="0"/>
        <v>Uzbekistan</v>
      </c>
      <c r="B63">
        <f t="shared" si="1"/>
        <v>61</v>
      </c>
      <c r="D63" t="s">
        <v>96</v>
      </c>
      <c r="E63" t="s">
        <v>97</v>
      </c>
      <c r="F63">
        <v>1602</v>
      </c>
      <c r="G63">
        <v>88</v>
      </c>
    </row>
    <row r="64" spans="1:7" x14ac:dyDescent="0.25">
      <c r="A64" t="str">
        <f t="shared" si="0"/>
        <v>Burkina Faso</v>
      </c>
      <c r="B64">
        <f t="shared" si="1"/>
        <v>63</v>
      </c>
      <c r="C64">
        <v>63</v>
      </c>
      <c r="D64" t="s">
        <v>25</v>
      </c>
      <c r="E64" t="s">
        <v>98</v>
      </c>
      <c r="F64">
        <v>1597</v>
      </c>
      <c r="G64">
        <v>54</v>
      </c>
    </row>
    <row r="65" spans="1:7" x14ac:dyDescent="0.25">
      <c r="A65" t="str">
        <f t="shared" si="0"/>
        <v>Saudi Arabia</v>
      </c>
      <c r="B65">
        <f t="shared" si="1"/>
        <v>63</v>
      </c>
      <c r="D65" t="s">
        <v>99</v>
      </c>
      <c r="E65" t="s">
        <v>100</v>
      </c>
      <c r="F65">
        <v>1597</v>
      </c>
      <c r="G65">
        <v>67</v>
      </c>
    </row>
    <row r="66" spans="1:7" x14ac:dyDescent="0.25">
      <c r="A66" t="str">
        <f t="shared" si="0"/>
        <v>Albania</v>
      </c>
      <c r="B66">
        <f t="shared" si="1"/>
        <v>65</v>
      </c>
      <c r="C66">
        <v>65</v>
      </c>
      <c r="D66" t="s">
        <v>9</v>
      </c>
      <c r="E66" t="s">
        <v>101</v>
      </c>
      <c r="F66">
        <v>1596</v>
      </c>
      <c r="G66">
        <v>56</v>
      </c>
    </row>
    <row r="67" spans="1:7" x14ac:dyDescent="0.25">
      <c r="A67" t="str">
        <f t="shared" ref="A67:A101" si="2">TRIM(E67)</f>
        <v>DR Congo</v>
      </c>
      <c r="B67">
        <f t="shared" si="1"/>
        <v>66</v>
      </c>
      <c r="C67">
        <v>66</v>
      </c>
      <c r="D67" t="s">
        <v>11</v>
      </c>
      <c r="E67" t="s">
        <v>102</v>
      </c>
      <c r="F67">
        <v>1583</v>
      </c>
      <c r="G67">
        <v>38</v>
      </c>
    </row>
    <row r="68" spans="1:7" x14ac:dyDescent="0.25">
      <c r="A68" t="str">
        <f t="shared" si="2"/>
        <v>Hungary</v>
      </c>
      <c r="B68">
        <f t="shared" ref="B68:B101" si="3">IF(C68="",IF(C67="",C66,C67),C68)</f>
        <v>67</v>
      </c>
      <c r="C68">
        <v>67</v>
      </c>
      <c r="D68" t="s">
        <v>103</v>
      </c>
      <c r="E68" t="s">
        <v>104</v>
      </c>
      <c r="F68">
        <v>1584</v>
      </c>
      <c r="G68">
        <v>49</v>
      </c>
    </row>
    <row r="69" spans="1:7" x14ac:dyDescent="0.25">
      <c r="A69" t="str">
        <f t="shared" si="2"/>
        <v>Jamaica</v>
      </c>
      <c r="B69">
        <f t="shared" si="3"/>
        <v>68</v>
      </c>
      <c r="C69">
        <v>68</v>
      </c>
      <c r="D69" t="s">
        <v>21</v>
      </c>
      <c r="E69" t="s">
        <v>105</v>
      </c>
      <c r="F69">
        <v>1574</v>
      </c>
      <c r="G69">
        <v>54</v>
      </c>
    </row>
    <row r="70" spans="1:7" x14ac:dyDescent="0.25">
      <c r="A70" t="str">
        <f t="shared" si="2"/>
        <v>South Africa</v>
      </c>
      <c r="B70">
        <f t="shared" si="3"/>
        <v>69</v>
      </c>
      <c r="C70">
        <v>69</v>
      </c>
      <c r="D70" t="s">
        <v>96</v>
      </c>
      <c r="E70" t="s">
        <v>106</v>
      </c>
      <c r="F70">
        <v>1557</v>
      </c>
      <c r="G70">
        <v>72</v>
      </c>
    </row>
    <row r="71" spans="1:7" x14ac:dyDescent="0.25">
      <c r="A71" t="str">
        <f t="shared" si="2"/>
        <v>Iraq</v>
      </c>
      <c r="B71">
        <f t="shared" si="3"/>
        <v>70</v>
      </c>
      <c r="C71">
        <v>70</v>
      </c>
      <c r="D71" t="s">
        <v>87</v>
      </c>
      <c r="E71" t="s">
        <v>107</v>
      </c>
      <c r="F71">
        <v>1550</v>
      </c>
      <c r="G71">
        <v>91</v>
      </c>
    </row>
    <row r="72" spans="1:7" x14ac:dyDescent="0.25">
      <c r="A72" t="str">
        <f t="shared" si="2"/>
        <v>Oman</v>
      </c>
      <c r="B72">
        <f t="shared" si="3"/>
        <v>71</v>
      </c>
      <c r="C72">
        <v>71</v>
      </c>
      <c r="D72" t="s">
        <v>108</v>
      </c>
      <c r="E72" t="s">
        <v>109</v>
      </c>
      <c r="F72">
        <v>1539</v>
      </c>
      <c r="G72">
        <v>87</v>
      </c>
    </row>
    <row r="73" spans="1:7" x14ac:dyDescent="0.25">
      <c r="A73" t="str">
        <f t="shared" si="2"/>
        <v>Canada</v>
      </c>
      <c r="B73">
        <f t="shared" si="3"/>
        <v>72</v>
      </c>
      <c r="C73">
        <v>72</v>
      </c>
      <c r="D73" t="s">
        <v>19</v>
      </c>
      <c r="E73" t="s">
        <v>110</v>
      </c>
      <c r="F73">
        <v>1534</v>
      </c>
      <c r="G73">
        <v>80</v>
      </c>
    </row>
    <row r="74" spans="1:7" x14ac:dyDescent="0.25">
      <c r="A74" t="str">
        <f t="shared" si="2"/>
        <v>United Arab Emirates</v>
      </c>
      <c r="B74">
        <f t="shared" si="3"/>
        <v>73</v>
      </c>
      <c r="C74">
        <v>73</v>
      </c>
      <c r="D74" t="s">
        <v>5</v>
      </c>
      <c r="E74" t="s">
        <v>111</v>
      </c>
      <c r="F74">
        <v>1532</v>
      </c>
      <c r="G74">
        <v>81</v>
      </c>
    </row>
    <row r="75" spans="1:7" x14ac:dyDescent="0.25">
      <c r="A75" t="str">
        <f t="shared" si="2"/>
        <v>Belarus</v>
      </c>
      <c r="B75">
        <f t="shared" si="3"/>
        <v>74</v>
      </c>
      <c r="C75">
        <v>74</v>
      </c>
      <c r="D75" t="s">
        <v>63</v>
      </c>
      <c r="E75" t="s">
        <v>112</v>
      </c>
      <c r="F75">
        <v>1531</v>
      </c>
      <c r="G75">
        <v>93</v>
      </c>
    </row>
    <row r="76" spans="1:7" x14ac:dyDescent="0.25">
      <c r="A76" t="str">
        <f t="shared" si="2"/>
        <v>Israel</v>
      </c>
      <c r="B76">
        <f t="shared" si="3"/>
        <v>75</v>
      </c>
      <c r="C76">
        <v>75</v>
      </c>
      <c r="D76" t="s">
        <v>113</v>
      </c>
      <c r="E76" t="s">
        <v>114</v>
      </c>
      <c r="F76">
        <v>1527</v>
      </c>
      <c r="G76">
        <v>98</v>
      </c>
    </row>
    <row r="77" spans="1:7" x14ac:dyDescent="0.25">
      <c r="A77" t="str">
        <f t="shared" si="2"/>
        <v>Algeria</v>
      </c>
      <c r="B77">
        <f t="shared" si="3"/>
        <v>76</v>
      </c>
      <c r="C77">
        <v>76</v>
      </c>
      <c r="D77" t="s">
        <v>115</v>
      </c>
      <c r="E77" t="s">
        <v>116</v>
      </c>
      <c r="F77">
        <v>1524</v>
      </c>
      <c r="G77">
        <v>64</v>
      </c>
    </row>
    <row r="78" spans="1:7" x14ac:dyDescent="0.25">
      <c r="A78" t="str">
        <f t="shared" si="2"/>
        <v>China PR</v>
      </c>
      <c r="B78">
        <f t="shared" si="3"/>
        <v>77</v>
      </c>
      <c r="C78">
        <v>77</v>
      </c>
      <c r="D78" t="s">
        <v>63</v>
      </c>
      <c r="E78" t="s">
        <v>117</v>
      </c>
      <c r="F78">
        <v>1520</v>
      </c>
      <c r="G78">
        <v>73</v>
      </c>
    </row>
    <row r="79" spans="1:7" x14ac:dyDescent="0.25">
      <c r="A79" t="str">
        <f t="shared" si="2"/>
        <v>Mali</v>
      </c>
      <c r="B79">
        <f t="shared" si="3"/>
        <v>78</v>
      </c>
      <c r="C79">
        <v>78</v>
      </c>
      <c r="D79" t="s">
        <v>5</v>
      </c>
      <c r="E79" t="s">
        <v>118</v>
      </c>
      <c r="F79">
        <v>1519</v>
      </c>
      <c r="G79">
        <v>67</v>
      </c>
    </row>
    <row r="80" spans="1:7" x14ac:dyDescent="0.25">
      <c r="A80" t="str">
        <f t="shared" si="2"/>
        <v>Macedonia</v>
      </c>
      <c r="B80">
        <f t="shared" si="3"/>
        <v>79</v>
      </c>
      <c r="C80">
        <v>79</v>
      </c>
      <c r="D80" t="s">
        <v>65</v>
      </c>
      <c r="E80" t="s">
        <v>119</v>
      </c>
      <c r="F80">
        <v>1518</v>
      </c>
      <c r="G80">
        <v>77</v>
      </c>
    </row>
    <row r="81" spans="1:7" x14ac:dyDescent="0.25">
      <c r="A81" t="str">
        <f t="shared" si="2"/>
        <v>New Zealand</v>
      </c>
      <c r="B81">
        <f t="shared" si="3"/>
        <v>80</v>
      </c>
      <c r="C81">
        <v>80</v>
      </c>
      <c r="D81" t="s">
        <v>120</v>
      </c>
      <c r="E81" t="s">
        <v>121</v>
      </c>
      <c r="F81">
        <v>1515</v>
      </c>
      <c r="G81">
        <v>133</v>
      </c>
    </row>
    <row r="82" spans="1:7" x14ac:dyDescent="0.25">
      <c r="A82" t="str">
        <f t="shared" si="2"/>
        <v>Guatemala</v>
      </c>
      <c r="B82">
        <f t="shared" si="3"/>
        <v>81</v>
      </c>
      <c r="C82">
        <v>81</v>
      </c>
      <c r="D82" t="s">
        <v>9</v>
      </c>
      <c r="E82" t="s">
        <v>122</v>
      </c>
      <c r="F82">
        <v>1511</v>
      </c>
      <c r="G82">
        <v>141</v>
      </c>
    </row>
    <row r="83" spans="1:7" x14ac:dyDescent="0.25">
      <c r="A83" t="str">
        <f t="shared" si="2"/>
        <v>Georgia</v>
      </c>
      <c r="B83">
        <f t="shared" si="3"/>
        <v>82</v>
      </c>
      <c r="C83">
        <v>82</v>
      </c>
      <c r="D83" t="s">
        <v>43</v>
      </c>
      <c r="E83" t="s">
        <v>123</v>
      </c>
      <c r="F83">
        <v>1506</v>
      </c>
      <c r="G83">
        <v>95</v>
      </c>
    </row>
    <row r="84" spans="1:7" x14ac:dyDescent="0.25">
      <c r="A84" t="str">
        <f t="shared" si="2"/>
        <v>Estonia</v>
      </c>
      <c r="B84">
        <f t="shared" si="3"/>
        <v>83</v>
      </c>
      <c r="C84">
        <v>83</v>
      </c>
      <c r="D84" t="s">
        <v>13</v>
      </c>
      <c r="E84" t="s">
        <v>124</v>
      </c>
      <c r="F84">
        <v>1504</v>
      </c>
      <c r="G84">
        <v>93</v>
      </c>
    </row>
    <row r="85" spans="1:7" x14ac:dyDescent="0.25">
      <c r="A85" t="str">
        <f t="shared" si="2"/>
        <v>Haiti</v>
      </c>
      <c r="B85">
        <f t="shared" si="3"/>
        <v>84</v>
      </c>
      <c r="C85">
        <v>84</v>
      </c>
      <c r="D85" t="s">
        <v>19</v>
      </c>
      <c r="E85" t="s">
        <v>125</v>
      </c>
      <c r="F85">
        <v>1495</v>
      </c>
      <c r="G85">
        <v>108</v>
      </c>
    </row>
    <row r="86" spans="1:7" x14ac:dyDescent="0.25">
      <c r="A86" t="str">
        <f t="shared" si="2"/>
        <v>Qatar</v>
      </c>
      <c r="B86">
        <f t="shared" si="3"/>
        <v>85</v>
      </c>
      <c r="C86">
        <v>85</v>
      </c>
      <c r="D86" t="s">
        <v>99</v>
      </c>
      <c r="E86" t="s">
        <v>126</v>
      </c>
      <c r="F86">
        <v>1486</v>
      </c>
      <c r="G86">
        <v>101</v>
      </c>
    </row>
    <row r="87" spans="1:7" x14ac:dyDescent="0.25">
      <c r="A87" t="str">
        <f t="shared" si="2"/>
        <v>Libya</v>
      </c>
      <c r="B87">
        <f t="shared" si="3"/>
        <v>86</v>
      </c>
      <c r="C87">
        <v>86</v>
      </c>
      <c r="D87" t="s">
        <v>45</v>
      </c>
      <c r="E87" t="s">
        <v>127</v>
      </c>
      <c r="F87">
        <v>1476</v>
      </c>
      <c r="G87">
        <v>100</v>
      </c>
    </row>
    <row r="88" spans="1:7" x14ac:dyDescent="0.25">
      <c r="A88" t="str">
        <f t="shared" si="2"/>
        <v>Jordan</v>
      </c>
      <c r="B88">
        <f t="shared" si="3"/>
        <v>87</v>
      </c>
      <c r="C88">
        <v>87</v>
      </c>
      <c r="D88" t="s">
        <v>99</v>
      </c>
      <c r="E88" t="s">
        <v>128</v>
      </c>
      <c r="F88">
        <v>1471</v>
      </c>
      <c r="G88">
        <v>118</v>
      </c>
    </row>
    <row r="89" spans="1:7" x14ac:dyDescent="0.25">
      <c r="A89" t="str">
        <f t="shared" si="2"/>
        <v>Zambia</v>
      </c>
      <c r="B89">
        <f t="shared" si="3"/>
        <v>88</v>
      </c>
      <c r="C89">
        <v>88</v>
      </c>
      <c r="D89" t="s">
        <v>21</v>
      </c>
      <c r="E89" t="s">
        <v>129</v>
      </c>
      <c r="F89">
        <v>1470</v>
      </c>
      <c r="G89">
        <v>78</v>
      </c>
    </row>
    <row r="90" spans="1:7" x14ac:dyDescent="0.25">
      <c r="A90" t="str">
        <f t="shared" si="2"/>
        <v>Armenia</v>
      </c>
      <c r="B90">
        <f t="shared" si="3"/>
        <v>89</v>
      </c>
      <c r="C90">
        <v>89</v>
      </c>
      <c r="D90" t="s">
        <v>29</v>
      </c>
      <c r="E90" t="s">
        <v>130</v>
      </c>
      <c r="F90">
        <v>1464</v>
      </c>
      <c r="G90">
        <v>98</v>
      </c>
    </row>
    <row r="91" spans="1:7" x14ac:dyDescent="0.25">
      <c r="A91" t="str">
        <f t="shared" si="2"/>
        <v>Lebanon</v>
      </c>
      <c r="B91">
        <f t="shared" si="3"/>
        <v>90</v>
      </c>
      <c r="C91">
        <v>90</v>
      </c>
      <c r="D91" t="s">
        <v>131</v>
      </c>
      <c r="E91" t="s">
        <v>132</v>
      </c>
      <c r="F91">
        <v>1459</v>
      </c>
      <c r="G91">
        <v>82</v>
      </c>
    </row>
    <row r="92" spans="1:7" x14ac:dyDescent="0.25">
      <c r="A92" t="str">
        <f t="shared" si="2"/>
        <v>El Salvador</v>
      </c>
      <c r="B92">
        <f t="shared" si="3"/>
        <v>91</v>
      </c>
      <c r="C92">
        <v>91</v>
      </c>
      <c r="D92" t="s">
        <v>84</v>
      </c>
      <c r="E92" t="s">
        <v>133</v>
      </c>
      <c r="F92">
        <v>1457</v>
      </c>
      <c r="G92">
        <v>85</v>
      </c>
    </row>
    <row r="93" spans="1:7" x14ac:dyDescent="0.25">
      <c r="A93" t="str">
        <f t="shared" si="2"/>
        <v>North Korea</v>
      </c>
      <c r="B93">
        <f t="shared" si="3"/>
        <v>91</v>
      </c>
      <c r="D93" t="s">
        <v>55</v>
      </c>
      <c r="E93" t="s">
        <v>134</v>
      </c>
      <c r="F93">
        <v>1457</v>
      </c>
      <c r="G93">
        <v>110</v>
      </c>
    </row>
    <row r="94" spans="1:7" x14ac:dyDescent="0.25">
      <c r="A94" t="str">
        <f t="shared" si="2"/>
        <v>Uganda</v>
      </c>
      <c r="B94">
        <f t="shared" si="3"/>
        <v>91</v>
      </c>
      <c r="D94" t="s">
        <v>5</v>
      </c>
      <c r="E94" t="s">
        <v>135</v>
      </c>
      <c r="F94">
        <v>1457</v>
      </c>
      <c r="G94">
        <v>74</v>
      </c>
    </row>
    <row r="95" spans="1:7" x14ac:dyDescent="0.25">
      <c r="A95" t="str">
        <f t="shared" si="2"/>
        <v>Guinea</v>
      </c>
      <c r="B95">
        <f t="shared" si="3"/>
        <v>94</v>
      </c>
      <c r="C95">
        <v>94</v>
      </c>
      <c r="D95" t="s">
        <v>78</v>
      </c>
      <c r="E95" t="s">
        <v>136</v>
      </c>
      <c r="F95">
        <v>1455</v>
      </c>
      <c r="G95">
        <v>70</v>
      </c>
    </row>
    <row r="96" spans="1:7" x14ac:dyDescent="0.25">
      <c r="A96" t="str">
        <f t="shared" si="2"/>
        <v>Northern Cyprus[a]</v>
      </c>
      <c r="B96">
        <f t="shared" si="3"/>
        <v>94</v>
      </c>
      <c r="D96" t="s">
        <v>5</v>
      </c>
      <c r="E96" t="s">
        <v>137</v>
      </c>
      <c r="F96">
        <v>1455</v>
      </c>
      <c r="G96" t="s">
        <v>138</v>
      </c>
    </row>
    <row r="97" spans="1:7" x14ac:dyDescent="0.25">
      <c r="A97" t="str">
        <f t="shared" si="2"/>
        <v>Zimbabwe</v>
      </c>
      <c r="B97">
        <f t="shared" si="3"/>
        <v>96</v>
      </c>
      <c r="C97">
        <v>96</v>
      </c>
      <c r="D97" t="s">
        <v>41</v>
      </c>
      <c r="E97" t="s">
        <v>139</v>
      </c>
      <c r="F97">
        <v>1451</v>
      </c>
      <c r="G97">
        <v>113</v>
      </c>
    </row>
    <row r="98" spans="1:7" x14ac:dyDescent="0.25">
      <c r="A98" t="str">
        <f t="shared" si="2"/>
        <v>Gabon</v>
      </c>
      <c r="B98">
        <f t="shared" si="3"/>
        <v>97</v>
      </c>
      <c r="C98">
        <v>97</v>
      </c>
      <c r="D98" t="s">
        <v>17</v>
      </c>
      <c r="E98" t="s">
        <v>140</v>
      </c>
      <c r="F98">
        <v>1439</v>
      </c>
      <c r="G98">
        <v>90</v>
      </c>
    </row>
    <row r="99" spans="1:7" x14ac:dyDescent="0.25">
      <c r="A99" t="str">
        <f t="shared" si="2"/>
        <v>Kuwait[b]</v>
      </c>
      <c r="B99">
        <f t="shared" si="3"/>
        <v>98</v>
      </c>
      <c r="C99">
        <v>98</v>
      </c>
      <c r="D99" t="s">
        <v>80</v>
      </c>
      <c r="E99" t="s">
        <v>141</v>
      </c>
      <c r="F99">
        <v>1430</v>
      </c>
      <c r="G99">
        <v>160</v>
      </c>
    </row>
    <row r="100" spans="1:7" x14ac:dyDescent="0.25">
      <c r="A100" t="str">
        <f t="shared" si="2"/>
        <v>Cape Verde</v>
      </c>
      <c r="B100">
        <f t="shared" si="3"/>
        <v>99</v>
      </c>
      <c r="C100">
        <v>99</v>
      </c>
      <c r="D100" t="s">
        <v>5</v>
      </c>
      <c r="E100" t="s">
        <v>142</v>
      </c>
      <c r="F100">
        <v>1428</v>
      </c>
      <c r="G100">
        <v>58</v>
      </c>
    </row>
    <row r="101" spans="1:7" x14ac:dyDescent="0.25">
      <c r="A101" t="str">
        <f t="shared" si="2"/>
        <v>Trinidad and Tobago</v>
      </c>
      <c r="B101">
        <f t="shared" si="3"/>
        <v>100</v>
      </c>
      <c r="C101">
        <v>100</v>
      </c>
      <c r="D101" t="s">
        <v>31</v>
      </c>
      <c r="E101" t="s">
        <v>143</v>
      </c>
      <c r="F101">
        <v>1425</v>
      </c>
      <c r="G101">
        <v>92</v>
      </c>
    </row>
  </sheetData>
  <autoFilter ref="A1:G1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" sqref="I1"/>
    </sheetView>
  </sheetViews>
  <sheetFormatPr defaultRowHeight="15" x14ac:dyDescent="0.25"/>
  <cols>
    <col min="1" max="1" width="33.140625" bestFit="1" customWidth="1"/>
    <col min="2" max="2" width="6" bestFit="1" customWidth="1"/>
    <col min="3" max="3" width="14.42578125" bestFit="1" customWidth="1"/>
    <col min="4" max="4" width="12.7109375" bestFit="1" customWidth="1"/>
    <col min="5" max="5" width="14.140625" bestFit="1" customWidth="1"/>
    <col min="6" max="6" width="15.140625" bestFit="1" customWidth="1"/>
    <col min="7" max="7" width="15.140625" customWidth="1"/>
  </cols>
  <sheetData>
    <row r="1" spans="1:9" ht="15.75" thickBot="1" x14ac:dyDescent="0.3">
      <c r="A1" s="42" t="s">
        <v>207</v>
      </c>
      <c r="B1" s="43" t="s">
        <v>208</v>
      </c>
      <c r="C1" s="43" t="s">
        <v>209</v>
      </c>
      <c r="D1" s="43" t="s">
        <v>210</v>
      </c>
      <c r="E1" s="43" t="s">
        <v>211</v>
      </c>
      <c r="F1" s="43" t="s">
        <v>212</v>
      </c>
      <c r="G1" s="44" t="s">
        <v>236</v>
      </c>
      <c r="I1" t="s">
        <v>233</v>
      </c>
    </row>
    <row r="2" spans="1:9" ht="15.75" thickBot="1" x14ac:dyDescent="0.3">
      <c r="A2" s="34" t="s">
        <v>213</v>
      </c>
      <c r="B2" s="35">
        <v>32</v>
      </c>
      <c r="C2" s="35">
        <v>64</v>
      </c>
      <c r="D2" s="35">
        <v>171</v>
      </c>
      <c r="E2" s="35">
        <v>2.7</v>
      </c>
      <c r="F2" s="36">
        <v>52918</v>
      </c>
      <c r="G2" s="45">
        <f>SUM(D2:D2)/SUM(C2:C2)</f>
        <v>2.671875</v>
      </c>
    </row>
    <row r="3" spans="1:9" ht="15.75" thickBot="1" x14ac:dyDescent="0.3">
      <c r="A3" s="34" t="s">
        <v>214</v>
      </c>
      <c r="B3" s="35">
        <v>32</v>
      </c>
      <c r="C3" s="35">
        <v>64</v>
      </c>
      <c r="D3" s="35">
        <v>145</v>
      </c>
      <c r="E3" s="35">
        <v>2.2999999999999998</v>
      </c>
      <c r="F3" s="36">
        <v>49669</v>
      </c>
      <c r="G3" s="45">
        <f>SUM($D$2:D3)/SUM($C$2:C3)</f>
        <v>2.46875</v>
      </c>
    </row>
    <row r="4" spans="1:9" ht="15.75" thickBot="1" x14ac:dyDescent="0.3">
      <c r="A4" s="34" t="s">
        <v>215</v>
      </c>
      <c r="B4" s="35">
        <v>32</v>
      </c>
      <c r="C4" s="35">
        <v>64</v>
      </c>
      <c r="D4" s="35">
        <v>147</v>
      </c>
      <c r="E4" s="35">
        <v>2.2999999999999998</v>
      </c>
      <c r="F4" s="36">
        <v>52491</v>
      </c>
      <c r="G4" s="45">
        <f>SUM($D$2:D4)/SUM($C$2:C4)</f>
        <v>2.4114583333333335</v>
      </c>
    </row>
    <row r="5" spans="1:9" ht="15.75" thickBot="1" x14ac:dyDescent="0.3">
      <c r="A5" s="34" t="s">
        <v>216</v>
      </c>
      <c r="B5" s="35">
        <v>32</v>
      </c>
      <c r="C5" s="35">
        <v>64</v>
      </c>
      <c r="D5" s="35">
        <v>161</v>
      </c>
      <c r="E5" s="35">
        <v>2.5</v>
      </c>
      <c r="F5" s="36">
        <v>42268</v>
      </c>
      <c r="G5" s="45">
        <f>SUM($D$2:D5)/SUM($C$2:C5)</f>
        <v>2.4375</v>
      </c>
    </row>
    <row r="6" spans="1:9" ht="15.75" thickBot="1" x14ac:dyDescent="0.3">
      <c r="A6" s="34" t="s">
        <v>217</v>
      </c>
      <c r="B6" s="35">
        <v>32</v>
      </c>
      <c r="C6" s="35">
        <v>64</v>
      </c>
      <c r="D6" s="35">
        <v>171</v>
      </c>
      <c r="E6" s="35">
        <v>2.7</v>
      </c>
      <c r="F6" s="36">
        <v>43517</v>
      </c>
      <c r="G6" s="45">
        <f>SUM($D$2:D6)/SUM($C$2:C6)</f>
        <v>2.484375</v>
      </c>
    </row>
    <row r="7" spans="1:9" ht="15.75" thickBot="1" x14ac:dyDescent="0.3">
      <c r="A7" s="34" t="s">
        <v>218</v>
      </c>
      <c r="B7" s="35">
        <v>24</v>
      </c>
      <c r="C7" s="35">
        <v>52</v>
      </c>
      <c r="D7" s="35">
        <v>141</v>
      </c>
      <c r="E7" s="35">
        <v>2.7</v>
      </c>
      <c r="F7" s="36">
        <v>68991</v>
      </c>
      <c r="G7" s="45">
        <f>SUM($D$2:D7)/SUM($C$2:C7)</f>
        <v>2.5161290322580645</v>
      </c>
    </row>
    <row r="8" spans="1:9" ht="15.75" thickBot="1" x14ac:dyDescent="0.3">
      <c r="A8" s="34" t="s">
        <v>219</v>
      </c>
      <c r="B8" s="35">
        <v>24</v>
      </c>
      <c r="C8" s="35">
        <v>52</v>
      </c>
      <c r="D8" s="35">
        <v>115</v>
      </c>
      <c r="E8" s="35">
        <v>2.2000000000000002</v>
      </c>
      <c r="F8" s="36">
        <v>48388</v>
      </c>
      <c r="G8" s="45">
        <f>SUM($D$2:D8)/SUM($C$2:C8)</f>
        <v>2.4787735849056602</v>
      </c>
    </row>
    <row r="9" spans="1:9" ht="15.75" thickBot="1" x14ac:dyDescent="0.3">
      <c r="A9" s="34" t="s">
        <v>220</v>
      </c>
      <c r="B9" s="35">
        <v>24</v>
      </c>
      <c r="C9" s="35">
        <v>52</v>
      </c>
      <c r="D9" s="35">
        <v>132</v>
      </c>
      <c r="E9" s="35">
        <v>2.5</v>
      </c>
      <c r="F9" s="36">
        <v>46039</v>
      </c>
      <c r="G9" s="45">
        <f>SUM($D$2:D9)/SUM($C$2:C9)</f>
        <v>2.4852941176470589</v>
      </c>
    </row>
    <row r="10" spans="1:9" ht="15.75" thickBot="1" x14ac:dyDescent="0.3">
      <c r="A10" s="34" t="s">
        <v>221</v>
      </c>
      <c r="B10" s="35">
        <v>24</v>
      </c>
      <c r="C10" s="35">
        <v>52</v>
      </c>
      <c r="D10" s="35">
        <v>146</v>
      </c>
      <c r="E10" s="35">
        <v>2.8</v>
      </c>
      <c r="F10" s="36">
        <v>40571</v>
      </c>
      <c r="G10" s="45">
        <f>SUM($D$2:D10)/SUM($C$2:C10)</f>
        <v>2.5170454545454546</v>
      </c>
    </row>
    <row r="11" spans="1:9" ht="15.75" thickBot="1" x14ac:dyDescent="0.3">
      <c r="A11" s="34" t="s">
        <v>222</v>
      </c>
      <c r="B11" s="35">
        <v>16</v>
      </c>
      <c r="C11" s="35">
        <v>38</v>
      </c>
      <c r="D11" s="35">
        <v>102</v>
      </c>
      <c r="E11" s="35">
        <v>2.7</v>
      </c>
      <c r="F11" s="36">
        <v>40678</v>
      </c>
      <c r="G11" s="45">
        <f>SUM($D$2:D11)/SUM($C$2:C11)</f>
        <v>2.5282685512367493</v>
      </c>
    </row>
    <row r="12" spans="1:9" ht="15.75" thickBot="1" x14ac:dyDescent="0.3">
      <c r="A12" s="34" t="s">
        <v>223</v>
      </c>
      <c r="B12" s="35">
        <v>16</v>
      </c>
      <c r="C12" s="35">
        <v>38</v>
      </c>
      <c r="D12" s="35">
        <v>97</v>
      </c>
      <c r="E12" s="35">
        <v>2.6</v>
      </c>
      <c r="F12" s="36">
        <v>49098</v>
      </c>
      <c r="G12" s="45">
        <f>SUM($D$2:D12)/SUM($C$2:C12)</f>
        <v>2.5298013245033113</v>
      </c>
    </row>
    <row r="13" spans="1:9" ht="15.75" thickBot="1" x14ac:dyDescent="0.3">
      <c r="A13" s="34" t="s">
        <v>224</v>
      </c>
      <c r="B13" s="35">
        <v>16</v>
      </c>
      <c r="C13" s="35">
        <v>32</v>
      </c>
      <c r="D13" s="35">
        <v>95</v>
      </c>
      <c r="E13" s="35">
        <v>3</v>
      </c>
      <c r="F13" s="36">
        <v>50124</v>
      </c>
      <c r="G13" s="45">
        <f>SUM($D$2:D13)/SUM($C$2:C13)</f>
        <v>2.5518867924528301</v>
      </c>
    </row>
    <row r="14" spans="1:9" ht="15.75" thickBot="1" x14ac:dyDescent="0.3">
      <c r="A14" s="34" t="s">
        <v>225</v>
      </c>
      <c r="B14" s="35">
        <v>16</v>
      </c>
      <c r="C14" s="35">
        <v>32</v>
      </c>
      <c r="D14" s="35">
        <v>89</v>
      </c>
      <c r="E14" s="35">
        <v>2.8</v>
      </c>
      <c r="F14" s="36">
        <v>48847</v>
      </c>
      <c r="G14" s="45">
        <f>SUM($D$2:D14)/SUM($C$2:C14)</f>
        <v>2.5628742514970062</v>
      </c>
    </row>
    <row r="15" spans="1:9" ht="15.75" thickBot="1" x14ac:dyDescent="0.3">
      <c r="A15" s="34" t="s">
        <v>226</v>
      </c>
      <c r="B15" s="35">
        <v>16</v>
      </c>
      <c r="C15" s="35">
        <v>32</v>
      </c>
      <c r="D15" s="35">
        <v>89</v>
      </c>
      <c r="E15" s="35">
        <v>2.8</v>
      </c>
      <c r="F15" s="36">
        <v>27911</v>
      </c>
      <c r="G15" s="45">
        <f>SUM($D$2:D15)/SUM($C$2:C15)</f>
        <v>2.572857142857143</v>
      </c>
    </row>
    <row r="16" spans="1:9" ht="15.75" thickBot="1" x14ac:dyDescent="0.3">
      <c r="A16" s="34" t="s">
        <v>227</v>
      </c>
      <c r="B16" s="35">
        <v>16</v>
      </c>
      <c r="C16" s="35">
        <v>35</v>
      </c>
      <c r="D16" s="35">
        <v>126</v>
      </c>
      <c r="E16" s="35">
        <v>3.6</v>
      </c>
      <c r="F16" s="36">
        <v>23423</v>
      </c>
      <c r="G16" s="45">
        <f>SUM($D$2:D16)/SUM($C$2:C16)</f>
        <v>2.6217687074829934</v>
      </c>
    </row>
    <row r="17" spans="1:7" ht="15.75" thickBot="1" x14ac:dyDescent="0.3">
      <c r="A17" s="34" t="s">
        <v>228</v>
      </c>
      <c r="B17" s="35">
        <v>16</v>
      </c>
      <c r="C17" s="35">
        <v>26</v>
      </c>
      <c r="D17" s="35">
        <v>140</v>
      </c>
      <c r="E17" s="35">
        <v>5.4</v>
      </c>
      <c r="F17" s="36">
        <v>29561</v>
      </c>
      <c r="G17" s="45">
        <f>SUM($D$2:D17)/SUM($C$2:C17)</f>
        <v>2.7161629434954007</v>
      </c>
    </row>
    <row r="18" spans="1:7" ht="15.75" thickBot="1" x14ac:dyDescent="0.3">
      <c r="A18" s="34" t="s">
        <v>229</v>
      </c>
      <c r="B18" s="35">
        <v>13</v>
      </c>
      <c r="C18" s="35">
        <v>22</v>
      </c>
      <c r="D18" s="35">
        <v>88</v>
      </c>
      <c r="E18" s="35">
        <v>4</v>
      </c>
      <c r="F18" s="36">
        <v>47511</v>
      </c>
      <c r="G18" s="45">
        <f>SUM($D$2:D18)/SUM($C$2:C18)</f>
        <v>2.7522349936143038</v>
      </c>
    </row>
    <row r="19" spans="1:7" ht="15.75" thickBot="1" x14ac:dyDescent="0.3">
      <c r="A19" s="34" t="s">
        <v>230</v>
      </c>
      <c r="B19" s="35">
        <v>15</v>
      </c>
      <c r="C19" s="35">
        <v>18</v>
      </c>
      <c r="D19" s="35">
        <v>84</v>
      </c>
      <c r="E19" s="35">
        <v>4.7</v>
      </c>
      <c r="F19" s="36">
        <v>20872</v>
      </c>
      <c r="G19" s="45">
        <f>SUM($D$2:D19)/SUM($C$2:C19)</f>
        <v>2.7952559300873907</v>
      </c>
    </row>
    <row r="20" spans="1:7" ht="15.75" thickBot="1" x14ac:dyDescent="0.3">
      <c r="A20" s="34" t="s">
        <v>231</v>
      </c>
      <c r="B20" s="35">
        <v>16</v>
      </c>
      <c r="C20" s="35">
        <v>17</v>
      </c>
      <c r="D20" s="35">
        <v>70</v>
      </c>
      <c r="E20" s="35">
        <v>4.0999999999999996</v>
      </c>
      <c r="F20" s="36">
        <v>21352</v>
      </c>
      <c r="G20" s="45">
        <f>SUM($D$2:D20)/SUM($C$2:C20)</f>
        <v>2.8227383863080684</v>
      </c>
    </row>
    <row r="21" spans="1:7" ht="15.75" thickBot="1" x14ac:dyDescent="0.3">
      <c r="A21" s="37" t="s">
        <v>232</v>
      </c>
      <c r="B21" s="38">
        <v>13</v>
      </c>
      <c r="C21" s="38">
        <v>18</v>
      </c>
      <c r="D21" s="38">
        <v>70</v>
      </c>
      <c r="E21" s="38">
        <v>3.9</v>
      </c>
      <c r="F21" s="39">
        <v>32808</v>
      </c>
      <c r="G21" s="45">
        <f>SUM($D$2:D21)/SUM($C$2:C21)</f>
        <v>2.8456937799043063</v>
      </c>
    </row>
    <row r="23" spans="1:7" x14ac:dyDescent="0.25">
      <c r="C23">
        <f t="shared" ref="C23:D23" si="0">SUM(C2:C21)</f>
        <v>836</v>
      </c>
      <c r="D23">
        <f t="shared" si="0"/>
        <v>2379</v>
      </c>
      <c r="E23">
        <f>D23/C23</f>
        <v>2.8456937799043063</v>
      </c>
    </row>
  </sheetData>
  <hyperlinks>
    <hyperlink ref="A2" r:id="rId1" display="http://www.fifa.com/worldcup/archive/brazil2014/index.html"/>
    <hyperlink ref="A3" r:id="rId2" display="http://www.fifa.com/worldcup/archive/southafrica2010/index.html"/>
    <hyperlink ref="A4" r:id="rId3" display="http://www.fifa.com/worldcup/archive/germany2006/index.html"/>
    <hyperlink ref="A5" r:id="rId4" display="http://www.fifa.com/worldcup/archive/koreajapan2002/index.html"/>
    <hyperlink ref="A6" r:id="rId5" display="http://www.fifa.com/worldcup/archive/france1998/index.html"/>
    <hyperlink ref="A7" r:id="rId6" display="http://www.fifa.com/worldcup/archive/usa1994/index.html"/>
    <hyperlink ref="A8" r:id="rId7" display="http://www.fifa.com/worldcup/archive/italy1990/index.html"/>
    <hyperlink ref="A9" r:id="rId8" display="http://www.fifa.com/worldcup/archive/mexico1986/index.html"/>
    <hyperlink ref="A10" r:id="rId9" display="http://www.fifa.com/worldcup/archive/spain1982/index.html"/>
    <hyperlink ref="A11" r:id="rId10" display="http://www.fifa.com/worldcup/archive/argentina1978/index.html"/>
    <hyperlink ref="A12" r:id="rId11" display="http://www.fifa.com/worldcup/archive/germany1974/index.html"/>
    <hyperlink ref="A13" r:id="rId12" display="http://www.fifa.com/worldcup/archive/mexico1970/index.html"/>
    <hyperlink ref="A14" r:id="rId13" display="http://www.fifa.com/worldcup/archive/england1966/index.html"/>
    <hyperlink ref="A15" r:id="rId14" display="http://www.fifa.com/worldcup/archive/chile1962/index.html"/>
    <hyperlink ref="A16" r:id="rId15" display="http://www.fifa.com/worldcup/archive/sweden1958/index.html"/>
    <hyperlink ref="A17" r:id="rId16" display="http://www.fifa.com/worldcup/archive/switzerland1954/index.html"/>
    <hyperlink ref="A18" r:id="rId17" display="http://www.fifa.com/worldcup/archive/brazil1950/index.html"/>
    <hyperlink ref="A19" r:id="rId18" display="http://www.fifa.com/worldcup/archive/france1938/index.html"/>
    <hyperlink ref="A20" r:id="rId19" display="http://www.fifa.com/worldcup/archive/italy1934/index.html"/>
    <hyperlink ref="A21" r:id="rId20" display="http://www.fifa.com/worldcup/archive/uruguay1930/index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min="2" max="4" width="9.140625" style="48"/>
  </cols>
  <sheetData>
    <row r="1" spans="1:6" x14ac:dyDescent="0.25">
      <c r="A1" s="25" t="s">
        <v>244</v>
      </c>
      <c r="B1" s="49" t="s">
        <v>245</v>
      </c>
      <c r="C1" s="49" t="s">
        <v>246</v>
      </c>
      <c r="D1" s="50" t="s">
        <v>248</v>
      </c>
      <c r="F1" t="s">
        <v>247</v>
      </c>
    </row>
    <row r="2" spans="1:6" x14ac:dyDescent="0.25">
      <c r="A2">
        <v>0</v>
      </c>
      <c r="B2" s="48">
        <v>0.22220000000000001</v>
      </c>
      <c r="C2" s="48">
        <v>0.34510000000000002</v>
      </c>
      <c r="D2" s="48">
        <f>AVERAGE(B2:C2)</f>
        <v>0.28365000000000001</v>
      </c>
      <c r="E2" s="33"/>
    </row>
    <row r="3" spans="1:6" x14ac:dyDescent="0.25">
      <c r="A3">
        <v>1</v>
      </c>
      <c r="B3" s="48">
        <v>0.3342</v>
      </c>
      <c r="C3" s="48">
        <v>0.36720000000000003</v>
      </c>
      <c r="D3" s="48">
        <f t="shared" ref="D3:D6" si="0">AVERAGE(B3:C3)</f>
        <v>0.35070000000000001</v>
      </c>
      <c r="E3" s="33"/>
    </row>
    <row r="4" spans="1:6" x14ac:dyDescent="0.25">
      <c r="A4">
        <v>2</v>
      </c>
      <c r="B4" s="48">
        <v>0.25140000000000001</v>
      </c>
      <c r="C4" s="48">
        <v>0.1953</v>
      </c>
      <c r="D4" s="48">
        <f t="shared" si="0"/>
        <v>0.22334999999999999</v>
      </c>
      <c r="E4" s="33"/>
    </row>
    <row r="5" spans="1:6" x14ac:dyDescent="0.25">
      <c r="A5">
        <v>3</v>
      </c>
      <c r="B5" s="48">
        <v>0.126</v>
      </c>
      <c r="C5" s="48">
        <v>6.93E-2</v>
      </c>
      <c r="D5" s="48">
        <f t="shared" si="0"/>
        <v>9.7650000000000001E-2</v>
      </c>
      <c r="E5" s="33"/>
    </row>
    <row r="6" spans="1:6" x14ac:dyDescent="0.25">
      <c r="A6">
        <v>4</v>
      </c>
      <c r="B6" s="48">
        <v>4.7399999999999998E-2</v>
      </c>
      <c r="C6" s="48">
        <v>1.84E-2</v>
      </c>
      <c r="D6" s="48">
        <f t="shared" si="0"/>
        <v>3.2899999999999999E-2</v>
      </c>
      <c r="E6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:B9"/>
    </sheetView>
  </sheetViews>
  <sheetFormatPr defaultRowHeight="15" x14ac:dyDescent="0.25"/>
  <cols>
    <col min="1" max="1" width="3" bestFit="1" customWidth="1"/>
    <col min="2" max="2" width="42.42578125" bestFit="1" customWidth="1"/>
  </cols>
  <sheetData>
    <row r="1" spans="1:4" ht="16.5" thickBot="1" x14ac:dyDescent="0.3">
      <c r="A1" s="56" t="s">
        <v>259</v>
      </c>
      <c r="B1" s="57" t="s">
        <v>260</v>
      </c>
      <c r="D1" t="s">
        <v>261</v>
      </c>
    </row>
    <row r="2" spans="1:4" ht="15.75" thickBot="1" x14ac:dyDescent="0.3">
      <c r="A2" s="58">
        <v>0</v>
      </c>
      <c r="B2" s="58">
        <v>8.2000000000000003E-2</v>
      </c>
    </row>
    <row r="3" spans="1:4" ht="15.75" thickBot="1" x14ac:dyDescent="0.3">
      <c r="A3" s="58">
        <v>1</v>
      </c>
      <c r="B3" s="58">
        <v>0.20499999999999999</v>
      </c>
    </row>
    <row r="4" spans="1:4" ht="15.75" thickBot="1" x14ac:dyDescent="0.3">
      <c r="A4" s="58">
        <v>2</v>
      </c>
      <c r="B4" s="58">
        <v>0.25700000000000001</v>
      </c>
    </row>
    <row r="5" spans="1:4" ht="15.75" thickBot="1" x14ac:dyDescent="0.3">
      <c r="A5" s="58">
        <v>3</v>
      </c>
      <c r="B5" s="58">
        <v>0.21299999999999999</v>
      </c>
    </row>
    <row r="6" spans="1:4" ht="15.75" thickBot="1" x14ac:dyDescent="0.3">
      <c r="A6" s="58">
        <v>4</v>
      </c>
      <c r="B6" s="58">
        <v>0.13300000000000001</v>
      </c>
    </row>
    <row r="7" spans="1:4" ht="15.75" thickBot="1" x14ac:dyDescent="0.3">
      <c r="A7" s="58">
        <v>5</v>
      </c>
      <c r="B7" s="58">
        <v>6.7000000000000004E-2</v>
      </c>
    </row>
    <row r="8" spans="1:4" ht="15.75" thickBot="1" x14ac:dyDescent="0.3">
      <c r="A8" s="58">
        <v>6</v>
      </c>
      <c r="B8" s="58">
        <v>2.8000000000000001E-2</v>
      </c>
    </row>
    <row r="9" spans="1:4" ht="15.75" thickBot="1" x14ac:dyDescent="0.3">
      <c r="A9" s="58">
        <v>7</v>
      </c>
      <c r="B9" s="58">
        <v>0.01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" bestFit="1" customWidth="1"/>
    <col min="2" max="5" width="9.5703125" customWidth="1"/>
    <col min="6" max="6" width="12" style="52" customWidth="1"/>
  </cols>
  <sheetData>
    <row r="1" spans="1:7" ht="45" x14ac:dyDescent="0.25">
      <c r="A1" s="28" t="s">
        <v>2</v>
      </c>
      <c r="B1" s="28" t="s">
        <v>239</v>
      </c>
      <c r="C1" s="28" t="s">
        <v>249</v>
      </c>
      <c r="D1" s="28" t="s">
        <v>250</v>
      </c>
      <c r="E1" s="40" t="s">
        <v>251</v>
      </c>
      <c r="F1" s="51" t="s">
        <v>252</v>
      </c>
      <c r="G1" s="40" t="s">
        <v>253</v>
      </c>
    </row>
    <row r="2" spans="1:7" x14ac:dyDescent="0.25">
      <c r="A2" t="s">
        <v>146</v>
      </c>
      <c r="G2">
        <f>MEDIAN(G3:G33)</f>
        <v>16</v>
      </c>
    </row>
    <row r="3" spans="1:7" x14ac:dyDescent="0.25">
      <c r="A3" t="s">
        <v>148</v>
      </c>
      <c r="B3">
        <v>18</v>
      </c>
      <c r="C3">
        <v>45</v>
      </c>
      <c r="D3">
        <v>14</v>
      </c>
      <c r="E3">
        <f>SUM(C3:D3)</f>
        <v>59</v>
      </c>
      <c r="F3" s="52">
        <f>E3/B3</f>
        <v>3.2777777777777777</v>
      </c>
      <c r="G3">
        <f t="shared" ref="G3:G33" si="0">_xlfn.RANK.EQ(F3,$F$3:$F$33)</f>
        <v>6</v>
      </c>
    </row>
    <row r="4" spans="1:7" x14ac:dyDescent="0.25">
      <c r="A4" t="s">
        <v>150</v>
      </c>
      <c r="B4">
        <v>8</v>
      </c>
      <c r="C4">
        <v>12</v>
      </c>
      <c r="D4">
        <v>5</v>
      </c>
      <c r="E4">
        <f t="shared" ref="E4:E5" si="1">SUM(C4:D4)</f>
        <v>17</v>
      </c>
      <c r="F4" s="52">
        <f t="shared" ref="F4:F5" si="2">E4/B4</f>
        <v>2.125</v>
      </c>
      <c r="G4">
        <f t="shared" si="0"/>
        <v>26</v>
      </c>
    </row>
    <row r="5" spans="1:7" x14ac:dyDescent="0.25">
      <c r="A5" t="s">
        <v>151</v>
      </c>
      <c r="B5">
        <v>18</v>
      </c>
      <c r="C5">
        <v>32</v>
      </c>
      <c r="D5">
        <v>20</v>
      </c>
      <c r="E5">
        <f t="shared" si="1"/>
        <v>52</v>
      </c>
      <c r="F5" s="52">
        <f t="shared" si="2"/>
        <v>2.8888888888888888</v>
      </c>
      <c r="G5">
        <f t="shared" si="0"/>
        <v>11</v>
      </c>
    </row>
    <row r="6" spans="1:7" x14ac:dyDescent="0.25">
      <c r="A6" t="s">
        <v>154</v>
      </c>
      <c r="B6">
        <v>10</v>
      </c>
      <c r="C6">
        <v>32</v>
      </c>
      <c r="D6">
        <v>4</v>
      </c>
      <c r="E6">
        <f t="shared" ref="E6:E33" si="3">SUM(C6:D6)</f>
        <v>36</v>
      </c>
      <c r="F6" s="52">
        <f t="shared" ref="F6:F33" si="4">E6/B6</f>
        <v>3.6</v>
      </c>
      <c r="G6">
        <f t="shared" si="0"/>
        <v>5</v>
      </c>
    </row>
    <row r="7" spans="1:7" x14ac:dyDescent="0.25">
      <c r="A7" t="s">
        <v>155</v>
      </c>
      <c r="B7">
        <v>10</v>
      </c>
      <c r="C7">
        <v>36</v>
      </c>
      <c r="D7">
        <v>3</v>
      </c>
      <c r="E7">
        <f t="shared" si="3"/>
        <v>39</v>
      </c>
      <c r="F7" s="52">
        <f t="shared" si="4"/>
        <v>3.9</v>
      </c>
      <c r="G7">
        <f t="shared" si="0"/>
        <v>4</v>
      </c>
    </row>
    <row r="8" spans="1:7" x14ac:dyDescent="0.25">
      <c r="A8" t="s">
        <v>152</v>
      </c>
      <c r="B8">
        <v>8</v>
      </c>
      <c r="C8">
        <v>13</v>
      </c>
      <c r="D8">
        <v>1</v>
      </c>
      <c r="E8">
        <f t="shared" si="3"/>
        <v>14</v>
      </c>
      <c r="F8" s="52">
        <f t="shared" si="4"/>
        <v>1.75</v>
      </c>
      <c r="G8">
        <f t="shared" si="0"/>
        <v>31</v>
      </c>
    </row>
    <row r="9" spans="1:7" x14ac:dyDescent="0.25">
      <c r="A9" t="s">
        <v>153</v>
      </c>
      <c r="B9">
        <v>18</v>
      </c>
      <c r="C9">
        <v>36</v>
      </c>
      <c r="D9">
        <v>5</v>
      </c>
      <c r="E9">
        <f t="shared" si="3"/>
        <v>41</v>
      </c>
      <c r="F9" s="52">
        <f t="shared" si="4"/>
        <v>2.2777777777777777</v>
      </c>
      <c r="G9">
        <f t="shared" si="0"/>
        <v>23</v>
      </c>
    </row>
    <row r="10" spans="1:7" x14ac:dyDescent="0.25">
      <c r="A10" t="s">
        <v>157</v>
      </c>
      <c r="B10">
        <v>10</v>
      </c>
      <c r="C10">
        <v>18</v>
      </c>
      <c r="D10">
        <v>6</v>
      </c>
      <c r="E10">
        <f t="shared" si="3"/>
        <v>24</v>
      </c>
      <c r="F10" s="52">
        <f t="shared" si="4"/>
        <v>2.4</v>
      </c>
      <c r="G10">
        <f t="shared" si="0"/>
        <v>19</v>
      </c>
    </row>
    <row r="11" spans="1:7" x14ac:dyDescent="0.25">
      <c r="A11" t="s">
        <v>158</v>
      </c>
      <c r="B11">
        <v>22</v>
      </c>
      <c r="C11">
        <v>51</v>
      </c>
      <c r="D11">
        <v>18</v>
      </c>
      <c r="E11">
        <f t="shared" si="3"/>
        <v>69</v>
      </c>
      <c r="F11" s="52">
        <f t="shared" si="4"/>
        <v>3.1363636363636362</v>
      </c>
      <c r="G11">
        <f t="shared" si="0"/>
        <v>7</v>
      </c>
    </row>
    <row r="12" spans="1:7" x14ac:dyDescent="0.25">
      <c r="A12" t="s">
        <v>161</v>
      </c>
      <c r="B12">
        <v>20</v>
      </c>
      <c r="C12">
        <v>29</v>
      </c>
      <c r="D12">
        <v>26</v>
      </c>
      <c r="E12">
        <f t="shared" si="3"/>
        <v>55</v>
      </c>
      <c r="F12" s="52">
        <f t="shared" si="4"/>
        <v>2.75</v>
      </c>
      <c r="G12">
        <f t="shared" si="0"/>
        <v>14</v>
      </c>
    </row>
    <row r="13" spans="1:7" x14ac:dyDescent="0.25">
      <c r="A13" t="s">
        <v>162</v>
      </c>
      <c r="B13">
        <v>12</v>
      </c>
      <c r="C13">
        <v>25</v>
      </c>
      <c r="D13">
        <v>9</v>
      </c>
      <c r="E13">
        <f t="shared" si="3"/>
        <v>34</v>
      </c>
      <c r="F13" s="52">
        <f t="shared" si="4"/>
        <v>2.8333333333333335</v>
      </c>
      <c r="G13">
        <f t="shared" si="0"/>
        <v>12</v>
      </c>
    </row>
    <row r="14" spans="1:7" x14ac:dyDescent="0.25">
      <c r="A14" t="s">
        <v>159</v>
      </c>
      <c r="B14">
        <v>18</v>
      </c>
      <c r="C14">
        <v>19</v>
      </c>
      <c r="D14">
        <v>16</v>
      </c>
      <c r="E14">
        <f t="shared" si="3"/>
        <v>35</v>
      </c>
      <c r="F14" s="52">
        <f t="shared" si="4"/>
        <v>1.9444444444444444</v>
      </c>
      <c r="G14">
        <f t="shared" si="0"/>
        <v>29</v>
      </c>
    </row>
    <row r="15" spans="1:7" x14ac:dyDescent="0.25">
      <c r="A15" t="s">
        <v>160</v>
      </c>
      <c r="B15">
        <v>10</v>
      </c>
      <c r="C15">
        <v>16</v>
      </c>
      <c r="D15">
        <v>7</v>
      </c>
      <c r="E15">
        <f t="shared" si="3"/>
        <v>23</v>
      </c>
      <c r="F15" s="52">
        <f t="shared" si="4"/>
        <v>2.2999999999999998</v>
      </c>
      <c r="G15">
        <f t="shared" si="0"/>
        <v>22</v>
      </c>
    </row>
    <row r="16" spans="1:7" x14ac:dyDescent="0.25">
      <c r="A16" t="s">
        <v>163</v>
      </c>
      <c r="B16">
        <v>12</v>
      </c>
      <c r="C16">
        <v>19</v>
      </c>
      <c r="D16">
        <v>5</v>
      </c>
      <c r="E16">
        <f t="shared" si="3"/>
        <v>24</v>
      </c>
      <c r="F16" s="52">
        <f t="shared" si="4"/>
        <v>2</v>
      </c>
      <c r="G16">
        <f t="shared" si="0"/>
        <v>28</v>
      </c>
    </row>
    <row r="17" spans="1:7" x14ac:dyDescent="0.25">
      <c r="A17" t="s">
        <v>164</v>
      </c>
      <c r="B17">
        <v>8</v>
      </c>
      <c r="C17">
        <v>13</v>
      </c>
      <c r="D17">
        <v>6</v>
      </c>
      <c r="E17">
        <f t="shared" si="3"/>
        <v>19</v>
      </c>
      <c r="F17" s="52">
        <f t="shared" si="4"/>
        <v>2.375</v>
      </c>
      <c r="G17">
        <f t="shared" si="0"/>
        <v>20</v>
      </c>
    </row>
    <row r="18" spans="1:7" x14ac:dyDescent="0.25">
      <c r="A18" t="s">
        <v>170</v>
      </c>
      <c r="B18">
        <v>18</v>
      </c>
      <c r="C18">
        <v>42</v>
      </c>
      <c r="D18">
        <v>11</v>
      </c>
      <c r="E18">
        <f t="shared" si="3"/>
        <v>53</v>
      </c>
      <c r="F18" s="52">
        <f t="shared" si="4"/>
        <v>2.9444444444444446</v>
      </c>
      <c r="G18">
        <f t="shared" si="0"/>
        <v>10</v>
      </c>
    </row>
    <row r="19" spans="1:7" x14ac:dyDescent="0.25">
      <c r="A19" t="s">
        <v>171</v>
      </c>
      <c r="B19">
        <v>12</v>
      </c>
      <c r="C19">
        <v>24</v>
      </c>
      <c r="D19">
        <v>7</v>
      </c>
      <c r="E19">
        <f t="shared" si="3"/>
        <v>31</v>
      </c>
      <c r="F19" s="52">
        <f t="shared" si="4"/>
        <v>2.5833333333333335</v>
      </c>
      <c r="G19">
        <f t="shared" si="0"/>
        <v>17</v>
      </c>
    </row>
    <row r="20" spans="1:7" x14ac:dyDescent="0.25">
      <c r="A20" t="s">
        <v>166</v>
      </c>
      <c r="B20">
        <v>16</v>
      </c>
      <c r="C20">
        <v>25</v>
      </c>
      <c r="D20">
        <v>11</v>
      </c>
      <c r="E20">
        <f t="shared" si="3"/>
        <v>36</v>
      </c>
      <c r="F20" s="52">
        <f t="shared" si="4"/>
        <v>2.25</v>
      </c>
      <c r="G20">
        <f t="shared" si="0"/>
        <v>24</v>
      </c>
    </row>
    <row r="21" spans="1:7" x14ac:dyDescent="0.25">
      <c r="A21" t="s">
        <v>167</v>
      </c>
      <c r="B21">
        <v>10</v>
      </c>
      <c r="C21">
        <v>20</v>
      </c>
      <c r="D21">
        <v>10</v>
      </c>
      <c r="E21">
        <f t="shared" si="3"/>
        <v>30</v>
      </c>
      <c r="F21" s="52">
        <f t="shared" si="4"/>
        <v>3</v>
      </c>
      <c r="G21">
        <f t="shared" si="0"/>
        <v>8</v>
      </c>
    </row>
    <row r="22" spans="1:7" x14ac:dyDescent="0.25">
      <c r="A22" t="s">
        <v>168</v>
      </c>
      <c r="B22">
        <v>10</v>
      </c>
      <c r="C22">
        <v>43</v>
      </c>
      <c r="D22">
        <v>4</v>
      </c>
      <c r="E22">
        <f t="shared" si="3"/>
        <v>47</v>
      </c>
      <c r="F22" s="52">
        <f t="shared" si="4"/>
        <v>4.7</v>
      </c>
      <c r="G22">
        <f t="shared" si="0"/>
        <v>2</v>
      </c>
    </row>
    <row r="23" spans="1:7" x14ac:dyDescent="0.25">
      <c r="A23" t="s">
        <v>169</v>
      </c>
      <c r="B23">
        <v>16</v>
      </c>
      <c r="C23">
        <v>29</v>
      </c>
      <c r="D23">
        <v>8</v>
      </c>
      <c r="E23">
        <f t="shared" si="3"/>
        <v>37</v>
      </c>
      <c r="F23" s="52">
        <f t="shared" si="4"/>
        <v>2.3125</v>
      </c>
      <c r="G23">
        <f t="shared" si="0"/>
        <v>21</v>
      </c>
    </row>
    <row r="24" spans="1:7" x14ac:dyDescent="0.25">
      <c r="A24" t="s">
        <v>173</v>
      </c>
      <c r="B24">
        <v>12</v>
      </c>
      <c r="C24">
        <v>27</v>
      </c>
      <c r="D24">
        <v>9</v>
      </c>
      <c r="E24">
        <f t="shared" si="3"/>
        <v>36</v>
      </c>
      <c r="F24" s="52">
        <f t="shared" si="4"/>
        <v>3</v>
      </c>
      <c r="G24">
        <f t="shared" si="0"/>
        <v>8</v>
      </c>
    </row>
    <row r="25" spans="1:7" x14ac:dyDescent="0.25">
      <c r="A25" t="s">
        <v>174</v>
      </c>
      <c r="B25">
        <v>18</v>
      </c>
      <c r="C25">
        <v>38</v>
      </c>
      <c r="D25">
        <v>10</v>
      </c>
      <c r="E25">
        <f t="shared" si="3"/>
        <v>48</v>
      </c>
      <c r="F25" s="52">
        <f t="shared" si="4"/>
        <v>2.6666666666666665</v>
      </c>
      <c r="G25">
        <f t="shared" si="0"/>
        <v>15</v>
      </c>
    </row>
    <row r="26" spans="1:7" x14ac:dyDescent="0.25">
      <c r="A26" t="s">
        <v>175</v>
      </c>
      <c r="B26">
        <v>10</v>
      </c>
      <c r="C26">
        <v>43</v>
      </c>
      <c r="D26">
        <v>6</v>
      </c>
      <c r="E26">
        <f t="shared" si="3"/>
        <v>49</v>
      </c>
      <c r="F26" s="52">
        <f t="shared" si="4"/>
        <v>4.9000000000000004</v>
      </c>
      <c r="G26">
        <f t="shared" si="0"/>
        <v>1</v>
      </c>
    </row>
    <row r="27" spans="1:7" x14ac:dyDescent="0.25">
      <c r="A27" t="s">
        <v>176</v>
      </c>
      <c r="B27">
        <v>16</v>
      </c>
      <c r="C27">
        <v>16</v>
      </c>
      <c r="D27">
        <v>15</v>
      </c>
      <c r="E27">
        <f t="shared" si="3"/>
        <v>31</v>
      </c>
      <c r="F27" s="52">
        <f t="shared" si="4"/>
        <v>1.9375</v>
      </c>
      <c r="G27">
        <f t="shared" si="0"/>
        <v>30</v>
      </c>
    </row>
    <row r="28" spans="1:7" x14ac:dyDescent="0.25">
      <c r="A28" t="s">
        <v>177</v>
      </c>
      <c r="B28">
        <v>8</v>
      </c>
      <c r="C28">
        <v>15</v>
      </c>
      <c r="D28">
        <v>6</v>
      </c>
      <c r="E28">
        <f t="shared" si="3"/>
        <v>21</v>
      </c>
      <c r="F28" s="52">
        <f t="shared" si="4"/>
        <v>2.625</v>
      </c>
      <c r="G28">
        <f t="shared" si="0"/>
        <v>16</v>
      </c>
    </row>
    <row r="29" spans="1:7" x14ac:dyDescent="0.25">
      <c r="A29" t="s">
        <v>178</v>
      </c>
      <c r="B29">
        <v>10</v>
      </c>
      <c r="C29">
        <v>18</v>
      </c>
      <c r="D29">
        <v>3</v>
      </c>
      <c r="E29">
        <f t="shared" si="3"/>
        <v>21</v>
      </c>
      <c r="F29" s="52">
        <f t="shared" si="4"/>
        <v>2.1</v>
      </c>
      <c r="G29">
        <f t="shared" si="0"/>
        <v>27</v>
      </c>
    </row>
    <row r="30" spans="1:7" x14ac:dyDescent="0.25">
      <c r="A30" t="s">
        <v>182</v>
      </c>
      <c r="B30">
        <v>10</v>
      </c>
      <c r="C30">
        <v>28</v>
      </c>
      <c r="D30">
        <v>14</v>
      </c>
      <c r="E30">
        <f t="shared" si="3"/>
        <v>42</v>
      </c>
      <c r="F30" s="52">
        <f t="shared" si="4"/>
        <v>4.2</v>
      </c>
      <c r="G30">
        <f t="shared" si="0"/>
        <v>3</v>
      </c>
    </row>
    <row r="31" spans="1:7" x14ac:dyDescent="0.25">
      <c r="A31" t="s">
        <v>183</v>
      </c>
      <c r="B31">
        <v>8</v>
      </c>
      <c r="C31">
        <v>15</v>
      </c>
      <c r="D31">
        <v>5</v>
      </c>
      <c r="E31">
        <f t="shared" si="3"/>
        <v>20</v>
      </c>
      <c r="F31" s="52">
        <f t="shared" si="4"/>
        <v>2.5</v>
      </c>
      <c r="G31">
        <f t="shared" si="0"/>
        <v>18</v>
      </c>
    </row>
    <row r="32" spans="1:7" x14ac:dyDescent="0.25">
      <c r="A32" t="s">
        <v>180</v>
      </c>
      <c r="B32">
        <v>18</v>
      </c>
      <c r="C32">
        <v>21</v>
      </c>
      <c r="D32">
        <v>19</v>
      </c>
      <c r="E32">
        <f t="shared" si="3"/>
        <v>40</v>
      </c>
      <c r="F32" s="52">
        <f t="shared" si="4"/>
        <v>2.2222222222222223</v>
      </c>
      <c r="G32">
        <f t="shared" si="0"/>
        <v>25</v>
      </c>
    </row>
    <row r="33" spans="1:7" x14ac:dyDescent="0.25">
      <c r="A33" t="s">
        <v>181</v>
      </c>
      <c r="B33">
        <v>18</v>
      </c>
      <c r="C33">
        <v>44</v>
      </c>
      <c r="D33">
        <v>7</v>
      </c>
      <c r="E33">
        <f t="shared" si="3"/>
        <v>51</v>
      </c>
      <c r="F33" s="52">
        <f t="shared" si="4"/>
        <v>2.8333333333333335</v>
      </c>
      <c r="G33">
        <f t="shared" si="0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5"/>
  <sheetViews>
    <sheetView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1.140625" style="31" bestFit="1" customWidth="1"/>
    <col min="3" max="3" width="11.140625" style="31" customWidth="1"/>
    <col min="5" max="5" width="22.42578125" bestFit="1" customWidth="1"/>
    <col min="6" max="6" width="10.5703125" style="31" bestFit="1" customWidth="1"/>
    <col min="7" max="7" width="11.5703125" style="31" bestFit="1" customWidth="1"/>
    <col min="8" max="8" width="12.42578125" bestFit="1" customWidth="1"/>
    <col min="10" max="11" width="11.140625" bestFit="1" customWidth="1"/>
    <col min="13" max="13" width="15.28515625" bestFit="1" customWidth="1"/>
    <col min="14" max="14" width="6.85546875" bestFit="1" customWidth="1"/>
    <col min="15" max="15" width="11" style="55" bestFit="1" customWidth="1"/>
  </cols>
  <sheetData>
    <row r="1" spans="1:15" ht="15.75" thickBot="1" x14ac:dyDescent="0.3">
      <c r="A1" s="26" t="s">
        <v>254</v>
      </c>
      <c r="B1" s="46" t="s">
        <v>237</v>
      </c>
      <c r="C1" s="46" t="s">
        <v>288</v>
      </c>
      <c r="E1" s="27" t="s">
        <v>255</v>
      </c>
      <c r="F1" s="53" t="s">
        <v>256</v>
      </c>
      <c r="G1" s="53" t="s">
        <v>257</v>
      </c>
      <c r="H1" s="53" t="s">
        <v>283</v>
      </c>
      <c r="I1" s="53" t="s">
        <v>280</v>
      </c>
      <c r="J1" s="53" t="s">
        <v>284</v>
      </c>
      <c r="K1" s="53" t="s">
        <v>285</v>
      </c>
      <c r="M1" s="26" t="s">
        <v>286</v>
      </c>
      <c r="N1" s="46" t="s">
        <v>271</v>
      </c>
      <c r="O1" s="64" t="s">
        <v>287</v>
      </c>
    </row>
    <row r="2" spans="1:15" ht="15.75" thickBot="1" x14ac:dyDescent="0.3">
      <c r="A2" t="s">
        <v>238</v>
      </c>
      <c r="B2" s="47">
        <v>4</v>
      </c>
      <c r="C2" s="65">
        <v>4</v>
      </c>
      <c r="E2" t="s">
        <v>239</v>
      </c>
      <c r="F2" s="54">
        <f>COUNTIF(Fixtures_and_calcs!E2:E99,"vs")</f>
        <v>64</v>
      </c>
      <c r="G2" s="54">
        <f>SUM(Fixtures_and_calcs!H2:H99)</f>
        <v>64</v>
      </c>
      <c r="H2" s="55">
        <f>1-(F2/G2)</f>
        <v>0</v>
      </c>
      <c r="I2" s="54">
        <f>COUNT(Fixtures_and_calcs!AG2:AG99)</f>
        <v>64</v>
      </c>
      <c r="J2" s="55">
        <f>1-(F2/I2)</f>
        <v>0</v>
      </c>
      <c r="K2" s="55">
        <f>1-(G2/I2)</f>
        <v>0</v>
      </c>
      <c r="M2" t="s">
        <v>276</v>
      </c>
      <c r="N2">
        <f>SUM(Fixtures_and_calcs!AM2:AM99)</f>
        <v>5</v>
      </c>
      <c r="O2" s="55">
        <f>N2/$I$2</f>
        <v>7.8125E-2</v>
      </c>
    </row>
    <row r="3" spans="1:15" ht="15.75" thickBot="1" x14ac:dyDescent="0.3">
      <c r="A3" t="s">
        <v>263</v>
      </c>
      <c r="B3" s="47">
        <v>19</v>
      </c>
      <c r="C3" s="65">
        <v>19</v>
      </c>
      <c r="E3" t="s">
        <v>206</v>
      </c>
      <c r="F3" s="54">
        <f>SUM(Fixtures_and_calcs!V2:V99)</f>
        <v>45</v>
      </c>
      <c r="G3" s="31">
        <f>SUM(Fixtures_and_calcs!AE2:AE99)</f>
        <v>45</v>
      </c>
      <c r="H3" s="55">
        <f t="shared" ref="H3:H15" si="0">1-(F3/G3)</f>
        <v>0</v>
      </c>
      <c r="I3" s="31">
        <f>SUM(Fixtures_and_calcs!AJ2:AJ99)</f>
        <v>82</v>
      </c>
      <c r="J3" s="55">
        <f t="shared" ref="J3:J15" si="1">1-(F3/I3)</f>
        <v>0.45121951219512191</v>
      </c>
      <c r="K3" s="55">
        <f t="shared" ref="K3:K15" si="2">1-(G3/I3)</f>
        <v>0.45121951219512191</v>
      </c>
      <c r="M3" t="s">
        <v>277</v>
      </c>
      <c r="N3">
        <f>SUM(Fixtures_and_calcs!AN2:AN99)</f>
        <v>21</v>
      </c>
      <c r="O3" s="55">
        <f t="shared" ref="O3:O4" si="3">N3/$I$2</f>
        <v>0.328125</v>
      </c>
    </row>
    <row r="4" spans="1:15" ht="15.75" thickBot="1" x14ac:dyDescent="0.3">
      <c r="A4" t="s">
        <v>272</v>
      </c>
      <c r="B4" s="47" t="s">
        <v>178</v>
      </c>
      <c r="C4" s="65"/>
      <c r="E4" s="83" t="s">
        <v>240</v>
      </c>
      <c r="F4" s="54">
        <f>World_Cup_goals!G12</f>
        <v>2.5298013245033113</v>
      </c>
      <c r="G4" s="31">
        <f>G5/G2</f>
        <v>2.109375</v>
      </c>
      <c r="H4" s="55">
        <f t="shared" si="0"/>
        <v>-0.19931322050527345</v>
      </c>
      <c r="I4" s="31">
        <f>I5/I2</f>
        <v>2.59375</v>
      </c>
      <c r="J4" s="55">
        <f t="shared" si="1"/>
        <v>2.4654911034867943E-2</v>
      </c>
      <c r="K4" s="55">
        <f t="shared" si="2"/>
        <v>0.18674698795180722</v>
      </c>
      <c r="M4" t="s">
        <v>278</v>
      </c>
      <c r="N4">
        <f>SUM(Fixtures_and_calcs!AO2:AO99)</f>
        <v>34</v>
      </c>
      <c r="O4" s="55">
        <f t="shared" si="3"/>
        <v>0.53125</v>
      </c>
    </row>
    <row r="5" spans="1:15" x14ac:dyDescent="0.25">
      <c r="E5" t="s">
        <v>258</v>
      </c>
      <c r="F5" s="54">
        <f>F2*F4</f>
        <v>161.90728476821192</v>
      </c>
      <c r="G5" s="31">
        <f>SUM(Fixtures_and_calcs!AF2:AF99)</f>
        <v>135</v>
      </c>
      <c r="H5" s="55">
        <f t="shared" si="0"/>
        <v>-0.19931322050527345</v>
      </c>
      <c r="I5" s="31">
        <f>SUM(Fixtures_and_calcs!AL2:AL99)</f>
        <v>166</v>
      </c>
      <c r="J5" s="55">
        <f t="shared" si="1"/>
        <v>2.4654911034867943E-2</v>
      </c>
      <c r="K5" s="55">
        <f t="shared" si="2"/>
        <v>0.18674698795180722</v>
      </c>
      <c r="M5" t="s">
        <v>279</v>
      </c>
      <c r="N5">
        <f>SUM(Fixtures_and_calcs!AP2:AP99)</f>
        <v>60</v>
      </c>
      <c r="O5" s="55">
        <f>N5/(3*$I$2)</f>
        <v>0.3125</v>
      </c>
    </row>
    <row r="6" spans="1:15" x14ac:dyDescent="0.25">
      <c r="E6" s="83" t="s">
        <v>242</v>
      </c>
      <c r="F6" s="55">
        <f>1-F7</f>
        <v>0.77824858757062143</v>
      </c>
      <c r="G6" s="63">
        <f>SUM(Fixtures_and_calcs!W2:W99)/G2</f>
        <v>0.65625</v>
      </c>
      <c r="H6" s="55">
        <f t="shared" si="0"/>
        <v>-0.18590260963142313</v>
      </c>
      <c r="I6" s="63">
        <f>SUM(Fixtures_and_calcs!AK2:AK99)/I2</f>
        <v>0.78125</v>
      </c>
      <c r="J6" s="55">
        <f t="shared" si="1"/>
        <v>3.8418079096045332E-3</v>
      </c>
      <c r="K6" s="55">
        <f t="shared" si="2"/>
        <v>0.16000000000000003</v>
      </c>
    </row>
    <row r="7" spans="1:15" x14ac:dyDescent="0.25">
      <c r="E7" s="83" t="s">
        <v>243</v>
      </c>
      <c r="F7" s="55">
        <f>314/1416</f>
        <v>0.22175141242937854</v>
      </c>
      <c r="G7" s="63">
        <f>1-G6</f>
        <v>0.34375</v>
      </c>
      <c r="H7" s="55">
        <f t="shared" si="0"/>
        <v>0.35490498202362608</v>
      </c>
      <c r="I7" s="63">
        <f>1-I6</f>
        <v>0.21875</v>
      </c>
      <c r="J7" s="55">
        <f t="shared" si="1"/>
        <v>-1.3720742534302E-2</v>
      </c>
      <c r="K7" s="55">
        <f t="shared" si="2"/>
        <v>-0.5714285714285714</v>
      </c>
    </row>
    <row r="8" spans="1:15" x14ac:dyDescent="0.25">
      <c r="E8" t="str">
        <f>"% games "&amp;Poisson_goals_World_Cup!A2&amp;" goals"</f>
        <v>% games 0 goals</v>
      </c>
      <c r="F8" s="55">
        <f>Poisson_goals_World_Cup!B2</f>
        <v>8.2000000000000003E-2</v>
      </c>
      <c r="G8" s="55">
        <f>COUNTIF(Fixtures_and_calcs!$AF$2:$AF$99,Poisson_goals_World_Cup!A2)/$G$2</f>
        <v>0.125</v>
      </c>
      <c r="H8" s="55">
        <f t="shared" si="0"/>
        <v>0.34399999999999997</v>
      </c>
      <c r="I8" s="55">
        <f>COUNTIF(Fixtures_and_calcs!$AL$2:$AL$99,Poisson_goals_World_Cup!A2)/$I$2</f>
        <v>1.5625E-2</v>
      </c>
      <c r="J8" s="55">
        <f t="shared" si="1"/>
        <v>-4.2480000000000002</v>
      </c>
      <c r="K8" s="55">
        <f t="shared" si="2"/>
        <v>-7</v>
      </c>
    </row>
    <row r="9" spans="1:15" x14ac:dyDescent="0.25">
      <c r="E9" t="str">
        <f t="shared" ref="E9:E15" si="4">"% games "&amp;ROW(E2)-1&amp;" goals"</f>
        <v>% games 1 goals</v>
      </c>
      <c r="F9" s="55">
        <f>Poisson_goals_World_Cup!B3</f>
        <v>0.20499999999999999</v>
      </c>
      <c r="G9" s="55">
        <f>COUNTIF(Fixtures_and_calcs!$AF$2:$AF$99,Poisson_goals_World_Cup!A3)/$G$2</f>
        <v>0.171875</v>
      </c>
      <c r="H9" s="55">
        <f t="shared" si="0"/>
        <v>-0.19272727272727264</v>
      </c>
      <c r="I9" s="55">
        <f>COUNTIF(Fixtures_and_calcs!$AL$2:$AL$99,Poisson_goals_World_Cup!A3)/$I$2</f>
        <v>0.234375</v>
      </c>
      <c r="J9" s="55">
        <f t="shared" si="1"/>
        <v>0.12533333333333341</v>
      </c>
      <c r="K9" s="55">
        <f t="shared" si="2"/>
        <v>0.26666666666666672</v>
      </c>
    </row>
    <row r="10" spans="1:15" x14ac:dyDescent="0.25">
      <c r="E10" t="str">
        <f t="shared" si="4"/>
        <v>% games 2 goals</v>
      </c>
      <c r="F10" s="55">
        <f>Poisson_goals_World_Cup!B4</f>
        <v>0.25700000000000001</v>
      </c>
      <c r="G10" s="55">
        <f>COUNTIF(Fixtures_and_calcs!$AF$2:$AF$99,Poisson_goals_World_Cup!A4)/$G$2</f>
        <v>0.21875</v>
      </c>
      <c r="H10" s="55">
        <f t="shared" si="0"/>
        <v>-0.17485714285714282</v>
      </c>
      <c r="I10" s="55">
        <f>COUNTIF(Fixtures_and_calcs!$AL$2:$AL$99,Poisson_goals_World_Cup!A4)/$I$2</f>
        <v>0.296875</v>
      </c>
      <c r="J10" s="55">
        <f t="shared" si="1"/>
        <v>0.13431578947368417</v>
      </c>
      <c r="K10" s="55">
        <f t="shared" si="2"/>
        <v>0.26315789473684215</v>
      </c>
    </row>
    <row r="11" spans="1:15" x14ac:dyDescent="0.25">
      <c r="E11" t="str">
        <f t="shared" si="4"/>
        <v>% games 3 goals</v>
      </c>
      <c r="F11" s="55">
        <f>Poisson_goals_World_Cup!B5</f>
        <v>0.21299999999999999</v>
      </c>
      <c r="G11" s="55">
        <f>COUNTIF(Fixtures_and_calcs!$AF$2:$AF$99,Poisson_goals_World_Cup!A5)/$G$2</f>
        <v>0.4375</v>
      </c>
      <c r="H11" s="55">
        <f t="shared" si="0"/>
        <v>0.51314285714285712</v>
      </c>
      <c r="I11" s="55">
        <f>COUNTIF(Fixtures_and_calcs!$AL$2:$AL$99,Poisson_goals_World_Cup!A5)/$I$2</f>
        <v>0.28125</v>
      </c>
      <c r="J11" s="55">
        <f t="shared" si="1"/>
        <v>0.2426666666666667</v>
      </c>
      <c r="K11" s="55">
        <f t="shared" si="2"/>
        <v>-0.55555555555555558</v>
      </c>
    </row>
    <row r="12" spans="1:15" x14ac:dyDescent="0.25">
      <c r="E12" t="str">
        <f t="shared" si="4"/>
        <v>% games 4 goals</v>
      </c>
      <c r="F12" s="55">
        <f>Poisson_goals_World_Cup!B6</f>
        <v>0.13300000000000001</v>
      </c>
      <c r="G12" s="55">
        <f>COUNTIF(Fixtures_and_calcs!$AF$2:$AF$99,Poisson_goals_World_Cup!A6)/$G$2</f>
        <v>4.6875E-2</v>
      </c>
      <c r="H12" s="55">
        <f t="shared" si="0"/>
        <v>-1.8373333333333335</v>
      </c>
      <c r="I12" s="55">
        <f>COUNTIF(Fixtures_and_calcs!$AL$2:$AL$99,Poisson_goals_World_Cup!A6)/$I$2</f>
        <v>6.25E-2</v>
      </c>
      <c r="J12" s="55">
        <f t="shared" si="1"/>
        <v>-1.1280000000000001</v>
      </c>
      <c r="K12" s="55">
        <f t="shared" si="2"/>
        <v>0.25</v>
      </c>
    </row>
    <row r="13" spans="1:15" x14ac:dyDescent="0.25">
      <c r="E13" t="str">
        <f t="shared" si="4"/>
        <v>% games 5 goals</v>
      </c>
      <c r="F13" s="55">
        <f>Poisson_goals_World_Cup!B7</f>
        <v>6.7000000000000004E-2</v>
      </c>
      <c r="G13" s="55">
        <f>COUNTIF(Fixtures_and_calcs!$AF$2:$AF$99,Poisson_goals_World_Cup!A7)/$G$2</f>
        <v>0</v>
      </c>
      <c r="H13" s="55" t="e">
        <f t="shared" si="0"/>
        <v>#DIV/0!</v>
      </c>
      <c r="I13" s="55">
        <f>COUNTIF(Fixtures_and_calcs!$AL$2:$AL$99,Poisson_goals_World_Cup!A7)/$I$2</f>
        <v>3.125E-2</v>
      </c>
      <c r="J13" s="55">
        <f t="shared" si="1"/>
        <v>-1.1440000000000001</v>
      </c>
      <c r="K13" s="55">
        <f t="shared" si="2"/>
        <v>1</v>
      </c>
    </row>
    <row r="14" spans="1:15" x14ac:dyDescent="0.25">
      <c r="E14" t="str">
        <f t="shared" si="4"/>
        <v>% games 6 goals</v>
      </c>
      <c r="F14" s="55">
        <f>Poisson_goals_World_Cup!B8</f>
        <v>2.8000000000000001E-2</v>
      </c>
      <c r="G14" s="55">
        <f>COUNTIF(Fixtures_and_calcs!$AF$2:$AF$99,Poisson_goals_World_Cup!A8)/$G$2</f>
        <v>0</v>
      </c>
      <c r="H14" s="55" t="e">
        <f t="shared" si="0"/>
        <v>#DIV/0!</v>
      </c>
      <c r="I14" s="55">
        <f>COUNTIF(Fixtures_and_calcs!$AL$2:$AL$99,Poisson_goals_World_Cup!A8)/$I$2</f>
        <v>3.125E-2</v>
      </c>
      <c r="J14" s="55">
        <f t="shared" si="1"/>
        <v>0.10399999999999998</v>
      </c>
      <c r="K14" s="55">
        <f t="shared" si="2"/>
        <v>1</v>
      </c>
    </row>
    <row r="15" spans="1:15" x14ac:dyDescent="0.25">
      <c r="E15" t="str">
        <f t="shared" si="4"/>
        <v>% games 7 goals</v>
      </c>
      <c r="F15" s="55">
        <f>Poisson_goals_World_Cup!B9</f>
        <v>0.01</v>
      </c>
      <c r="G15" s="55">
        <f>COUNTIF(Fixtures_and_calcs!$AF$2:$AF$99,Poisson_goals_World_Cup!A9)/$G$2</f>
        <v>0</v>
      </c>
      <c r="H15" s="55" t="e">
        <f t="shared" si="0"/>
        <v>#DIV/0!</v>
      </c>
      <c r="I15" s="55">
        <f>COUNTIF(Fixtures_and_calcs!$AL$2:$AL$99,Poisson_goals_World_Cup!A9)/$I$2</f>
        <v>4.6875E-2</v>
      </c>
      <c r="J15" s="55">
        <f t="shared" si="1"/>
        <v>0.78666666666666663</v>
      </c>
      <c r="K15" s="55">
        <f t="shared" si="2"/>
        <v>1</v>
      </c>
    </row>
  </sheetData>
  <conditionalFormatting sqref="H1:H1048576 I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90"/>
  <sheetViews>
    <sheetView tabSelected="1" zoomScale="85" zoomScaleNormal="85"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L80" sqref="L80"/>
    </sheetView>
  </sheetViews>
  <sheetFormatPr defaultRowHeight="15" x14ac:dyDescent="0.25"/>
  <cols>
    <col min="1" max="1" width="12.140625" customWidth="1"/>
    <col min="2" max="3" width="0" hidden="1" customWidth="1"/>
    <col min="4" max="4" width="12" bestFit="1" customWidth="1"/>
    <col min="5" max="5" width="9.140625" hidden="1" customWidth="1"/>
    <col min="6" max="6" width="12" bestFit="1" customWidth="1"/>
    <col min="7" max="7" width="9.140625" hidden="1" customWidth="1"/>
    <col min="8" max="8" width="9.7109375" bestFit="1" customWidth="1"/>
    <col min="10" max="11" width="9.140625" hidden="1" customWidth="1"/>
    <col min="18" max="19" width="0" hidden="1" customWidth="1"/>
    <col min="20" max="20" width="9.140625" style="32"/>
    <col min="21" max="23" width="9.140625" hidden="1" customWidth="1"/>
    <col min="24" max="27" width="0" hidden="1" customWidth="1"/>
    <col min="30" max="32" width="9.140625" hidden="1" customWidth="1"/>
    <col min="35" max="38" width="0" hidden="1" customWidth="1"/>
  </cols>
  <sheetData>
    <row r="1" spans="1:42" ht="60" x14ac:dyDescent="0.25">
      <c r="A1" s="29" t="s">
        <v>144</v>
      </c>
      <c r="B1" s="30"/>
      <c r="C1" s="30"/>
      <c r="D1" s="30"/>
      <c r="E1" s="30"/>
      <c r="F1" s="30"/>
      <c r="G1" s="30"/>
      <c r="H1" s="59" t="s">
        <v>273</v>
      </c>
      <c r="I1" s="60" t="s">
        <v>272</v>
      </c>
      <c r="J1" s="41" t="s">
        <v>203</v>
      </c>
      <c r="K1" s="41" t="s">
        <v>204</v>
      </c>
      <c r="L1" s="59" t="s">
        <v>196</v>
      </c>
      <c r="M1" s="59" t="s">
        <v>197</v>
      </c>
      <c r="N1" s="60" t="s">
        <v>195</v>
      </c>
      <c r="O1" s="60" t="s">
        <v>198</v>
      </c>
      <c r="P1" s="60" t="s">
        <v>199</v>
      </c>
      <c r="Q1" s="60" t="s">
        <v>200</v>
      </c>
      <c r="R1" s="41" t="s">
        <v>201</v>
      </c>
      <c r="S1" s="41" t="s">
        <v>202</v>
      </c>
      <c r="T1" s="61" t="s">
        <v>205</v>
      </c>
      <c r="U1" s="41" t="s">
        <v>206</v>
      </c>
      <c r="V1" s="41" t="s">
        <v>235</v>
      </c>
      <c r="W1" s="41" t="s">
        <v>241</v>
      </c>
      <c r="X1" s="60" t="s">
        <v>262</v>
      </c>
      <c r="Y1" s="60" t="s">
        <v>264</v>
      </c>
      <c r="Z1" s="60" t="s">
        <v>265</v>
      </c>
      <c r="AA1" s="41" t="s">
        <v>266</v>
      </c>
      <c r="AB1" s="60" t="s">
        <v>267</v>
      </c>
      <c r="AC1" s="60" t="s">
        <v>268</v>
      </c>
      <c r="AD1" s="41" t="s">
        <v>269</v>
      </c>
      <c r="AE1" s="41" t="s">
        <v>270</v>
      </c>
      <c r="AF1" s="41" t="s">
        <v>271</v>
      </c>
      <c r="AG1" s="62" t="s">
        <v>274</v>
      </c>
      <c r="AH1" s="62" t="s">
        <v>275</v>
      </c>
      <c r="AI1" s="62" t="s">
        <v>206</v>
      </c>
      <c r="AJ1" s="62" t="s">
        <v>282</v>
      </c>
      <c r="AK1" s="62" t="s">
        <v>241</v>
      </c>
      <c r="AL1" s="62" t="s">
        <v>281</v>
      </c>
      <c r="AM1" s="62" t="s">
        <v>276</v>
      </c>
      <c r="AN1" s="62" t="s">
        <v>277</v>
      </c>
      <c r="AO1" s="62" t="s">
        <v>278</v>
      </c>
      <c r="AP1" s="62" t="s">
        <v>279</v>
      </c>
    </row>
    <row r="2" spans="1:42" ht="15" customHeight="1" x14ac:dyDescent="0.25">
      <c r="A2" s="86" t="s">
        <v>145</v>
      </c>
      <c r="B2" s="86"/>
      <c r="C2" s="86"/>
      <c r="D2" s="86"/>
      <c r="E2" s="86"/>
      <c r="F2" s="86"/>
      <c r="G2" s="86"/>
      <c r="H2">
        <f>IF(A2="",1,0)</f>
        <v>0</v>
      </c>
      <c r="I2">
        <f>IF(OR(D2=Params_and_stats!$B$4, F2=Params_and_stats!$B$4), 1, 0)</f>
        <v>0</v>
      </c>
      <c r="J2">
        <f>IF(D2="Russia",1,0)</f>
        <v>0</v>
      </c>
      <c r="K2">
        <f>IF(F2="Russia",1,0)</f>
        <v>0</v>
      </c>
      <c r="L2" t="e">
        <f>VLOOKUP($D2,ELO_ratings!$A$2:$G$101,2,FALSE)</f>
        <v>#N/A</v>
      </c>
      <c r="M2" t="e">
        <f>VLOOKUP($F2,ELO_ratings!$A$2:$G$101,2,FALSE)</f>
        <v>#N/A</v>
      </c>
      <c r="N2" t="e">
        <f>VLOOKUP($D2,ELO_ratings!$A$2:$G$101,7,FALSE)</f>
        <v>#N/A</v>
      </c>
      <c r="O2" t="e">
        <f>VLOOKUP($F2,ELO_ratings!$A$2:$G$101,7,FALSE)</f>
        <v>#N/A</v>
      </c>
      <c r="P2" t="e">
        <f>VLOOKUP($D2,ELO_ratings!$A$2:$G$101,6,FALSE)</f>
        <v>#N/A</v>
      </c>
      <c r="Q2" t="e">
        <f>VLOOKUP($F2,ELO_ratings!$A$2:$G$101,6,FALSE)</f>
        <v>#N/A</v>
      </c>
      <c r="R2" t="e">
        <f t="shared" ref="R2" si="0">P2-Q2</f>
        <v>#N/A</v>
      </c>
      <c r="S2" t="e">
        <f t="shared" ref="S2" si="1">R2+(100*J2)-(100*K2)</f>
        <v>#N/A</v>
      </c>
      <c r="T2" s="32" t="e">
        <f>POWER(POWER(10,-S2/400)+1,-1)</f>
        <v>#N/A</v>
      </c>
      <c r="U2" s="33" t="e">
        <f>ROUND(Params_and_stats!$B$2*(T2-0.5),0)</f>
        <v>#N/A</v>
      </c>
      <c r="V2">
        <f>IF(H2=1,SQRT(U2^2),0)</f>
        <v>0</v>
      </c>
      <c r="W2">
        <f>IF(V2&gt;0,1,0)</f>
        <v>0</v>
      </c>
      <c r="X2" t="e">
        <f>VLOOKUP($D2,Qualifying_goals!$A$2:$G$33,7,FALSE)</f>
        <v>#N/A</v>
      </c>
      <c r="Y2" t="e">
        <f>VLOOKUP($F2,Qualifying_goals!$A$2:$G$33,7,FALSE)</f>
        <v>#N/A</v>
      </c>
      <c r="Z2" t="e">
        <f>AVERAGE(X2:Y2)</f>
        <v>#N/A</v>
      </c>
      <c r="AA2" t="e">
        <f>IF(Z2&lt;=Params_and_stats!$B$3,1,0)</f>
        <v>#N/A</v>
      </c>
      <c r="AB2" t="str">
        <f>IF(H2&lt;&gt;1,"",IF(U2&gt;0,U2+(1*AA2),1*AA2))</f>
        <v/>
      </c>
      <c r="AC2" t="str">
        <f>IF(H2&lt;&gt;1,"",IF(U2&gt;0,1*AA2,-U2+(1*AA2)))</f>
        <v/>
      </c>
      <c r="AD2" t="e">
        <f>AB2-AC2</f>
        <v>#VALUE!</v>
      </c>
      <c r="AE2">
        <f>IF(H2=1,SQRT(AD2^2),0)</f>
        <v>0</v>
      </c>
      <c r="AF2" t="str">
        <f>IF(H2=1,AB2+AC2,"")</f>
        <v/>
      </c>
      <c r="AI2">
        <f>AG2-AH2</f>
        <v>0</v>
      </c>
      <c r="AJ2">
        <f>IF(H2=1,SQRT(AI2^2),0)</f>
        <v>0</v>
      </c>
      <c r="AK2">
        <f>IF(AJ2&gt;0,1,0)</f>
        <v>0</v>
      </c>
      <c r="AL2" t="str">
        <f>IF(AG2&amp;AH2="","",AG2+AH2)</f>
        <v/>
      </c>
      <c r="AM2" t="str">
        <f>IF(AG2&amp;AH2="","",IF(AND(AB2=AG2,AC2=AH2),1,0))</f>
        <v/>
      </c>
      <c r="AN2" t="str">
        <f>IF(AG2&amp;AH2="","",IF(AB2-AC2=AG2-AH2,1,0))</f>
        <v/>
      </c>
      <c r="AO2" t="str">
        <f>IF(AG2&amp;AH2="","",IF(OR(AND(AI2&gt;0,AD2&gt;0),AND(AI2=0,AD2=0),AND(AI2&lt;0,AD2&lt;0)),1,0))</f>
        <v/>
      </c>
      <c r="AP2" t="str">
        <f>IF(AG2&amp;AH2="","",SUM(AM2:AO2))</f>
        <v/>
      </c>
    </row>
    <row r="3" spans="1:42" x14ac:dyDescent="0.25">
      <c r="A3" s="2"/>
      <c r="B3" s="3">
        <v>0.66666666666666663</v>
      </c>
      <c r="C3" s="4"/>
      <c r="D3" s="5" t="s">
        <v>146</v>
      </c>
      <c r="E3" s="6" t="s">
        <v>147</v>
      </c>
      <c r="F3" s="7" t="s">
        <v>148</v>
      </c>
      <c r="G3" s="2"/>
      <c r="H3">
        <f t="shared" ref="H3:H64" si="2">IF(A3="",1,0)</f>
        <v>1</v>
      </c>
      <c r="I3">
        <f>IF(OR(D3=Params_and_stats!$B$4, F3=Params_and_stats!$B$4), 1, 0)</f>
        <v>0</v>
      </c>
      <c r="J3">
        <f>IF(D3="Russia",1,0)</f>
        <v>1</v>
      </c>
      <c r="K3">
        <f t="shared" ref="K3:K64" si="3">IF(F3="Russia",1,0)</f>
        <v>0</v>
      </c>
      <c r="L3">
        <f>VLOOKUP($D3,ELO_ratings!$A$2:$G$101,2,FALSE)</f>
        <v>45</v>
      </c>
      <c r="M3">
        <f>VLOOKUP($F3,ELO_ratings!$A$2:$G$101,2,FALSE)</f>
        <v>63</v>
      </c>
      <c r="N3">
        <f>VLOOKUP($D3,ELO_ratings!$A$2:$G$101,7,FALSE)</f>
        <v>66</v>
      </c>
      <c r="O3">
        <f>VLOOKUP($F3,ELO_ratings!$A$2:$G$101,7,FALSE)</f>
        <v>67</v>
      </c>
      <c r="P3">
        <f>VLOOKUP($D3,ELO_ratings!$A$2:$G$101,6,FALSE)</f>
        <v>1685</v>
      </c>
      <c r="Q3">
        <f>VLOOKUP($F3,ELO_ratings!$A$2:$G$101,6,FALSE)</f>
        <v>1597</v>
      </c>
      <c r="R3">
        <f t="shared" ref="R3:R64" si="4">P3-Q3</f>
        <v>88</v>
      </c>
      <c r="S3">
        <f t="shared" ref="S3:S64" si="5">R3+(100*J3)-(100*K3)</f>
        <v>188</v>
      </c>
      <c r="T3" s="32">
        <f t="shared" ref="T3:T64" si="6">POWER(POWER(10,-S3/400)+1,-1)</f>
        <v>0.74691292142894317</v>
      </c>
      <c r="U3" s="33">
        <f>ROUND(Params_and_stats!$B$2*(T3-0.5),0)</f>
        <v>1</v>
      </c>
      <c r="V3">
        <f t="shared" ref="V3:V64" si="7">IF(H3=1,SQRT(U3^2),0)</f>
        <v>1</v>
      </c>
      <c r="W3">
        <f t="shared" ref="W3:W64" si="8">IF(V3&gt;0,1,0)</f>
        <v>1</v>
      </c>
      <c r="X3">
        <f>VLOOKUP($D3,Qualifying_goals!$A$2:$G$33,7,FALSE)</f>
        <v>16</v>
      </c>
      <c r="Y3">
        <f>VLOOKUP($F3,Qualifying_goals!$A$2:$G$33,7,FALSE)</f>
        <v>6</v>
      </c>
      <c r="Z3">
        <f t="shared" ref="Z3:Z64" si="9">AVERAGE(X3:Y3)</f>
        <v>11</v>
      </c>
      <c r="AA3">
        <f>IF(Z3&lt;=Params_and_stats!$B$3,1,0)</f>
        <v>1</v>
      </c>
      <c r="AB3">
        <f t="shared" ref="AB3:AB4" si="10">IF(H3&lt;&gt;1,"",IF(U3&gt;0,U3+(1*AA3),1*AA3))</f>
        <v>2</v>
      </c>
      <c r="AC3">
        <f t="shared" ref="AC3:AC12" si="11">IF(H3&lt;&gt;1,"",IF(U3&gt;0,1*AA3,-U3+(1*AA3)))</f>
        <v>1</v>
      </c>
      <c r="AD3">
        <f t="shared" ref="AD3:AD64" si="12">AB3-AC3</f>
        <v>1</v>
      </c>
      <c r="AE3">
        <f t="shared" ref="AE3:AE64" si="13">IF(H3=1,SQRT(AD3^2),0)</f>
        <v>1</v>
      </c>
      <c r="AF3">
        <f t="shared" ref="AF3:AF64" si="14">IF(H3=1,AB3+AC3,"")</f>
        <v>3</v>
      </c>
      <c r="AG3">
        <v>5</v>
      </c>
      <c r="AH3">
        <v>0</v>
      </c>
      <c r="AI3">
        <f t="shared" ref="AI3:AI64" si="15">AG3-AH3</f>
        <v>5</v>
      </c>
      <c r="AJ3">
        <f t="shared" ref="AJ3:AJ64" si="16">IF(H3=1,SQRT(AI3^2),0)</f>
        <v>5</v>
      </c>
      <c r="AK3">
        <f t="shared" ref="AK3:AK64" si="17">IF(AJ3&gt;0,1,0)</f>
        <v>1</v>
      </c>
      <c r="AL3">
        <f t="shared" ref="AL3:AL64" si="18">IF(AG3&amp;AH3="","",AG3+AH3)</f>
        <v>5</v>
      </c>
      <c r="AM3">
        <f t="shared" ref="AM3:AM64" si="19">IF(AG3&amp;AH3="","",IF(AND(AB3=AG3,AC3=AH3),1,0))</f>
        <v>0</v>
      </c>
      <c r="AN3">
        <f t="shared" ref="AN3:AN64" si="20">IF(AG3&amp;AH3="","",IF(AB3-AC3=AG3-AH3,1,0))</f>
        <v>0</v>
      </c>
      <c r="AO3">
        <f t="shared" ref="AO3:AO64" si="21">IF(AG3&amp;AH3="","",IF(OR(AND(AI3&gt;0,AD3&gt;0),AND(AI3=0,AD3=0),AND(AI3&lt;0,AD3&lt;0)),1,0))</f>
        <v>1</v>
      </c>
      <c r="AP3">
        <f t="shared" ref="AP3:AP64" si="22">IF(AG3&amp;AH3="","",SUM(AM3:AO3))</f>
        <v>1</v>
      </c>
    </row>
    <row r="4" spans="1:42" ht="15" customHeight="1" x14ac:dyDescent="0.25">
      <c r="A4" s="86" t="s">
        <v>149</v>
      </c>
      <c r="B4" s="86"/>
      <c r="C4" s="86"/>
      <c r="D4" s="86"/>
      <c r="E4" s="86"/>
      <c r="F4" s="86"/>
      <c r="G4" s="86"/>
      <c r="H4">
        <f t="shared" si="2"/>
        <v>0</v>
      </c>
      <c r="I4">
        <f>IF(OR(D4=Params_and_stats!$B$4, F4=Params_and_stats!$B$4), 1, 0)</f>
        <v>0</v>
      </c>
      <c r="J4">
        <f t="shared" ref="J4:J64" si="23">IF(D4="Russia",1,0)</f>
        <v>0</v>
      </c>
      <c r="K4">
        <f t="shared" si="3"/>
        <v>0</v>
      </c>
      <c r="L4" t="e">
        <f>VLOOKUP($D4,ELO_ratings!$A$2:$G$101,2,FALSE)</f>
        <v>#N/A</v>
      </c>
      <c r="M4" t="e">
        <f>VLOOKUP($F4,ELO_ratings!$A$2:$G$101,2,FALSE)</f>
        <v>#N/A</v>
      </c>
      <c r="N4" t="e">
        <f>VLOOKUP($D4,ELO_ratings!$A$2:$G$101,7,FALSE)</f>
        <v>#N/A</v>
      </c>
      <c r="O4" t="e">
        <f>VLOOKUP($F4,ELO_ratings!$A$2:$G$101,7,FALSE)</f>
        <v>#N/A</v>
      </c>
      <c r="P4" t="e">
        <f>VLOOKUP($D4,ELO_ratings!$A$2:$G$101,6,FALSE)</f>
        <v>#N/A</v>
      </c>
      <c r="Q4" t="e">
        <f>VLOOKUP($F4,ELO_ratings!$A$2:$G$101,6,FALSE)</f>
        <v>#N/A</v>
      </c>
      <c r="R4" t="e">
        <f t="shared" si="4"/>
        <v>#N/A</v>
      </c>
      <c r="S4" t="e">
        <f t="shared" si="5"/>
        <v>#N/A</v>
      </c>
      <c r="T4" s="32" t="e">
        <f t="shared" si="6"/>
        <v>#N/A</v>
      </c>
      <c r="U4" s="33" t="e">
        <f>ROUND(Params_and_stats!$B$2*(T4-0.5),0)</f>
        <v>#N/A</v>
      </c>
      <c r="V4">
        <f t="shared" si="7"/>
        <v>0</v>
      </c>
      <c r="W4">
        <f t="shared" si="8"/>
        <v>0</v>
      </c>
      <c r="X4" t="e">
        <f>VLOOKUP($D4,Qualifying_goals!$A$2:$G$33,7,FALSE)</f>
        <v>#N/A</v>
      </c>
      <c r="Y4" t="e">
        <f>VLOOKUP($F4,Qualifying_goals!$A$2:$G$33,7,FALSE)</f>
        <v>#N/A</v>
      </c>
      <c r="Z4" t="e">
        <f t="shared" si="9"/>
        <v>#N/A</v>
      </c>
      <c r="AA4" t="e">
        <f>IF(Z4&lt;=Params_and_stats!$B$3,1,0)</f>
        <v>#N/A</v>
      </c>
      <c r="AB4" t="str">
        <f t="shared" si="10"/>
        <v/>
      </c>
      <c r="AC4" t="str">
        <f t="shared" si="11"/>
        <v/>
      </c>
      <c r="AD4" t="e">
        <f t="shared" si="12"/>
        <v>#VALUE!</v>
      </c>
      <c r="AE4">
        <f t="shared" si="13"/>
        <v>0</v>
      </c>
      <c r="AF4" t="str">
        <f t="shared" si="14"/>
        <v/>
      </c>
      <c r="AI4">
        <f t="shared" si="15"/>
        <v>0</v>
      </c>
      <c r="AJ4">
        <f t="shared" si="16"/>
        <v>0</v>
      </c>
      <c r="AK4">
        <f t="shared" si="17"/>
        <v>0</v>
      </c>
      <c r="AL4" t="str">
        <f t="shared" si="18"/>
        <v/>
      </c>
      <c r="AM4" t="str">
        <f t="shared" si="19"/>
        <v/>
      </c>
      <c r="AN4" t="str">
        <f t="shared" si="20"/>
        <v/>
      </c>
      <c r="AO4" t="str">
        <f t="shared" si="21"/>
        <v/>
      </c>
      <c r="AP4" t="str">
        <f t="shared" si="22"/>
        <v/>
      </c>
    </row>
    <row r="5" spans="1:42" x14ac:dyDescent="0.25">
      <c r="A5" s="2"/>
      <c r="B5" s="3">
        <v>0.54166666666666663</v>
      </c>
      <c r="C5" s="4"/>
      <c r="D5" s="5" t="s">
        <v>150</v>
      </c>
      <c r="E5" s="6" t="s">
        <v>147</v>
      </c>
      <c r="F5" s="7" t="s">
        <v>151</v>
      </c>
      <c r="G5" s="2"/>
      <c r="H5">
        <f t="shared" si="2"/>
        <v>1</v>
      </c>
      <c r="I5">
        <f>IF(OR(D5=Params_and_stats!$B$4, F5=Params_and_stats!$B$4), 1, 0)</f>
        <v>0</v>
      </c>
      <c r="J5">
        <f t="shared" si="23"/>
        <v>0</v>
      </c>
      <c r="K5">
        <f t="shared" si="3"/>
        <v>0</v>
      </c>
      <c r="L5">
        <f>VLOOKUP($D5,ELO_ratings!$A$2:$G$101,2,FALSE)</f>
        <v>52</v>
      </c>
      <c r="M5">
        <f>VLOOKUP($F5,ELO_ratings!$A$2:$G$101,2,FALSE)</f>
        <v>13</v>
      </c>
      <c r="N5">
        <f>VLOOKUP($D5,ELO_ratings!$A$2:$G$101,7,FALSE)</f>
        <v>46</v>
      </c>
      <c r="O5">
        <f>VLOOKUP($F5,ELO_ratings!$A$2:$G$101,7,FALSE)</f>
        <v>17</v>
      </c>
      <c r="P5">
        <f>VLOOKUP($D5,ELO_ratings!$A$2:$G$101,6,FALSE)</f>
        <v>1643</v>
      </c>
      <c r="Q5">
        <f>VLOOKUP($F5,ELO_ratings!$A$2:$G$101,6,FALSE)</f>
        <v>1891</v>
      </c>
      <c r="R5">
        <f t="shared" si="4"/>
        <v>-248</v>
      </c>
      <c r="S5">
        <f t="shared" si="5"/>
        <v>-248</v>
      </c>
      <c r="T5" s="32">
        <f t="shared" si="6"/>
        <v>0.19347247718289212</v>
      </c>
      <c r="U5" s="33">
        <f>ROUND(Params_and_stats!$B$2*(T5-0.5),0)</f>
        <v>-1</v>
      </c>
      <c r="V5">
        <f t="shared" si="7"/>
        <v>1</v>
      </c>
      <c r="W5">
        <f t="shared" si="8"/>
        <v>1</v>
      </c>
      <c r="X5">
        <f>VLOOKUP($D5,Qualifying_goals!$A$2:$G$33,7,FALSE)</f>
        <v>26</v>
      </c>
      <c r="Y5">
        <f>VLOOKUP($F5,Qualifying_goals!$A$2:$G$33,7,FALSE)</f>
        <v>11</v>
      </c>
      <c r="Z5">
        <f t="shared" si="9"/>
        <v>18.5</v>
      </c>
      <c r="AA5">
        <f>IF(Z5&lt;=Params_and_stats!$B$3,1,0)</f>
        <v>1</v>
      </c>
      <c r="AB5">
        <f>IF(H5&lt;&gt;1,"",IF(U5&gt;0,U5+(1*AA5),1*AA5))</f>
        <v>1</v>
      </c>
      <c r="AC5">
        <f t="shared" si="11"/>
        <v>2</v>
      </c>
      <c r="AD5">
        <f t="shared" si="12"/>
        <v>-1</v>
      </c>
      <c r="AE5">
        <f t="shared" si="13"/>
        <v>1</v>
      </c>
      <c r="AF5">
        <f t="shared" si="14"/>
        <v>3</v>
      </c>
      <c r="AG5">
        <v>0</v>
      </c>
      <c r="AH5">
        <v>1</v>
      </c>
      <c r="AI5">
        <f t="shared" si="15"/>
        <v>-1</v>
      </c>
      <c r="AJ5">
        <f t="shared" si="16"/>
        <v>1</v>
      </c>
      <c r="AK5">
        <f t="shared" si="17"/>
        <v>1</v>
      </c>
      <c r="AL5">
        <f t="shared" si="18"/>
        <v>1</v>
      </c>
      <c r="AM5">
        <f t="shared" si="19"/>
        <v>0</v>
      </c>
      <c r="AN5">
        <f t="shared" si="20"/>
        <v>1</v>
      </c>
      <c r="AO5">
        <f t="shared" si="21"/>
        <v>1</v>
      </c>
      <c r="AP5">
        <f t="shared" si="22"/>
        <v>2</v>
      </c>
    </row>
    <row r="6" spans="1:42" x14ac:dyDescent="0.25">
      <c r="A6" s="8"/>
      <c r="B6" s="9">
        <v>0.66666666666666663</v>
      </c>
      <c r="C6" s="10"/>
      <c r="D6" s="11" t="s">
        <v>152</v>
      </c>
      <c r="E6" s="12" t="s">
        <v>147</v>
      </c>
      <c r="F6" s="13" t="s">
        <v>153</v>
      </c>
      <c r="G6" s="8"/>
      <c r="H6">
        <f t="shared" si="2"/>
        <v>1</v>
      </c>
      <c r="I6">
        <f>IF(OR(D6=Params_and_stats!$B$4, F6=Params_and_stats!$B$4), 1, 0)</f>
        <v>0</v>
      </c>
      <c r="J6">
        <f t="shared" si="23"/>
        <v>0</v>
      </c>
      <c r="K6">
        <f t="shared" si="3"/>
        <v>0</v>
      </c>
      <c r="L6">
        <f>VLOOKUP($D6,ELO_ratings!$A$2:$G$101,2,FALSE)</f>
        <v>41</v>
      </c>
      <c r="M6">
        <f>VLOOKUP($F6,ELO_ratings!$A$2:$G$101,2,FALSE)</f>
        <v>21</v>
      </c>
      <c r="N6">
        <f>VLOOKUP($D6,ELO_ratings!$A$2:$G$101,7,FALSE)</f>
        <v>42</v>
      </c>
      <c r="O6">
        <f>VLOOKUP($F6,ELO_ratings!$A$2:$G$101,7,FALSE)</f>
        <v>36</v>
      </c>
      <c r="P6">
        <f>VLOOKUP($D6,ELO_ratings!$A$2:$G$101,6,FALSE)</f>
        <v>1711</v>
      </c>
      <c r="Q6">
        <f>VLOOKUP($F6,ELO_ratings!$A$2:$G$101,6,FALSE)</f>
        <v>1787</v>
      </c>
      <c r="R6">
        <f t="shared" si="4"/>
        <v>-76</v>
      </c>
      <c r="S6">
        <f t="shared" si="5"/>
        <v>-76</v>
      </c>
      <c r="T6" s="32">
        <f t="shared" si="6"/>
        <v>0.39233893587318014</v>
      </c>
      <c r="U6" s="33">
        <f>ROUND(Params_and_stats!$B$2*(T6-0.5),0)</f>
        <v>0</v>
      </c>
      <c r="V6">
        <f t="shared" si="7"/>
        <v>0</v>
      </c>
      <c r="W6">
        <f t="shared" si="8"/>
        <v>0</v>
      </c>
      <c r="X6">
        <f>VLOOKUP($D6,Qualifying_goals!$A$2:$G$33,7,FALSE)</f>
        <v>31</v>
      </c>
      <c r="Y6">
        <f>VLOOKUP($F6,Qualifying_goals!$A$2:$G$33,7,FALSE)</f>
        <v>23</v>
      </c>
      <c r="Z6">
        <f t="shared" si="9"/>
        <v>27</v>
      </c>
      <c r="AA6">
        <f>IF(Z6&lt;=Params_and_stats!$B$3,1,0)</f>
        <v>0</v>
      </c>
      <c r="AB6">
        <f t="shared" ref="AB6:AB12" si="24">IF(H6&lt;&gt;1,"",IF(U6&gt;0,U6+(1*AA6),1*AA6))</f>
        <v>0</v>
      </c>
      <c r="AC6">
        <f t="shared" si="11"/>
        <v>0</v>
      </c>
      <c r="AD6">
        <f t="shared" si="12"/>
        <v>0</v>
      </c>
      <c r="AE6">
        <f t="shared" si="13"/>
        <v>0</v>
      </c>
      <c r="AF6">
        <f t="shared" si="14"/>
        <v>0</v>
      </c>
      <c r="AG6">
        <v>0</v>
      </c>
      <c r="AH6">
        <v>1</v>
      </c>
      <c r="AI6">
        <f t="shared" si="15"/>
        <v>-1</v>
      </c>
      <c r="AJ6">
        <f t="shared" si="16"/>
        <v>1</v>
      </c>
      <c r="AK6">
        <f t="shared" si="17"/>
        <v>1</v>
      </c>
      <c r="AL6">
        <f t="shared" si="18"/>
        <v>1</v>
      </c>
      <c r="AM6">
        <f t="shared" si="19"/>
        <v>0</v>
      </c>
      <c r="AN6">
        <f t="shared" si="20"/>
        <v>0</v>
      </c>
      <c r="AO6">
        <f t="shared" si="21"/>
        <v>0</v>
      </c>
      <c r="AP6">
        <f t="shared" si="22"/>
        <v>0</v>
      </c>
    </row>
    <row r="7" spans="1:42" x14ac:dyDescent="0.25">
      <c r="A7" s="2"/>
      <c r="B7" s="3">
        <v>0.79166666666666663</v>
      </c>
      <c r="C7" s="4"/>
      <c r="D7" s="5" t="s">
        <v>154</v>
      </c>
      <c r="E7" s="6" t="s">
        <v>147</v>
      </c>
      <c r="F7" s="7" t="s">
        <v>155</v>
      </c>
      <c r="G7" s="2"/>
      <c r="H7">
        <f t="shared" si="2"/>
        <v>1</v>
      </c>
      <c r="I7">
        <f>IF(OR(D7=Params_and_stats!$B$4, F7=Params_and_stats!$B$4), 1, 0)</f>
        <v>0</v>
      </c>
      <c r="J7">
        <f t="shared" si="23"/>
        <v>0</v>
      </c>
      <c r="K7">
        <f t="shared" si="3"/>
        <v>0</v>
      </c>
      <c r="L7">
        <f>VLOOKUP($D7,ELO_ratings!$A$2:$G$101,2,FALSE)</f>
        <v>6</v>
      </c>
      <c r="M7">
        <f>VLOOKUP($F7,ELO_ratings!$A$2:$G$101,2,FALSE)</f>
        <v>3</v>
      </c>
      <c r="N7">
        <f>VLOOKUP($D7,ELO_ratings!$A$2:$G$101,7,FALSE)</f>
        <v>4</v>
      </c>
      <c r="O7">
        <f>VLOOKUP($F7,ELO_ratings!$A$2:$G$101,7,FALSE)</f>
        <v>8</v>
      </c>
      <c r="P7">
        <f>VLOOKUP($D7,ELO_ratings!$A$2:$G$101,6,FALSE)</f>
        <v>1967</v>
      </c>
      <c r="Q7">
        <f>VLOOKUP($F7,ELO_ratings!$A$2:$G$101,6,FALSE)</f>
        <v>2049</v>
      </c>
      <c r="R7">
        <f t="shared" si="4"/>
        <v>-82</v>
      </c>
      <c r="S7">
        <f t="shared" si="5"/>
        <v>-82</v>
      </c>
      <c r="T7" s="32">
        <f t="shared" si="6"/>
        <v>0.38413589574624402</v>
      </c>
      <c r="U7" s="33">
        <f>ROUND(Params_and_stats!$B$2*(T7-0.5),0)</f>
        <v>0</v>
      </c>
      <c r="V7">
        <f t="shared" si="7"/>
        <v>0</v>
      </c>
      <c r="W7">
        <f t="shared" si="8"/>
        <v>0</v>
      </c>
      <c r="X7">
        <f>VLOOKUP($D7,Qualifying_goals!$A$2:$G$33,7,FALSE)</f>
        <v>5</v>
      </c>
      <c r="Y7">
        <f>VLOOKUP($F7,Qualifying_goals!$A$2:$G$33,7,FALSE)</f>
        <v>4</v>
      </c>
      <c r="Z7">
        <f t="shared" si="9"/>
        <v>4.5</v>
      </c>
      <c r="AA7">
        <f>IF(Z7&lt;=Params_and_stats!$B$3,1,0)</f>
        <v>1</v>
      </c>
      <c r="AB7">
        <f t="shared" si="24"/>
        <v>1</v>
      </c>
      <c r="AC7">
        <f t="shared" si="11"/>
        <v>1</v>
      </c>
      <c r="AD7">
        <f t="shared" si="12"/>
        <v>0</v>
      </c>
      <c r="AE7">
        <f t="shared" si="13"/>
        <v>0</v>
      </c>
      <c r="AF7">
        <f t="shared" si="14"/>
        <v>2</v>
      </c>
      <c r="AG7">
        <v>3</v>
      </c>
      <c r="AH7">
        <v>3</v>
      </c>
      <c r="AI7">
        <f t="shared" si="15"/>
        <v>0</v>
      </c>
      <c r="AJ7">
        <f t="shared" si="16"/>
        <v>0</v>
      </c>
      <c r="AK7">
        <f t="shared" si="17"/>
        <v>0</v>
      </c>
      <c r="AL7">
        <f t="shared" si="18"/>
        <v>6</v>
      </c>
      <c r="AM7">
        <f t="shared" si="19"/>
        <v>0</v>
      </c>
      <c r="AN7">
        <f t="shared" si="20"/>
        <v>1</v>
      </c>
      <c r="AO7">
        <f t="shared" si="21"/>
        <v>1</v>
      </c>
      <c r="AP7">
        <f t="shared" si="22"/>
        <v>2</v>
      </c>
    </row>
    <row r="8" spans="1:42" ht="15" customHeight="1" x14ac:dyDescent="0.25">
      <c r="A8" s="86" t="s">
        <v>156</v>
      </c>
      <c r="B8" s="86"/>
      <c r="C8" s="86"/>
      <c r="D8" s="86"/>
      <c r="E8" s="86"/>
      <c r="F8" s="86"/>
      <c r="G8" s="86"/>
      <c r="H8">
        <f t="shared" si="2"/>
        <v>0</v>
      </c>
      <c r="I8">
        <f>IF(OR(D8=Params_and_stats!$B$4, F8=Params_and_stats!$B$4), 1, 0)</f>
        <v>0</v>
      </c>
      <c r="J8">
        <f t="shared" si="23"/>
        <v>0</v>
      </c>
      <c r="K8">
        <f t="shared" si="3"/>
        <v>0</v>
      </c>
      <c r="L8" t="e">
        <f>VLOOKUP($D8,ELO_ratings!$A$2:$G$101,2,FALSE)</f>
        <v>#N/A</v>
      </c>
      <c r="M8" t="e">
        <f>VLOOKUP($F8,ELO_ratings!$A$2:$G$101,2,FALSE)</f>
        <v>#N/A</v>
      </c>
      <c r="N8" t="e">
        <f>VLOOKUP($D8,ELO_ratings!$A$2:$G$101,7,FALSE)</f>
        <v>#N/A</v>
      </c>
      <c r="O8" t="e">
        <f>VLOOKUP($F8,ELO_ratings!$A$2:$G$101,7,FALSE)</f>
        <v>#N/A</v>
      </c>
      <c r="P8" t="e">
        <f>VLOOKUP($D8,ELO_ratings!$A$2:$G$101,6,FALSE)</f>
        <v>#N/A</v>
      </c>
      <c r="Q8" t="e">
        <f>VLOOKUP($F8,ELO_ratings!$A$2:$G$101,6,FALSE)</f>
        <v>#N/A</v>
      </c>
      <c r="R8" t="e">
        <f t="shared" si="4"/>
        <v>#N/A</v>
      </c>
      <c r="S8" t="e">
        <f t="shared" si="5"/>
        <v>#N/A</v>
      </c>
      <c r="T8" s="32" t="e">
        <f t="shared" si="6"/>
        <v>#N/A</v>
      </c>
      <c r="U8" s="33" t="e">
        <f>ROUND(Params_and_stats!$B$2*(T8-0.5),0)</f>
        <v>#N/A</v>
      </c>
      <c r="V8">
        <f t="shared" si="7"/>
        <v>0</v>
      </c>
      <c r="W8">
        <f t="shared" si="8"/>
        <v>0</v>
      </c>
      <c r="X8" t="e">
        <f>VLOOKUP($D8,Qualifying_goals!$A$2:$G$33,7,FALSE)</f>
        <v>#N/A</v>
      </c>
      <c r="Y8" t="e">
        <f>VLOOKUP($F8,Qualifying_goals!$A$2:$G$33,7,FALSE)</f>
        <v>#N/A</v>
      </c>
      <c r="Z8" t="e">
        <f t="shared" si="9"/>
        <v>#N/A</v>
      </c>
      <c r="AA8" t="e">
        <f>IF(Z8&lt;=Params_and_stats!$B$3,1,0)</f>
        <v>#N/A</v>
      </c>
      <c r="AB8" t="str">
        <f t="shared" si="24"/>
        <v/>
      </c>
      <c r="AC8" t="str">
        <f t="shared" si="11"/>
        <v/>
      </c>
      <c r="AD8" t="e">
        <f t="shared" si="12"/>
        <v>#VALUE!</v>
      </c>
      <c r="AE8">
        <f t="shared" si="13"/>
        <v>0</v>
      </c>
      <c r="AF8" t="str">
        <f t="shared" si="14"/>
        <v/>
      </c>
      <c r="AI8">
        <f t="shared" si="15"/>
        <v>0</v>
      </c>
      <c r="AJ8">
        <f t="shared" si="16"/>
        <v>0</v>
      </c>
      <c r="AK8">
        <f t="shared" si="17"/>
        <v>0</v>
      </c>
      <c r="AL8" t="str">
        <f t="shared" si="18"/>
        <v/>
      </c>
      <c r="AM8" t="str">
        <f t="shared" si="19"/>
        <v/>
      </c>
      <c r="AN8" t="str">
        <f t="shared" si="20"/>
        <v/>
      </c>
      <c r="AO8" t="str">
        <f t="shared" si="21"/>
        <v/>
      </c>
      <c r="AP8" t="str">
        <f t="shared" si="22"/>
        <v/>
      </c>
    </row>
    <row r="9" spans="1:42" x14ac:dyDescent="0.25">
      <c r="A9" s="2"/>
      <c r="B9" s="3">
        <v>0.45833333333333331</v>
      </c>
      <c r="C9" s="4"/>
      <c r="D9" s="5" t="s">
        <v>157</v>
      </c>
      <c r="E9" s="6" t="s">
        <v>147</v>
      </c>
      <c r="F9" s="7" t="s">
        <v>158</v>
      </c>
      <c r="G9" s="2"/>
      <c r="H9">
        <f t="shared" si="2"/>
        <v>1</v>
      </c>
      <c r="I9">
        <f>IF(OR(D9=Params_and_stats!$B$4, F9=Params_and_stats!$B$4), 1, 0)</f>
        <v>0</v>
      </c>
      <c r="J9">
        <f t="shared" si="23"/>
        <v>0</v>
      </c>
      <c r="K9">
        <f t="shared" si="3"/>
        <v>0</v>
      </c>
      <c r="L9">
        <f>VLOOKUP($D9,ELO_ratings!$A$2:$G$101,2,FALSE)</f>
        <v>4</v>
      </c>
      <c r="M9">
        <f>VLOOKUP($F9,ELO_ratings!$A$2:$G$101,2,FALSE)</f>
        <v>40</v>
      </c>
      <c r="N9">
        <f>VLOOKUP($D9,ELO_ratings!$A$2:$G$101,7,FALSE)</f>
        <v>7</v>
      </c>
      <c r="O9">
        <f>VLOOKUP($F9,ELO_ratings!$A$2:$G$101,7,FALSE)</f>
        <v>40</v>
      </c>
      <c r="P9">
        <f>VLOOKUP($D9,ELO_ratings!$A$2:$G$101,6,FALSE)</f>
        <v>1987</v>
      </c>
      <c r="Q9">
        <f>VLOOKUP($F9,ELO_ratings!$A$2:$G$101,6,FALSE)</f>
        <v>1714</v>
      </c>
      <c r="R9">
        <f t="shared" si="4"/>
        <v>273</v>
      </c>
      <c r="S9">
        <f t="shared" si="5"/>
        <v>273</v>
      </c>
      <c r="T9" s="32">
        <f t="shared" si="6"/>
        <v>0.82799938026116982</v>
      </c>
      <c r="U9" s="33">
        <f>ROUND(Params_and_stats!$B$2*(T9-0.5),0)</f>
        <v>1</v>
      </c>
      <c r="V9">
        <f t="shared" si="7"/>
        <v>1</v>
      </c>
      <c r="W9">
        <f t="shared" si="8"/>
        <v>1</v>
      </c>
      <c r="X9">
        <f>VLOOKUP($D9,Qualifying_goals!$A$2:$G$33,7,FALSE)</f>
        <v>19</v>
      </c>
      <c r="Y9">
        <f>VLOOKUP($F9,Qualifying_goals!$A$2:$G$33,7,FALSE)</f>
        <v>7</v>
      </c>
      <c r="Z9">
        <f t="shared" si="9"/>
        <v>13</v>
      </c>
      <c r="AA9">
        <f>IF(Z9&lt;=Params_and_stats!$B$3,1,0)</f>
        <v>1</v>
      </c>
      <c r="AB9">
        <f t="shared" si="24"/>
        <v>2</v>
      </c>
      <c r="AC9">
        <f t="shared" si="11"/>
        <v>1</v>
      </c>
      <c r="AD9">
        <f t="shared" si="12"/>
        <v>1</v>
      </c>
      <c r="AE9">
        <f t="shared" si="13"/>
        <v>1</v>
      </c>
      <c r="AF9">
        <f t="shared" si="14"/>
        <v>3</v>
      </c>
      <c r="AG9">
        <v>2</v>
      </c>
      <c r="AH9">
        <v>1</v>
      </c>
      <c r="AI9">
        <f t="shared" si="15"/>
        <v>1</v>
      </c>
      <c r="AJ9">
        <f t="shared" si="16"/>
        <v>1</v>
      </c>
      <c r="AK9">
        <f t="shared" si="17"/>
        <v>1</v>
      </c>
      <c r="AL9">
        <f t="shared" si="18"/>
        <v>3</v>
      </c>
      <c r="AM9">
        <f t="shared" si="19"/>
        <v>1</v>
      </c>
      <c r="AN9">
        <f t="shared" si="20"/>
        <v>1</v>
      </c>
      <c r="AO9">
        <f t="shared" si="21"/>
        <v>1</v>
      </c>
      <c r="AP9">
        <f t="shared" si="22"/>
        <v>3</v>
      </c>
    </row>
    <row r="10" spans="1:42" x14ac:dyDescent="0.25">
      <c r="A10" s="1"/>
      <c r="B10" s="14">
        <v>0.58333333333333337</v>
      </c>
      <c r="C10" s="15"/>
      <c r="D10" s="16" t="s">
        <v>159</v>
      </c>
      <c r="E10" s="17" t="s">
        <v>147</v>
      </c>
      <c r="F10" s="18" t="s">
        <v>160</v>
      </c>
      <c r="G10" s="1"/>
      <c r="H10">
        <f t="shared" si="2"/>
        <v>1</v>
      </c>
      <c r="I10">
        <f>IF(OR(D10=Params_and_stats!$B$4, F10=Params_and_stats!$B$4), 1, 0)</f>
        <v>0</v>
      </c>
      <c r="J10">
        <f t="shared" si="23"/>
        <v>0</v>
      </c>
      <c r="K10">
        <f t="shared" si="3"/>
        <v>0</v>
      </c>
      <c r="L10">
        <f>VLOOKUP($D10,ELO_ratings!$A$2:$G$101,2,FALSE)</f>
        <v>5</v>
      </c>
      <c r="M10">
        <f>VLOOKUP($F10,ELO_ratings!$A$2:$G$101,2,FALSE)</f>
        <v>21</v>
      </c>
      <c r="N10">
        <f>VLOOKUP($D10,ELO_ratings!$A$2:$G$101,7,FALSE)</f>
        <v>5</v>
      </c>
      <c r="O10">
        <f>VLOOKUP($F10,ELO_ratings!$A$2:$G$101,7,FALSE)</f>
        <v>23</v>
      </c>
      <c r="P10">
        <f>VLOOKUP($D10,ELO_ratings!$A$2:$G$101,6,FALSE)</f>
        <v>1985</v>
      </c>
      <c r="Q10">
        <f>VLOOKUP($F10,ELO_ratings!$A$2:$G$101,6,FALSE)</f>
        <v>1787</v>
      </c>
      <c r="R10">
        <f t="shared" si="4"/>
        <v>198</v>
      </c>
      <c r="S10">
        <f t="shared" si="5"/>
        <v>198</v>
      </c>
      <c r="T10" s="32">
        <f t="shared" si="6"/>
        <v>0.75763917486225174</v>
      </c>
      <c r="U10" s="33">
        <f>ROUND(Params_and_stats!$B$2*(T10-0.5),0)</f>
        <v>1</v>
      </c>
      <c r="V10">
        <f t="shared" si="7"/>
        <v>1</v>
      </c>
      <c r="W10">
        <f t="shared" si="8"/>
        <v>1</v>
      </c>
      <c r="X10">
        <f>VLOOKUP($D10,Qualifying_goals!$A$2:$G$33,7,FALSE)</f>
        <v>29</v>
      </c>
      <c r="Y10">
        <f>VLOOKUP($F10,Qualifying_goals!$A$2:$G$33,7,FALSE)</f>
        <v>22</v>
      </c>
      <c r="Z10">
        <f t="shared" si="9"/>
        <v>25.5</v>
      </c>
      <c r="AA10">
        <f>IF(Z10&lt;=Params_and_stats!$B$3,1,0)</f>
        <v>0</v>
      </c>
      <c r="AB10">
        <f t="shared" si="24"/>
        <v>1</v>
      </c>
      <c r="AC10">
        <f t="shared" si="11"/>
        <v>0</v>
      </c>
      <c r="AD10">
        <f t="shared" si="12"/>
        <v>1</v>
      </c>
      <c r="AE10">
        <f t="shared" si="13"/>
        <v>1</v>
      </c>
      <c r="AF10">
        <f t="shared" si="14"/>
        <v>1</v>
      </c>
      <c r="AG10">
        <v>1</v>
      </c>
      <c r="AH10">
        <v>1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2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</row>
    <row r="11" spans="1:42" x14ac:dyDescent="0.25">
      <c r="A11" s="2"/>
      <c r="B11" s="3">
        <v>0.70833333333333337</v>
      </c>
      <c r="C11" s="4"/>
      <c r="D11" s="5" t="s">
        <v>161</v>
      </c>
      <c r="E11" s="6" t="s">
        <v>147</v>
      </c>
      <c r="F11" s="7" t="s">
        <v>162</v>
      </c>
      <c r="G11" s="2"/>
      <c r="H11">
        <f t="shared" si="2"/>
        <v>1</v>
      </c>
      <c r="I11">
        <f>IF(OR(D11=Params_and_stats!$B$4, F11=Params_and_stats!$B$4), 1, 0)</f>
        <v>0</v>
      </c>
      <c r="J11">
        <f t="shared" si="23"/>
        <v>0</v>
      </c>
      <c r="K11">
        <f t="shared" si="3"/>
        <v>0</v>
      </c>
      <c r="L11">
        <f>VLOOKUP($D11,ELO_ratings!$A$2:$G$101,2,FALSE)</f>
        <v>11</v>
      </c>
      <c r="M11">
        <f>VLOOKUP($F11,ELO_ratings!$A$2:$G$101,2,FALSE)</f>
        <v>18</v>
      </c>
      <c r="N11">
        <f>VLOOKUP($D11,ELO_ratings!$A$2:$G$101,7,FALSE)</f>
        <v>11</v>
      </c>
      <c r="O11">
        <f>VLOOKUP($F11,ELO_ratings!$A$2:$G$101,7,FALSE)</f>
        <v>12</v>
      </c>
      <c r="P11">
        <f>VLOOKUP($D11,ELO_ratings!$A$2:$G$101,6,FALSE)</f>
        <v>1906</v>
      </c>
      <c r="Q11">
        <f>VLOOKUP($F11,ELO_ratings!$A$2:$G$101,6,FALSE)</f>
        <v>1843</v>
      </c>
      <c r="R11">
        <f t="shared" si="4"/>
        <v>63</v>
      </c>
      <c r="S11">
        <f t="shared" si="5"/>
        <v>63</v>
      </c>
      <c r="T11" s="32">
        <f t="shared" si="6"/>
        <v>0.5896835031399501</v>
      </c>
      <c r="U11" s="33">
        <f>ROUND(Params_and_stats!$B$2*(T11-0.5),0)</f>
        <v>0</v>
      </c>
      <c r="V11">
        <f t="shared" si="7"/>
        <v>0</v>
      </c>
      <c r="W11">
        <f t="shared" si="8"/>
        <v>0</v>
      </c>
      <c r="X11">
        <f>VLOOKUP($D11,Qualifying_goals!$A$2:$G$33,7,FALSE)</f>
        <v>14</v>
      </c>
      <c r="Y11">
        <f>VLOOKUP($F11,Qualifying_goals!$A$2:$G$33,7,FALSE)</f>
        <v>12</v>
      </c>
      <c r="Z11">
        <f t="shared" si="9"/>
        <v>13</v>
      </c>
      <c r="AA11">
        <f>IF(Z11&lt;=Params_and_stats!$B$3,1,0)</f>
        <v>1</v>
      </c>
      <c r="AB11">
        <f t="shared" si="24"/>
        <v>1</v>
      </c>
      <c r="AC11">
        <f t="shared" si="11"/>
        <v>1</v>
      </c>
      <c r="AD11">
        <f t="shared" si="12"/>
        <v>0</v>
      </c>
      <c r="AE11">
        <f t="shared" si="13"/>
        <v>0</v>
      </c>
      <c r="AF11">
        <f t="shared" si="14"/>
        <v>2</v>
      </c>
      <c r="AG11">
        <v>0</v>
      </c>
      <c r="AH11">
        <v>1</v>
      </c>
      <c r="AI11">
        <f t="shared" si="15"/>
        <v>-1</v>
      </c>
      <c r="AJ11">
        <f t="shared" si="16"/>
        <v>1</v>
      </c>
      <c r="AK11">
        <f t="shared" si="17"/>
        <v>1</v>
      </c>
      <c r="AL11">
        <f t="shared" si="18"/>
        <v>1</v>
      </c>
      <c r="AM11">
        <f t="shared" si="19"/>
        <v>0</v>
      </c>
      <c r="AN11">
        <f t="shared" si="20"/>
        <v>0</v>
      </c>
      <c r="AO11">
        <f t="shared" si="21"/>
        <v>0</v>
      </c>
      <c r="AP11">
        <f t="shared" si="22"/>
        <v>0</v>
      </c>
    </row>
    <row r="12" spans="1:42" x14ac:dyDescent="0.25">
      <c r="A12" s="1"/>
      <c r="B12" s="14">
        <v>0.83333333333333337</v>
      </c>
      <c r="C12" s="15"/>
      <c r="D12" s="16" t="s">
        <v>163</v>
      </c>
      <c r="E12" s="17" t="s">
        <v>147</v>
      </c>
      <c r="F12" s="18" t="s">
        <v>164</v>
      </c>
      <c r="G12" s="1"/>
      <c r="H12">
        <f t="shared" si="2"/>
        <v>1</v>
      </c>
      <c r="I12">
        <f>IF(OR(D12=Params_and_stats!$B$4, F12=Params_and_stats!$B$4), 1, 0)</f>
        <v>0</v>
      </c>
      <c r="J12">
        <f t="shared" si="23"/>
        <v>0</v>
      </c>
      <c r="K12">
        <f t="shared" si="3"/>
        <v>0</v>
      </c>
      <c r="L12">
        <f>VLOOKUP($D12,ELO_ratings!$A$2:$G$101,2,FALSE)</f>
        <v>17</v>
      </c>
      <c r="M12">
        <f>VLOOKUP($F12,ELO_ratings!$A$2:$G$101,2,FALSE)</f>
        <v>43</v>
      </c>
      <c r="N12">
        <f>VLOOKUP($D12,ELO_ratings!$A$2:$G$101,7,FALSE)</f>
        <v>18</v>
      </c>
      <c r="O12">
        <f>VLOOKUP($F12,ELO_ratings!$A$2:$G$101,7,FALSE)</f>
        <v>47</v>
      </c>
      <c r="P12">
        <f>VLOOKUP($D12,ELO_ratings!$A$2:$G$101,6,FALSE)</f>
        <v>1853</v>
      </c>
      <c r="Q12">
        <f>VLOOKUP($F12,ELO_ratings!$A$2:$G$101,6,FALSE)</f>
        <v>1693</v>
      </c>
      <c r="R12">
        <f t="shared" si="4"/>
        <v>160</v>
      </c>
      <c r="S12">
        <f t="shared" si="5"/>
        <v>160</v>
      </c>
      <c r="T12" s="32">
        <f t="shared" si="6"/>
        <v>0.71525275104919872</v>
      </c>
      <c r="U12" s="33">
        <f>ROUND(Params_and_stats!$B$2*(T12-0.5),0)</f>
        <v>1</v>
      </c>
      <c r="V12">
        <f t="shared" si="7"/>
        <v>1</v>
      </c>
      <c r="W12">
        <f t="shared" si="8"/>
        <v>1</v>
      </c>
      <c r="X12">
        <f>VLOOKUP($D12,Qualifying_goals!$A$2:$G$33,7,FALSE)</f>
        <v>28</v>
      </c>
      <c r="Y12">
        <f>VLOOKUP($F12,Qualifying_goals!$A$2:$G$33,7,FALSE)</f>
        <v>20</v>
      </c>
      <c r="Z12">
        <f t="shared" si="9"/>
        <v>24</v>
      </c>
      <c r="AA12">
        <f>IF(Z12&lt;=Params_and_stats!$B$3,1,0)</f>
        <v>0</v>
      </c>
      <c r="AB12">
        <f t="shared" si="24"/>
        <v>1</v>
      </c>
      <c r="AC12">
        <f t="shared" si="11"/>
        <v>0</v>
      </c>
      <c r="AD12">
        <f t="shared" si="12"/>
        <v>1</v>
      </c>
      <c r="AE12">
        <f t="shared" si="13"/>
        <v>1</v>
      </c>
      <c r="AF12">
        <f t="shared" si="14"/>
        <v>1</v>
      </c>
      <c r="AG12">
        <v>2</v>
      </c>
      <c r="AH12">
        <v>0</v>
      </c>
      <c r="AI12">
        <f t="shared" si="15"/>
        <v>2</v>
      </c>
      <c r="AJ12">
        <f t="shared" si="16"/>
        <v>2</v>
      </c>
      <c r="AK12">
        <f t="shared" si="17"/>
        <v>1</v>
      </c>
      <c r="AL12">
        <f t="shared" si="18"/>
        <v>2</v>
      </c>
      <c r="AM12">
        <f t="shared" si="19"/>
        <v>0</v>
      </c>
      <c r="AN12">
        <f t="shared" si="20"/>
        <v>0</v>
      </c>
      <c r="AO12">
        <f t="shared" si="21"/>
        <v>1</v>
      </c>
      <c r="AP12">
        <f t="shared" si="22"/>
        <v>1</v>
      </c>
    </row>
    <row r="13" spans="1:42" ht="15" customHeight="1" x14ac:dyDescent="0.25">
      <c r="A13" s="86" t="s">
        <v>165</v>
      </c>
      <c r="B13" s="86"/>
      <c r="C13" s="86"/>
      <c r="D13" s="86"/>
      <c r="E13" s="86"/>
      <c r="F13" s="86"/>
      <c r="G13" s="86"/>
      <c r="H13">
        <f t="shared" si="2"/>
        <v>0</v>
      </c>
      <c r="I13">
        <f>IF(OR(D13=Params_and_stats!$B$4, F13=Params_and_stats!$B$4), 1, 0)</f>
        <v>0</v>
      </c>
      <c r="J13">
        <f t="shared" si="23"/>
        <v>0</v>
      </c>
      <c r="K13">
        <f t="shared" si="3"/>
        <v>0</v>
      </c>
      <c r="L13" t="e">
        <f>VLOOKUP($D13,ELO_ratings!$A$2:$G$101,2,FALSE)</f>
        <v>#N/A</v>
      </c>
      <c r="M13" t="e">
        <f>VLOOKUP($F13,ELO_ratings!$A$2:$G$101,2,FALSE)</f>
        <v>#N/A</v>
      </c>
      <c r="N13" t="e">
        <f>VLOOKUP($D13,ELO_ratings!$A$2:$G$101,7,FALSE)</f>
        <v>#N/A</v>
      </c>
      <c r="O13" t="e">
        <f>VLOOKUP($F13,ELO_ratings!$A$2:$G$101,7,FALSE)</f>
        <v>#N/A</v>
      </c>
      <c r="P13" t="e">
        <f>VLOOKUP($D13,ELO_ratings!$A$2:$G$101,6,FALSE)</f>
        <v>#N/A</v>
      </c>
      <c r="Q13" t="e">
        <f>VLOOKUP($F13,ELO_ratings!$A$2:$G$101,6,FALSE)</f>
        <v>#N/A</v>
      </c>
      <c r="R13" t="e">
        <f t="shared" si="4"/>
        <v>#N/A</v>
      </c>
      <c r="S13" t="e">
        <f t="shared" si="5"/>
        <v>#N/A</v>
      </c>
      <c r="T13" s="32" t="e">
        <f t="shared" si="6"/>
        <v>#N/A</v>
      </c>
      <c r="U13" s="33" t="e">
        <f>ROUND(Params_and_stats!$B$2*(T13-0.5),0)</f>
        <v>#N/A</v>
      </c>
      <c r="V13">
        <f t="shared" si="7"/>
        <v>0</v>
      </c>
      <c r="W13">
        <f t="shared" si="8"/>
        <v>0</v>
      </c>
      <c r="X13" t="e">
        <f>VLOOKUP($D13,Qualifying_goals!$A$2:$G$33,7,FALSE)</f>
        <v>#N/A</v>
      </c>
      <c r="Y13" t="e">
        <f>VLOOKUP($F13,Qualifying_goals!$A$2:$G$33,7,FALSE)</f>
        <v>#N/A</v>
      </c>
      <c r="Z13" t="e">
        <f t="shared" si="9"/>
        <v>#N/A</v>
      </c>
      <c r="AA13" t="e">
        <f>IF(Z13&lt;=Params_and_stats!$B$3,1,0)</f>
        <v>#N/A</v>
      </c>
      <c r="AB13" t="str">
        <f t="shared" ref="AB13:AB64" si="25">IF(H13&lt;&gt;1,"",IF(U13&gt;0,U13+(1*AA13),1*AA13))</f>
        <v/>
      </c>
      <c r="AC13" t="str">
        <f t="shared" ref="AC13:AC64" si="26">IF(H13&lt;&gt;1,"",IF(U13&gt;0,1*AA13,-U13+(1*AA13)))</f>
        <v/>
      </c>
      <c r="AD13" t="e">
        <f t="shared" si="12"/>
        <v>#VALUE!</v>
      </c>
      <c r="AE13">
        <f t="shared" si="13"/>
        <v>0</v>
      </c>
      <c r="AF13" t="str">
        <f t="shared" si="14"/>
        <v/>
      </c>
      <c r="AI13">
        <f t="shared" si="15"/>
        <v>0</v>
      </c>
      <c r="AJ13">
        <f t="shared" si="16"/>
        <v>0</v>
      </c>
      <c r="AK13">
        <f t="shared" si="17"/>
        <v>0</v>
      </c>
      <c r="AL13" t="str">
        <f t="shared" si="18"/>
        <v/>
      </c>
      <c r="AM13" t="str">
        <f t="shared" si="19"/>
        <v/>
      </c>
      <c r="AN13" t="str">
        <f t="shared" si="20"/>
        <v/>
      </c>
      <c r="AO13" t="str">
        <f t="shared" si="21"/>
        <v/>
      </c>
      <c r="AP13" t="str">
        <f t="shared" si="22"/>
        <v/>
      </c>
    </row>
    <row r="14" spans="1:42" x14ac:dyDescent="0.25">
      <c r="A14" s="2"/>
      <c r="B14" s="3">
        <v>0.54166666666666663</v>
      </c>
      <c r="C14" s="4"/>
      <c r="D14" s="5" t="s">
        <v>166</v>
      </c>
      <c r="E14" s="6" t="s">
        <v>147</v>
      </c>
      <c r="F14" s="7" t="s">
        <v>167</v>
      </c>
      <c r="G14" s="2"/>
      <c r="H14">
        <f t="shared" si="2"/>
        <v>1</v>
      </c>
      <c r="I14">
        <f>IF(OR(D14=Params_and_stats!$B$4, F14=Params_and_stats!$B$4), 1, 0)</f>
        <v>0</v>
      </c>
      <c r="J14">
        <f t="shared" si="23"/>
        <v>0</v>
      </c>
      <c r="K14">
        <f t="shared" si="3"/>
        <v>0</v>
      </c>
      <c r="L14">
        <f>VLOOKUP($D14,ELO_ratings!$A$2:$G$101,2,FALSE)</f>
        <v>31</v>
      </c>
      <c r="M14">
        <f>VLOOKUP($F14,ELO_ratings!$A$2:$G$101,2,FALSE)</f>
        <v>24</v>
      </c>
      <c r="N14">
        <f>VLOOKUP($D14,ELO_ratings!$A$2:$G$101,7,FALSE)</f>
        <v>25</v>
      </c>
      <c r="O14">
        <f>VLOOKUP($F14,ELO_ratings!$A$2:$G$101,7,FALSE)</f>
        <v>35</v>
      </c>
      <c r="P14">
        <f>VLOOKUP($D14,ELO_ratings!$A$2:$G$101,6,FALSE)</f>
        <v>1745</v>
      </c>
      <c r="Q14">
        <f>VLOOKUP($F14,ELO_ratings!$A$2:$G$101,6,FALSE)</f>
        <v>1770</v>
      </c>
      <c r="R14">
        <f t="shared" si="4"/>
        <v>-25</v>
      </c>
      <c r="S14">
        <f t="shared" si="5"/>
        <v>-25</v>
      </c>
      <c r="T14" s="32">
        <f t="shared" si="6"/>
        <v>0.46408407305489768</v>
      </c>
      <c r="U14" s="33">
        <f>ROUND(Params_and_stats!$B$2*(T14-0.5),0)</f>
        <v>0</v>
      </c>
      <c r="V14">
        <f t="shared" si="7"/>
        <v>0</v>
      </c>
      <c r="W14">
        <f t="shared" si="8"/>
        <v>0</v>
      </c>
      <c r="X14">
        <f>VLOOKUP($D14,Qualifying_goals!$A$2:$G$33,7,FALSE)</f>
        <v>24</v>
      </c>
      <c r="Y14">
        <f>VLOOKUP($F14,Qualifying_goals!$A$2:$G$33,7,FALSE)</f>
        <v>8</v>
      </c>
      <c r="Z14">
        <f t="shared" si="9"/>
        <v>16</v>
      </c>
      <c r="AA14">
        <f>IF(Z14&lt;=Params_and_stats!$B$3,1,0)</f>
        <v>1</v>
      </c>
      <c r="AB14">
        <f t="shared" si="25"/>
        <v>1</v>
      </c>
      <c r="AC14">
        <f t="shared" si="26"/>
        <v>1</v>
      </c>
      <c r="AD14">
        <f t="shared" si="12"/>
        <v>0</v>
      </c>
      <c r="AE14">
        <f t="shared" si="13"/>
        <v>0</v>
      </c>
      <c r="AF14">
        <f t="shared" si="14"/>
        <v>2</v>
      </c>
      <c r="AG14">
        <v>0</v>
      </c>
      <c r="AH14">
        <v>1</v>
      </c>
      <c r="AI14">
        <f t="shared" si="15"/>
        <v>-1</v>
      </c>
      <c r="AJ14">
        <f t="shared" si="16"/>
        <v>1</v>
      </c>
      <c r="AK14">
        <f t="shared" si="17"/>
        <v>1</v>
      </c>
      <c r="AL14">
        <f t="shared" si="18"/>
        <v>1</v>
      </c>
      <c r="AM14">
        <f t="shared" si="19"/>
        <v>0</v>
      </c>
      <c r="AN14">
        <f t="shared" si="20"/>
        <v>0</v>
      </c>
      <c r="AO14">
        <f t="shared" si="21"/>
        <v>0</v>
      </c>
      <c r="AP14">
        <f t="shared" si="22"/>
        <v>0</v>
      </c>
    </row>
    <row r="15" spans="1:42" x14ac:dyDescent="0.25">
      <c r="A15" s="1"/>
      <c r="B15" s="14">
        <v>0.66666666666666663</v>
      </c>
      <c r="C15" s="15"/>
      <c r="D15" s="16" t="s">
        <v>168</v>
      </c>
      <c r="E15" s="17" t="s">
        <v>147</v>
      </c>
      <c r="F15" s="18" t="s">
        <v>169</v>
      </c>
      <c r="G15" s="1"/>
      <c r="H15">
        <f t="shared" si="2"/>
        <v>1</v>
      </c>
      <c r="I15">
        <f>IF(OR(D15=Params_and_stats!$B$4, F15=Params_and_stats!$B$4), 1, 0)</f>
        <v>0</v>
      </c>
      <c r="J15">
        <f t="shared" si="23"/>
        <v>0</v>
      </c>
      <c r="K15">
        <f t="shared" si="3"/>
        <v>0</v>
      </c>
      <c r="L15">
        <f>VLOOKUP($D15,ELO_ratings!$A$2:$G$101,2,FALSE)</f>
        <v>2</v>
      </c>
      <c r="M15">
        <f>VLOOKUP($F15,ELO_ratings!$A$2:$G$101,2,FALSE)</f>
        <v>16</v>
      </c>
      <c r="N15">
        <f>VLOOKUP($D15,ELO_ratings!$A$2:$G$101,7,FALSE)</f>
        <v>1</v>
      </c>
      <c r="O15">
        <f>VLOOKUP($F15,ELO_ratings!$A$2:$G$101,7,FALSE)</f>
        <v>15</v>
      </c>
      <c r="P15">
        <f>VLOOKUP($D15,ELO_ratings!$A$2:$G$101,6,FALSE)</f>
        <v>2092</v>
      </c>
      <c r="Q15">
        <f>VLOOKUP($F15,ELO_ratings!$A$2:$G$101,6,FALSE)</f>
        <v>1857</v>
      </c>
      <c r="R15">
        <f t="shared" si="4"/>
        <v>235</v>
      </c>
      <c r="S15">
        <f t="shared" si="5"/>
        <v>235</v>
      </c>
      <c r="T15" s="32">
        <f t="shared" si="6"/>
        <v>0.79458191503622955</v>
      </c>
      <c r="U15" s="33">
        <f>ROUND(Params_and_stats!$B$2*(T15-0.5),0)</f>
        <v>1</v>
      </c>
      <c r="V15">
        <f t="shared" si="7"/>
        <v>1</v>
      </c>
      <c r="W15">
        <f t="shared" si="8"/>
        <v>1</v>
      </c>
      <c r="X15">
        <f>VLOOKUP($D15,Qualifying_goals!$A$2:$G$33,7,FALSE)</f>
        <v>2</v>
      </c>
      <c r="Y15">
        <f>VLOOKUP($F15,Qualifying_goals!$A$2:$G$33,7,FALSE)</f>
        <v>21</v>
      </c>
      <c r="Z15">
        <f t="shared" si="9"/>
        <v>11.5</v>
      </c>
      <c r="AA15">
        <f>IF(Z15&lt;=Params_and_stats!$B$3,1,0)</f>
        <v>1</v>
      </c>
      <c r="AB15">
        <f t="shared" si="25"/>
        <v>2</v>
      </c>
      <c r="AC15">
        <f t="shared" si="26"/>
        <v>1</v>
      </c>
      <c r="AD15">
        <f t="shared" si="12"/>
        <v>1</v>
      </c>
      <c r="AE15">
        <f t="shared" si="13"/>
        <v>1</v>
      </c>
      <c r="AF15">
        <f t="shared" si="14"/>
        <v>3</v>
      </c>
      <c r="AG15" s="83">
        <v>0</v>
      </c>
      <c r="AH15" s="83">
        <v>1</v>
      </c>
      <c r="AI15">
        <f t="shared" si="15"/>
        <v>-1</v>
      </c>
      <c r="AJ15">
        <f t="shared" si="16"/>
        <v>1</v>
      </c>
      <c r="AK15">
        <f t="shared" si="17"/>
        <v>1</v>
      </c>
      <c r="AL15">
        <f t="shared" si="18"/>
        <v>1</v>
      </c>
      <c r="AM15">
        <f t="shared" si="19"/>
        <v>0</v>
      </c>
      <c r="AN15">
        <f t="shared" si="20"/>
        <v>0</v>
      </c>
      <c r="AO15">
        <f t="shared" si="21"/>
        <v>0</v>
      </c>
      <c r="AP15">
        <f t="shared" si="22"/>
        <v>0</v>
      </c>
    </row>
    <row r="16" spans="1:42" x14ac:dyDescent="0.25">
      <c r="A16" s="2"/>
      <c r="B16" s="3">
        <v>0.79166666666666663</v>
      </c>
      <c r="C16" s="4"/>
      <c r="D16" s="5" t="s">
        <v>170</v>
      </c>
      <c r="E16" s="6" t="s">
        <v>147</v>
      </c>
      <c r="F16" s="7" t="s">
        <v>171</v>
      </c>
      <c r="G16" s="2"/>
      <c r="H16">
        <f t="shared" si="2"/>
        <v>1</v>
      </c>
      <c r="I16">
        <f>IF(OR(D16=Params_and_stats!$B$4, F16=Params_and_stats!$B$4), 1, 0)</f>
        <v>0</v>
      </c>
      <c r="J16">
        <f t="shared" si="23"/>
        <v>0</v>
      </c>
      <c r="K16">
        <f t="shared" si="3"/>
        <v>0</v>
      </c>
      <c r="L16">
        <f>VLOOKUP($D16,ELO_ratings!$A$2:$G$101,2,FALSE)</f>
        <v>1</v>
      </c>
      <c r="M16">
        <f>VLOOKUP($F16,ELO_ratings!$A$2:$G$101,2,FALSE)</f>
        <v>14</v>
      </c>
      <c r="N16">
        <f>VLOOKUP($D16,ELO_ratings!$A$2:$G$101,7,FALSE)</f>
        <v>2</v>
      </c>
      <c r="O16">
        <f>VLOOKUP($F16,ELO_ratings!$A$2:$G$101,7,FALSE)</f>
        <v>6</v>
      </c>
      <c r="P16">
        <f>VLOOKUP($D16,ELO_ratings!$A$2:$G$101,6,FALSE)</f>
        <v>2131</v>
      </c>
      <c r="Q16">
        <f>VLOOKUP($F16,ELO_ratings!$A$2:$G$101,6,FALSE)</f>
        <v>1879</v>
      </c>
      <c r="R16">
        <f t="shared" si="4"/>
        <v>252</v>
      </c>
      <c r="S16">
        <f t="shared" si="5"/>
        <v>252</v>
      </c>
      <c r="T16" s="32">
        <f t="shared" si="6"/>
        <v>0.81009515860475667</v>
      </c>
      <c r="U16" s="33">
        <f>ROUND(Params_and_stats!$B$2*(T16-0.5),0)</f>
        <v>1</v>
      </c>
      <c r="V16">
        <f t="shared" si="7"/>
        <v>1</v>
      </c>
      <c r="W16">
        <f t="shared" si="8"/>
        <v>1</v>
      </c>
      <c r="X16">
        <f>VLOOKUP($D16,Qualifying_goals!$A$2:$G$33,7,FALSE)</f>
        <v>10</v>
      </c>
      <c r="Y16">
        <f>VLOOKUP($F16,Qualifying_goals!$A$2:$G$33,7,FALSE)</f>
        <v>17</v>
      </c>
      <c r="Z16">
        <f t="shared" si="9"/>
        <v>13.5</v>
      </c>
      <c r="AA16">
        <f>IF(Z16&lt;=Params_and_stats!$B$3,1,0)</f>
        <v>1</v>
      </c>
      <c r="AB16">
        <f t="shared" si="25"/>
        <v>2</v>
      </c>
      <c r="AC16">
        <f t="shared" si="26"/>
        <v>1</v>
      </c>
      <c r="AD16">
        <f t="shared" si="12"/>
        <v>1</v>
      </c>
      <c r="AE16">
        <f t="shared" si="13"/>
        <v>1</v>
      </c>
      <c r="AF16">
        <f t="shared" si="14"/>
        <v>3</v>
      </c>
      <c r="AG16">
        <v>1</v>
      </c>
      <c r="AH16">
        <v>1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2</v>
      </c>
      <c r="AM16">
        <f t="shared" si="19"/>
        <v>0</v>
      </c>
      <c r="AN16">
        <f t="shared" si="20"/>
        <v>0</v>
      </c>
      <c r="AO16">
        <f t="shared" si="21"/>
        <v>0</v>
      </c>
      <c r="AP16">
        <f t="shared" si="22"/>
        <v>0</v>
      </c>
    </row>
    <row r="17" spans="1:42" ht="15" customHeight="1" x14ac:dyDescent="0.25">
      <c r="A17" s="86" t="s">
        <v>172</v>
      </c>
      <c r="B17" s="86"/>
      <c r="C17" s="86"/>
      <c r="D17" s="86"/>
      <c r="E17" s="86"/>
      <c r="F17" s="86"/>
      <c r="G17" s="86"/>
      <c r="H17">
        <f t="shared" si="2"/>
        <v>0</v>
      </c>
      <c r="I17">
        <f>IF(OR(D17=Params_and_stats!$B$4, F17=Params_and_stats!$B$4), 1, 0)</f>
        <v>0</v>
      </c>
      <c r="J17">
        <f t="shared" si="23"/>
        <v>0</v>
      </c>
      <c r="K17">
        <f t="shared" si="3"/>
        <v>0</v>
      </c>
      <c r="L17" t="e">
        <f>VLOOKUP($D17,ELO_ratings!$A$2:$G$101,2,FALSE)</f>
        <v>#N/A</v>
      </c>
      <c r="M17" t="e">
        <f>VLOOKUP($F17,ELO_ratings!$A$2:$G$101,2,FALSE)</f>
        <v>#N/A</v>
      </c>
      <c r="N17" t="e">
        <f>VLOOKUP($D17,ELO_ratings!$A$2:$G$101,7,FALSE)</f>
        <v>#N/A</v>
      </c>
      <c r="O17" t="e">
        <f>VLOOKUP($F17,ELO_ratings!$A$2:$G$101,7,FALSE)</f>
        <v>#N/A</v>
      </c>
      <c r="P17" t="e">
        <f>VLOOKUP($D17,ELO_ratings!$A$2:$G$101,6,FALSE)</f>
        <v>#N/A</v>
      </c>
      <c r="Q17" t="e">
        <f>VLOOKUP($F17,ELO_ratings!$A$2:$G$101,6,FALSE)</f>
        <v>#N/A</v>
      </c>
      <c r="R17" t="e">
        <f t="shared" si="4"/>
        <v>#N/A</v>
      </c>
      <c r="S17" t="e">
        <f t="shared" si="5"/>
        <v>#N/A</v>
      </c>
      <c r="T17" s="32" t="e">
        <f t="shared" si="6"/>
        <v>#N/A</v>
      </c>
      <c r="U17" s="33" t="e">
        <f>ROUND(Params_and_stats!$B$2*(T17-0.5),0)</f>
        <v>#N/A</v>
      </c>
      <c r="V17">
        <f t="shared" si="7"/>
        <v>0</v>
      </c>
      <c r="W17">
        <f t="shared" si="8"/>
        <v>0</v>
      </c>
      <c r="X17" t="e">
        <f>VLOOKUP($D17,Qualifying_goals!$A$2:$G$33,7,FALSE)</f>
        <v>#N/A</v>
      </c>
      <c r="Y17" t="e">
        <f>VLOOKUP($F17,Qualifying_goals!$A$2:$G$33,7,FALSE)</f>
        <v>#N/A</v>
      </c>
      <c r="Z17" t="e">
        <f t="shared" si="9"/>
        <v>#N/A</v>
      </c>
      <c r="AA17" t="e">
        <f>IF(Z17&lt;=Params_and_stats!$B$3,1,0)</f>
        <v>#N/A</v>
      </c>
      <c r="AB17" t="str">
        <f t="shared" si="25"/>
        <v/>
      </c>
      <c r="AC17" t="str">
        <f t="shared" si="26"/>
        <v/>
      </c>
      <c r="AD17" t="e">
        <f t="shared" si="12"/>
        <v>#VALUE!</v>
      </c>
      <c r="AE17">
        <f t="shared" si="13"/>
        <v>0</v>
      </c>
      <c r="AF17" t="str">
        <f t="shared" si="14"/>
        <v/>
      </c>
      <c r="AI17">
        <f t="shared" si="15"/>
        <v>0</v>
      </c>
      <c r="AJ17">
        <f t="shared" si="16"/>
        <v>0</v>
      </c>
      <c r="AK17">
        <f t="shared" si="17"/>
        <v>0</v>
      </c>
      <c r="AL17" t="str">
        <f t="shared" si="18"/>
        <v/>
      </c>
      <c r="AM17" t="str">
        <f t="shared" si="19"/>
        <v/>
      </c>
      <c r="AN17" t="str">
        <f t="shared" si="20"/>
        <v/>
      </c>
      <c r="AO17" t="str">
        <f t="shared" si="21"/>
        <v/>
      </c>
      <c r="AP17" t="str">
        <f t="shared" si="22"/>
        <v/>
      </c>
    </row>
    <row r="18" spans="1:42" x14ac:dyDescent="0.25">
      <c r="A18" s="2"/>
      <c r="B18" s="3">
        <v>0.54166666666666663</v>
      </c>
      <c r="C18" s="4"/>
      <c r="D18" s="5" t="s">
        <v>173</v>
      </c>
      <c r="E18" s="6" t="s">
        <v>147</v>
      </c>
      <c r="F18" s="7" t="s">
        <v>174</v>
      </c>
      <c r="G18" s="2"/>
      <c r="H18">
        <f t="shared" si="2"/>
        <v>1</v>
      </c>
      <c r="I18">
        <f>IF(OR(D18=Params_and_stats!$B$4, F18=Params_and_stats!$B$4), 1, 0)</f>
        <v>0</v>
      </c>
      <c r="J18">
        <f t="shared" si="23"/>
        <v>0</v>
      </c>
      <c r="K18">
        <f t="shared" si="3"/>
        <v>0</v>
      </c>
      <c r="L18">
        <f>VLOOKUP($D18,ELO_ratings!$A$2:$G$101,2,FALSE)</f>
        <v>20</v>
      </c>
      <c r="M18">
        <f>VLOOKUP($F18,ELO_ratings!$A$2:$G$101,2,FALSE)</f>
        <v>27</v>
      </c>
      <c r="N18">
        <f>VLOOKUP($D18,ELO_ratings!$A$2:$G$101,7,FALSE)</f>
        <v>22</v>
      </c>
      <c r="O18">
        <f>VLOOKUP($F18,ELO_ratings!$A$2:$G$101,7,FALSE)</f>
        <v>61</v>
      </c>
      <c r="P18">
        <f>VLOOKUP($D18,ELO_ratings!$A$2:$G$101,6,FALSE)</f>
        <v>1796</v>
      </c>
      <c r="Q18">
        <f>VLOOKUP($F18,ELO_ratings!$A$2:$G$101,6,FALSE)</f>
        <v>1751</v>
      </c>
      <c r="R18">
        <f t="shared" si="4"/>
        <v>45</v>
      </c>
      <c r="S18">
        <f t="shared" si="5"/>
        <v>45</v>
      </c>
      <c r="T18" s="32">
        <f t="shared" si="6"/>
        <v>0.56440049024042127</v>
      </c>
      <c r="U18" s="33">
        <f>ROUND(Params_and_stats!$B$2*(T18-0.5),0)</f>
        <v>0</v>
      </c>
      <c r="V18">
        <f t="shared" si="7"/>
        <v>0</v>
      </c>
      <c r="W18">
        <f t="shared" si="8"/>
        <v>0</v>
      </c>
      <c r="X18">
        <f>VLOOKUP($D18,Qualifying_goals!$A$2:$G$33,7,FALSE)</f>
        <v>8</v>
      </c>
      <c r="Y18">
        <f>VLOOKUP($F18,Qualifying_goals!$A$2:$G$33,7,FALSE)</f>
        <v>15</v>
      </c>
      <c r="Z18">
        <f t="shared" si="9"/>
        <v>11.5</v>
      </c>
      <c r="AA18">
        <f>IF(Z18&lt;=Params_and_stats!$B$3,1,0)</f>
        <v>1</v>
      </c>
      <c r="AB18">
        <f t="shared" si="25"/>
        <v>1</v>
      </c>
      <c r="AC18">
        <f t="shared" si="26"/>
        <v>1</v>
      </c>
      <c r="AD18">
        <f t="shared" si="12"/>
        <v>0</v>
      </c>
      <c r="AE18">
        <f t="shared" si="13"/>
        <v>0</v>
      </c>
      <c r="AF18">
        <f t="shared" si="14"/>
        <v>2</v>
      </c>
      <c r="AG18">
        <v>1</v>
      </c>
      <c r="AH18">
        <v>0</v>
      </c>
      <c r="AI18">
        <f t="shared" si="15"/>
        <v>1</v>
      </c>
      <c r="AJ18">
        <f t="shared" si="16"/>
        <v>1</v>
      </c>
      <c r="AK18">
        <f t="shared" si="17"/>
        <v>1</v>
      </c>
      <c r="AL18">
        <f t="shared" si="18"/>
        <v>1</v>
      </c>
      <c r="AM18">
        <f t="shared" si="19"/>
        <v>0</v>
      </c>
      <c r="AN18">
        <f t="shared" si="20"/>
        <v>0</v>
      </c>
      <c r="AO18">
        <f t="shared" si="21"/>
        <v>0</v>
      </c>
      <c r="AP18">
        <f t="shared" si="22"/>
        <v>0</v>
      </c>
    </row>
    <row r="19" spans="1:42" x14ac:dyDescent="0.25">
      <c r="A19" s="1"/>
      <c r="B19" s="14">
        <v>0.66666666666666663</v>
      </c>
      <c r="C19" s="15"/>
      <c r="D19" s="16" t="s">
        <v>175</v>
      </c>
      <c r="E19" s="17" t="s">
        <v>147</v>
      </c>
      <c r="F19" s="18" t="s">
        <v>176</v>
      </c>
      <c r="G19" s="1"/>
      <c r="H19">
        <f t="shared" si="2"/>
        <v>1</v>
      </c>
      <c r="I19">
        <f>IF(OR(D19=Params_and_stats!$B$4, F19=Params_and_stats!$B$4), 1, 0)</f>
        <v>0</v>
      </c>
      <c r="J19">
        <f t="shared" si="23"/>
        <v>0</v>
      </c>
      <c r="K19">
        <f t="shared" si="3"/>
        <v>0</v>
      </c>
      <c r="L19">
        <f>VLOOKUP($D19,ELO_ratings!$A$2:$G$101,2,FALSE)</f>
        <v>9</v>
      </c>
      <c r="M19">
        <f>VLOOKUP($F19,ELO_ratings!$A$2:$G$101,2,FALSE)</f>
        <v>48</v>
      </c>
      <c r="N19">
        <f>VLOOKUP($D19,ELO_ratings!$A$2:$G$101,7,FALSE)</f>
        <v>3</v>
      </c>
      <c r="O19">
        <f>VLOOKUP($F19,ELO_ratings!$A$2:$G$101,7,FALSE)</f>
        <v>55</v>
      </c>
      <c r="P19">
        <f>VLOOKUP($D19,ELO_ratings!$A$2:$G$101,6,FALSE)</f>
        <v>1931</v>
      </c>
      <c r="Q19">
        <f>VLOOKUP($F19,ELO_ratings!$A$2:$G$101,6,FALSE)</f>
        <v>1669</v>
      </c>
      <c r="R19">
        <f t="shared" si="4"/>
        <v>262</v>
      </c>
      <c r="S19">
        <f t="shared" si="5"/>
        <v>262</v>
      </c>
      <c r="T19" s="32">
        <f t="shared" si="6"/>
        <v>0.81879329013431534</v>
      </c>
      <c r="U19" s="33">
        <f>ROUND(Params_and_stats!$B$2*(T19-0.5),0)</f>
        <v>1</v>
      </c>
      <c r="V19">
        <f t="shared" si="7"/>
        <v>1</v>
      </c>
      <c r="W19">
        <f t="shared" si="8"/>
        <v>1</v>
      </c>
      <c r="X19">
        <f>VLOOKUP($D19,Qualifying_goals!$A$2:$G$33,7,FALSE)</f>
        <v>1</v>
      </c>
      <c r="Y19">
        <f>VLOOKUP($F19,Qualifying_goals!$A$2:$G$33,7,FALSE)</f>
        <v>30</v>
      </c>
      <c r="Z19">
        <f t="shared" si="9"/>
        <v>15.5</v>
      </c>
      <c r="AA19">
        <f>IF(Z19&lt;=Params_and_stats!$B$3,1,0)</f>
        <v>1</v>
      </c>
      <c r="AB19">
        <f t="shared" si="25"/>
        <v>2</v>
      </c>
      <c r="AC19">
        <f t="shared" si="26"/>
        <v>1</v>
      </c>
      <c r="AD19">
        <f t="shared" si="12"/>
        <v>1</v>
      </c>
      <c r="AE19">
        <f t="shared" si="13"/>
        <v>1</v>
      </c>
      <c r="AF19">
        <f t="shared" si="14"/>
        <v>3</v>
      </c>
      <c r="AG19">
        <v>3</v>
      </c>
      <c r="AH19">
        <v>0</v>
      </c>
      <c r="AI19">
        <f t="shared" si="15"/>
        <v>3</v>
      </c>
      <c r="AJ19">
        <f t="shared" si="16"/>
        <v>3</v>
      </c>
      <c r="AK19">
        <f t="shared" si="17"/>
        <v>1</v>
      </c>
      <c r="AL19">
        <f t="shared" si="18"/>
        <v>3</v>
      </c>
      <c r="AM19">
        <f t="shared" si="19"/>
        <v>0</v>
      </c>
      <c r="AN19">
        <f t="shared" si="20"/>
        <v>0</v>
      </c>
      <c r="AO19">
        <f t="shared" si="21"/>
        <v>1</v>
      </c>
      <c r="AP19">
        <f t="shared" si="22"/>
        <v>1</v>
      </c>
    </row>
    <row r="20" spans="1:42" x14ac:dyDescent="0.25">
      <c r="A20" s="2"/>
      <c r="B20" s="3">
        <v>0.79166666666666663</v>
      </c>
      <c r="C20" s="4"/>
      <c r="D20" s="5" t="s">
        <v>177</v>
      </c>
      <c r="E20" s="6" t="s">
        <v>147</v>
      </c>
      <c r="F20" s="7" t="s">
        <v>178</v>
      </c>
      <c r="G20" s="2"/>
      <c r="H20">
        <f t="shared" si="2"/>
        <v>1</v>
      </c>
      <c r="I20">
        <f>IF(OR(D20=Params_and_stats!$B$4, F20=Params_and_stats!$B$4), 1, 0)</f>
        <v>1</v>
      </c>
      <c r="J20">
        <f t="shared" si="23"/>
        <v>0</v>
      </c>
      <c r="K20">
        <f t="shared" si="3"/>
        <v>0</v>
      </c>
      <c r="L20">
        <f>VLOOKUP($D20,ELO_ratings!$A$2:$G$101,2,FALSE)</f>
        <v>49</v>
      </c>
      <c r="M20">
        <f>VLOOKUP($F20,ELO_ratings!$A$2:$G$101,2,FALSE)</f>
        <v>7</v>
      </c>
      <c r="N20">
        <f>VLOOKUP($D20,ELO_ratings!$A$2:$G$101,7,FALSE)</f>
        <v>14</v>
      </c>
      <c r="O20">
        <f>VLOOKUP($F20,ELO_ratings!$A$2:$G$101,7,FALSE)</f>
        <v>13</v>
      </c>
      <c r="P20">
        <f>VLOOKUP($D20,ELO_ratings!$A$2:$G$101,6,FALSE)</f>
        <v>1657</v>
      </c>
      <c r="Q20">
        <f>VLOOKUP($F20,ELO_ratings!$A$2:$G$101,6,FALSE)</f>
        <v>1941</v>
      </c>
      <c r="R20">
        <f t="shared" si="4"/>
        <v>-284</v>
      </c>
      <c r="S20">
        <f t="shared" si="5"/>
        <v>-284</v>
      </c>
      <c r="T20" s="32">
        <f t="shared" si="6"/>
        <v>0.16316903399710525</v>
      </c>
      <c r="U20" s="33">
        <f>ROUND(Params_and_stats!$B$2*(T20-0.5),0)</f>
        <v>-1</v>
      </c>
      <c r="V20">
        <f t="shared" si="7"/>
        <v>1</v>
      </c>
      <c r="W20">
        <f t="shared" si="8"/>
        <v>1</v>
      </c>
      <c r="X20">
        <f>VLOOKUP($D20,Qualifying_goals!$A$2:$G$33,7,FALSE)</f>
        <v>16</v>
      </c>
      <c r="Y20">
        <f>VLOOKUP($F20,Qualifying_goals!$A$2:$G$33,7,FALSE)</f>
        <v>27</v>
      </c>
      <c r="Z20">
        <f t="shared" si="9"/>
        <v>21.5</v>
      </c>
      <c r="AA20">
        <f>IF(Z20&lt;=Params_and_stats!$B$3,1,0)</f>
        <v>0</v>
      </c>
      <c r="AB20">
        <f t="shared" si="25"/>
        <v>0</v>
      </c>
      <c r="AC20">
        <f t="shared" si="26"/>
        <v>1</v>
      </c>
      <c r="AD20">
        <f t="shared" si="12"/>
        <v>-1</v>
      </c>
      <c r="AE20">
        <f t="shared" si="13"/>
        <v>1</v>
      </c>
      <c r="AF20">
        <f t="shared" si="14"/>
        <v>1</v>
      </c>
      <c r="AG20">
        <v>1</v>
      </c>
      <c r="AH20">
        <v>2</v>
      </c>
      <c r="AI20">
        <f t="shared" si="15"/>
        <v>-1</v>
      </c>
      <c r="AJ20">
        <f t="shared" si="16"/>
        <v>1</v>
      </c>
      <c r="AK20">
        <f t="shared" si="17"/>
        <v>1</v>
      </c>
      <c r="AL20">
        <f t="shared" si="18"/>
        <v>3</v>
      </c>
      <c r="AM20">
        <f t="shared" si="19"/>
        <v>0</v>
      </c>
      <c r="AN20">
        <f t="shared" si="20"/>
        <v>1</v>
      </c>
      <c r="AO20">
        <f t="shared" si="21"/>
        <v>1</v>
      </c>
      <c r="AP20">
        <f t="shared" si="22"/>
        <v>2</v>
      </c>
    </row>
    <row r="21" spans="1:42" ht="15" customHeight="1" x14ac:dyDescent="0.25">
      <c r="A21" s="86" t="s">
        <v>179</v>
      </c>
      <c r="B21" s="86"/>
      <c r="C21" s="86"/>
      <c r="D21" s="86"/>
      <c r="E21" s="86"/>
      <c r="F21" s="86"/>
      <c r="G21" s="86"/>
      <c r="H21">
        <f t="shared" si="2"/>
        <v>0</v>
      </c>
      <c r="I21">
        <f>IF(OR(D21=Params_and_stats!$B$4, F21=Params_and_stats!$B$4), 1, 0)</f>
        <v>0</v>
      </c>
      <c r="J21">
        <f t="shared" si="23"/>
        <v>0</v>
      </c>
      <c r="K21">
        <f t="shared" si="3"/>
        <v>0</v>
      </c>
      <c r="L21" t="e">
        <f>VLOOKUP($D21,ELO_ratings!$A$2:$G$101,2,FALSE)</f>
        <v>#N/A</v>
      </c>
      <c r="M21" t="e">
        <f>VLOOKUP($F21,ELO_ratings!$A$2:$G$101,2,FALSE)</f>
        <v>#N/A</v>
      </c>
      <c r="N21" t="e">
        <f>VLOOKUP($D21,ELO_ratings!$A$2:$G$101,7,FALSE)</f>
        <v>#N/A</v>
      </c>
      <c r="O21" t="e">
        <f>VLOOKUP($F21,ELO_ratings!$A$2:$G$101,7,FALSE)</f>
        <v>#N/A</v>
      </c>
      <c r="P21" t="e">
        <f>VLOOKUP($D21,ELO_ratings!$A$2:$G$101,6,FALSE)</f>
        <v>#N/A</v>
      </c>
      <c r="Q21" t="e">
        <f>VLOOKUP($F21,ELO_ratings!$A$2:$G$101,6,FALSE)</f>
        <v>#N/A</v>
      </c>
      <c r="R21" t="e">
        <f t="shared" si="4"/>
        <v>#N/A</v>
      </c>
      <c r="S21" t="e">
        <f t="shared" si="5"/>
        <v>#N/A</v>
      </c>
      <c r="T21" s="32" t="e">
        <f t="shared" si="6"/>
        <v>#N/A</v>
      </c>
      <c r="U21" s="33" t="e">
        <f>ROUND(Params_and_stats!$B$2*(T21-0.5),0)</f>
        <v>#N/A</v>
      </c>
      <c r="V21">
        <f t="shared" si="7"/>
        <v>0</v>
      </c>
      <c r="W21">
        <f t="shared" si="8"/>
        <v>0</v>
      </c>
      <c r="X21" t="e">
        <f>VLOOKUP($D21,Qualifying_goals!$A$2:$G$33,7,FALSE)</f>
        <v>#N/A</v>
      </c>
      <c r="Y21" t="e">
        <f>VLOOKUP($F21,Qualifying_goals!$A$2:$G$33,7,FALSE)</f>
        <v>#N/A</v>
      </c>
      <c r="Z21" t="e">
        <f t="shared" si="9"/>
        <v>#N/A</v>
      </c>
      <c r="AA21" t="e">
        <f>IF(Z21&lt;=Params_and_stats!$B$3,1,0)</f>
        <v>#N/A</v>
      </c>
      <c r="AB21" t="str">
        <f t="shared" si="25"/>
        <v/>
      </c>
      <c r="AC21" t="str">
        <f t="shared" si="26"/>
        <v/>
      </c>
      <c r="AD21" t="e">
        <f t="shared" si="12"/>
        <v>#VALUE!</v>
      </c>
      <c r="AE21">
        <f t="shared" si="13"/>
        <v>0</v>
      </c>
      <c r="AF21" t="str">
        <f t="shared" si="14"/>
        <v/>
      </c>
      <c r="AI21">
        <f t="shared" si="15"/>
        <v>0</v>
      </c>
      <c r="AJ21">
        <f t="shared" si="16"/>
        <v>0</v>
      </c>
      <c r="AK21">
        <f t="shared" si="17"/>
        <v>0</v>
      </c>
      <c r="AL21" t="str">
        <f t="shared" si="18"/>
        <v/>
      </c>
      <c r="AM21" t="str">
        <f t="shared" si="19"/>
        <v/>
      </c>
      <c r="AN21" t="str">
        <f t="shared" si="20"/>
        <v/>
      </c>
      <c r="AO21" t="str">
        <f t="shared" si="21"/>
        <v/>
      </c>
      <c r="AP21" t="str">
        <f t="shared" si="22"/>
        <v/>
      </c>
    </row>
    <row r="22" spans="1:42" x14ac:dyDescent="0.25">
      <c r="A22" s="2"/>
      <c r="B22" s="3">
        <v>0.54166666666666663</v>
      </c>
      <c r="C22" s="4"/>
      <c r="D22" s="5" t="s">
        <v>180</v>
      </c>
      <c r="E22" s="6" t="s">
        <v>147</v>
      </c>
      <c r="F22" s="7" t="s">
        <v>181</v>
      </c>
      <c r="G22" s="2"/>
      <c r="H22">
        <f t="shared" si="2"/>
        <v>1</v>
      </c>
      <c r="I22">
        <f>IF(OR(D22=Params_and_stats!$B$4, F22=Params_and_stats!$B$4), 1, 0)</f>
        <v>0</v>
      </c>
      <c r="J22">
        <f t="shared" si="23"/>
        <v>0</v>
      </c>
      <c r="K22">
        <f t="shared" si="3"/>
        <v>0</v>
      </c>
      <c r="L22">
        <f>VLOOKUP($D22,ELO_ratings!$A$2:$G$101,2,FALSE)</f>
        <v>8</v>
      </c>
      <c r="M22">
        <f>VLOOKUP($F22,ELO_ratings!$A$2:$G$101,2,FALSE)</f>
        <v>44</v>
      </c>
      <c r="N22">
        <f>VLOOKUP($D22,ELO_ratings!$A$2:$G$101,7,FALSE)</f>
        <v>16</v>
      </c>
      <c r="O22">
        <f>VLOOKUP($F22,ELO_ratings!$A$2:$G$101,7,FALSE)</f>
        <v>60</v>
      </c>
      <c r="P22">
        <f>VLOOKUP($D22,ELO_ratings!$A$2:$G$101,6,FALSE)</f>
        <v>1935</v>
      </c>
      <c r="Q22">
        <f>VLOOKUP($F22,ELO_ratings!$A$2:$G$101,6,FALSE)</f>
        <v>1692</v>
      </c>
      <c r="R22">
        <f t="shared" si="4"/>
        <v>243</v>
      </c>
      <c r="S22">
        <f t="shared" si="5"/>
        <v>243</v>
      </c>
      <c r="T22" s="32">
        <f t="shared" si="6"/>
        <v>0.80199664411443317</v>
      </c>
      <c r="U22" s="33">
        <f>ROUND(Params_and_stats!$B$2*(T22-0.5),0)</f>
        <v>1</v>
      </c>
      <c r="V22">
        <f t="shared" si="7"/>
        <v>1</v>
      </c>
      <c r="W22">
        <f t="shared" si="8"/>
        <v>1</v>
      </c>
      <c r="X22">
        <f>VLOOKUP($D22,Qualifying_goals!$A$2:$G$33,7,FALSE)</f>
        <v>25</v>
      </c>
      <c r="Y22">
        <f>VLOOKUP($F22,Qualifying_goals!$A$2:$G$33,7,FALSE)</f>
        <v>12</v>
      </c>
      <c r="Z22">
        <f t="shared" si="9"/>
        <v>18.5</v>
      </c>
      <c r="AA22">
        <f>IF(Z22&lt;=Params_and_stats!$B$3,1,0)</f>
        <v>1</v>
      </c>
      <c r="AB22">
        <f t="shared" si="25"/>
        <v>2</v>
      </c>
      <c r="AC22">
        <f t="shared" si="26"/>
        <v>1</v>
      </c>
      <c r="AD22">
        <f t="shared" si="12"/>
        <v>1</v>
      </c>
      <c r="AE22">
        <f t="shared" si="13"/>
        <v>1</v>
      </c>
      <c r="AF22">
        <f t="shared" si="14"/>
        <v>3</v>
      </c>
      <c r="AG22" s="83">
        <v>1</v>
      </c>
      <c r="AH22" s="83">
        <v>2</v>
      </c>
      <c r="AI22">
        <f t="shared" si="15"/>
        <v>-1</v>
      </c>
      <c r="AJ22">
        <f t="shared" si="16"/>
        <v>1</v>
      </c>
      <c r="AK22">
        <f t="shared" si="17"/>
        <v>1</v>
      </c>
      <c r="AL22">
        <f t="shared" si="18"/>
        <v>3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</row>
    <row r="23" spans="1:42" x14ac:dyDescent="0.25">
      <c r="A23" s="1"/>
      <c r="B23" s="14">
        <v>0.66666666666666663</v>
      </c>
      <c r="C23" s="15"/>
      <c r="D23" s="16" t="s">
        <v>182</v>
      </c>
      <c r="E23" s="17" t="s">
        <v>147</v>
      </c>
      <c r="F23" s="18" t="s">
        <v>183</v>
      </c>
      <c r="G23" s="1"/>
      <c r="H23">
        <f t="shared" si="2"/>
        <v>1</v>
      </c>
      <c r="I23">
        <f>IF(OR(D23=Params_and_stats!$B$4, F23=Params_and_stats!$B$4), 1, 0)</f>
        <v>0</v>
      </c>
      <c r="J23">
        <f t="shared" si="23"/>
        <v>0</v>
      </c>
      <c r="K23">
        <f t="shared" si="3"/>
        <v>0</v>
      </c>
      <c r="L23">
        <f>VLOOKUP($D23,ELO_ratings!$A$2:$G$101,2,FALSE)</f>
        <v>19</v>
      </c>
      <c r="M23">
        <f>VLOOKUP($F23,ELO_ratings!$A$2:$G$101,2,FALSE)</f>
        <v>28</v>
      </c>
      <c r="N23">
        <f>VLOOKUP($D23,ELO_ratings!$A$2:$G$101,7,FALSE)</f>
        <v>10</v>
      </c>
      <c r="O23">
        <f>VLOOKUP($F23,ELO_ratings!$A$2:$G$101,7,FALSE)</f>
        <v>28</v>
      </c>
      <c r="P23">
        <f>VLOOKUP($D23,ELO_ratings!$A$2:$G$101,6,FALSE)</f>
        <v>1831</v>
      </c>
      <c r="Q23">
        <f>VLOOKUP($F23,ELO_ratings!$A$2:$G$101,6,FALSE)</f>
        <v>1747</v>
      </c>
      <c r="R23">
        <f t="shared" si="4"/>
        <v>84</v>
      </c>
      <c r="S23">
        <f t="shared" si="5"/>
        <v>84</v>
      </c>
      <c r="T23" s="32">
        <f t="shared" si="6"/>
        <v>0.61858412208903069</v>
      </c>
      <c r="U23" s="33">
        <f>ROUND(Params_and_stats!$B$2*(T23-0.5),0)</f>
        <v>0</v>
      </c>
      <c r="V23">
        <f t="shared" si="7"/>
        <v>0</v>
      </c>
      <c r="W23">
        <f t="shared" si="8"/>
        <v>0</v>
      </c>
      <c r="X23">
        <f>VLOOKUP($D23,Qualifying_goals!$A$2:$G$33,7,FALSE)</f>
        <v>3</v>
      </c>
      <c r="Y23">
        <f>VLOOKUP($F23,Qualifying_goals!$A$2:$G$33,7,FALSE)</f>
        <v>18</v>
      </c>
      <c r="Z23">
        <f t="shared" si="9"/>
        <v>10.5</v>
      </c>
      <c r="AA23">
        <f>IF(Z23&lt;=Params_and_stats!$B$3,1,0)</f>
        <v>1</v>
      </c>
      <c r="AB23">
        <f t="shared" si="25"/>
        <v>1</v>
      </c>
      <c r="AC23">
        <f t="shared" si="26"/>
        <v>1</v>
      </c>
      <c r="AD23">
        <f t="shared" si="12"/>
        <v>0</v>
      </c>
      <c r="AE23">
        <f t="shared" si="13"/>
        <v>0</v>
      </c>
      <c r="AF23">
        <f t="shared" si="14"/>
        <v>2</v>
      </c>
      <c r="AG23">
        <v>1</v>
      </c>
      <c r="AH23">
        <v>2</v>
      </c>
      <c r="AI23">
        <f t="shared" si="15"/>
        <v>-1</v>
      </c>
      <c r="AJ23">
        <f t="shared" si="16"/>
        <v>1</v>
      </c>
      <c r="AK23">
        <f t="shared" si="17"/>
        <v>1</v>
      </c>
      <c r="AL23">
        <f t="shared" si="18"/>
        <v>3</v>
      </c>
      <c r="AM23">
        <f t="shared" si="19"/>
        <v>0</v>
      </c>
      <c r="AN23">
        <f t="shared" si="20"/>
        <v>0</v>
      </c>
      <c r="AO23">
        <f t="shared" si="21"/>
        <v>0</v>
      </c>
      <c r="AP23">
        <f t="shared" si="22"/>
        <v>0</v>
      </c>
    </row>
    <row r="24" spans="1:42" x14ac:dyDescent="0.25">
      <c r="A24" s="2"/>
      <c r="B24" s="3">
        <v>0.79166666666666663</v>
      </c>
      <c r="C24" s="4"/>
      <c r="D24" s="5" t="s">
        <v>146</v>
      </c>
      <c r="E24" s="6" t="s">
        <v>147</v>
      </c>
      <c r="F24" s="7" t="s">
        <v>150</v>
      </c>
      <c r="G24" s="2"/>
      <c r="H24">
        <f t="shared" si="2"/>
        <v>1</v>
      </c>
      <c r="I24">
        <f>IF(OR(D24=Params_and_stats!$B$4, F24=Params_and_stats!$B$4), 1, 0)</f>
        <v>0</v>
      </c>
      <c r="J24">
        <f t="shared" si="23"/>
        <v>1</v>
      </c>
      <c r="K24">
        <f t="shared" si="3"/>
        <v>0</v>
      </c>
      <c r="L24">
        <f>VLOOKUP($D24,ELO_ratings!$A$2:$G$101,2,FALSE)</f>
        <v>45</v>
      </c>
      <c r="M24">
        <f>VLOOKUP($F24,ELO_ratings!$A$2:$G$101,2,FALSE)</f>
        <v>52</v>
      </c>
      <c r="N24">
        <f>VLOOKUP($D24,ELO_ratings!$A$2:$G$101,7,FALSE)</f>
        <v>66</v>
      </c>
      <c r="O24">
        <f>VLOOKUP($F24,ELO_ratings!$A$2:$G$101,7,FALSE)</f>
        <v>46</v>
      </c>
      <c r="P24">
        <f>VLOOKUP($D24,ELO_ratings!$A$2:$G$101,6,FALSE)</f>
        <v>1685</v>
      </c>
      <c r="Q24">
        <f>VLOOKUP($F24,ELO_ratings!$A$2:$G$101,6,FALSE)</f>
        <v>1643</v>
      </c>
      <c r="R24">
        <f t="shared" si="4"/>
        <v>42</v>
      </c>
      <c r="S24">
        <f t="shared" si="5"/>
        <v>142</v>
      </c>
      <c r="T24" s="32">
        <f t="shared" si="6"/>
        <v>0.69368791642196537</v>
      </c>
      <c r="U24" s="33">
        <f>ROUND(Params_and_stats!$B$2*(T24-0.5),0)</f>
        <v>1</v>
      </c>
      <c r="V24">
        <f t="shared" si="7"/>
        <v>1</v>
      </c>
      <c r="W24">
        <f t="shared" si="8"/>
        <v>1</v>
      </c>
      <c r="X24">
        <f>VLOOKUP($D24,Qualifying_goals!$A$2:$G$33,7,FALSE)</f>
        <v>16</v>
      </c>
      <c r="Y24">
        <f>VLOOKUP($F24,Qualifying_goals!$A$2:$G$33,7,FALSE)</f>
        <v>26</v>
      </c>
      <c r="Z24">
        <f t="shared" si="9"/>
        <v>21</v>
      </c>
      <c r="AA24">
        <f>IF(Z24&lt;=Params_and_stats!$B$3,1,0)</f>
        <v>0</v>
      </c>
      <c r="AB24">
        <f t="shared" si="25"/>
        <v>1</v>
      </c>
      <c r="AC24">
        <f t="shared" si="26"/>
        <v>0</v>
      </c>
      <c r="AD24">
        <f t="shared" si="12"/>
        <v>1</v>
      </c>
      <c r="AE24">
        <f t="shared" si="13"/>
        <v>1</v>
      </c>
      <c r="AF24">
        <f t="shared" si="14"/>
        <v>1</v>
      </c>
      <c r="AG24">
        <v>3</v>
      </c>
      <c r="AH24">
        <v>1</v>
      </c>
      <c r="AI24">
        <f t="shared" si="15"/>
        <v>2</v>
      </c>
      <c r="AJ24">
        <f t="shared" si="16"/>
        <v>2</v>
      </c>
      <c r="AK24">
        <f t="shared" si="17"/>
        <v>1</v>
      </c>
      <c r="AL24">
        <f t="shared" si="18"/>
        <v>4</v>
      </c>
      <c r="AM24">
        <f t="shared" si="19"/>
        <v>0</v>
      </c>
      <c r="AN24">
        <f t="shared" si="20"/>
        <v>0</v>
      </c>
      <c r="AO24">
        <f t="shared" si="21"/>
        <v>1</v>
      </c>
      <c r="AP24">
        <f t="shared" si="22"/>
        <v>1</v>
      </c>
    </row>
    <row r="25" spans="1:42" ht="15" customHeight="1" x14ac:dyDescent="0.25">
      <c r="A25" s="86" t="s">
        <v>184</v>
      </c>
      <c r="B25" s="86"/>
      <c r="C25" s="86"/>
      <c r="D25" s="86"/>
      <c r="E25" s="86"/>
      <c r="F25" s="86"/>
      <c r="G25" s="86"/>
      <c r="H25">
        <f t="shared" si="2"/>
        <v>0</v>
      </c>
      <c r="I25">
        <f>IF(OR(D25=Params_and_stats!$B$4, F25=Params_and_stats!$B$4), 1, 0)</f>
        <v>0</v>
      </c>
      <c r="J25">
        <f t="shared" si="23"/>
        <v>0</v>
      </c>
      <c r="K25">
        <f t="shared" si="3"/>
        <v>0</v>
      </c>
      <c r="L25" t="e">
        <f>VLOOKUP($D25,ELO_ratings!$A$2:$G$101,2,FALSE)</f>
        <v>#N/A</v>
      </c>
      <c r="M25" t="e">
        <f>VLOOKUP($F25,ELO_ratings!$A$2:$G$101,2,FALSE)</f>
        <v>#N/A</v>
      </c>
      <c r="N25" t="e">
        <f>VLOOKUP($D25,ELO_ratings!$A$2:$G$101,7,FALSE)</f>
        <v>#N/A</v>
      </c>
      <c r="O25" t="e">
        <f>VLOOKUP($F25,ELO_ratings!$A$2:$G$101,7,FALSE)</f>
        <v>#N/A</v>
      </c>
      <c r="P25" t="e">
        <f>VLOOKUP($D25,ELO_ratings!$A$2:$G$101,6,FALSE)</f>
        <v>#N/A</v>
      </c>
      <c r="Q25" t="e">
        <f>VLOOKUP($F25,ELO_ratings!$A$2:$G$101,6,FALSE)</f>
        <v>#N/A</v>
      </c>
      <c r="R25" t="e">
        <f t="shared" si="4"/>
        <v>#N/A</v>
      </c>
      <c r="S25" t="e">
        <f t="shared" si="5"/>
        <v>#N/A</v>
      </c>
      <c r="T25" s="32" t="e">
        <f t="shared" si="6"/>
        <v>#N/A</v>
      </c>
      <c r="U25" s="33" t="e">
        <f>ROUND(Params_and_stats!$B$2*(T25-0.5),0)</f>
        <v>#N/A</v>
      </c>
      <c r="V25">
        <f t="shared" si="7"/>
        <v>0</v>
      </c>
      <c r="W25">
        <f t="shared" si="8"/>
        <v>0</v>
      </c>
      <c r="X25" t="e">
        <f>VLOOKUP($D25,Qualifying_goals!$A$2:$G$33,7,FALSE)</f>
        <v>#N/A</v>
      </c>
      <c r="Y25" t="e">
        <f>VLOOKUP($F25,Qualifying_goals!$A$2:$G$33,7,FALSE)</f>
        <v>#N/A</v>
      </c>
      <c r="Z25" t="e">
        <f t="shared" si="9"/>
        <v>#N/A</v>
      </c>
      <c r="AA25" t="e">
        <f>IF(Z25&lt;=Params_and_stats!$B$3,1,0)</f>
        <v>#N/A</v>
      </c>
      <c r="AB25" t="str">
        <f t="shared" si="25"/>
        <v/>
      </c>
      <c r="AC25" t="str">
        <f t="shared" si="26"/>
        <v/>
      </c>
      <c r="AD25" t="e">
        <f t="shared" si="12"/>
        <v>#VALUE!</v>
      </c>
      <c r="AE25">
        <f t="shared" si="13"/>
        <v>0</v>
      </c>
      <c r="AF25" t="str">
        <f t="shared" si="14"/>
        <v/>
      </c>
      <c r="AI25">
        <f t="shared" si="15"/>
        <v>0</v>
      </c>
      <c r="AJ25">
        <f t="shared" si="16"/>
        <v>0</v>
      </c>
      <c r="AK25">
        <f t="shared" si="17"/>
        <v>0</v>
      </c>
      <c r="AL25" t="str">
        <f t="shared" si="18"/>
        <v/>
      </c>
      <c r="AM25" t="str">
        <f t="shared" si="19"/>
        <v/>
      </c>
      <c r="AN25" t="str">
        <f t="shared" si="20"/>
        <v/>
      </c>
      <c r="AO25" t="str">
        <f t="shared" si="21"/>
        <v/>
      </c>
      <c r="AP25" t="str">
        <f t="shared" si="22"/>
        <v/>
      </c>
    </row>
    <row r="26" spans="1:42" x14ac:dyDescent="0.25">
      <c r="A26" s="2"/>
      <c r="B26" s="3">
        <v>0.54166666666666663</v>
      </c>
      <c r="C26" s="4"/>
      <c r="D26" s="5" t="s">
        <v>154</v>
      </c>
      <c r="E26" s="6" t="s">
        <v>147</v>
      </c>
      <c r="F26" s="7" t="s">
        <v>152</v>
      </c>
      <c r="G26" s="2"/>
      <c r="H26">
        <f t="shared" si="2"/>
        <v>1</v>
      </c>
      <c r="I26">
        <f>IF(OR(D26=Params_and_stats!$B$4, F26=Params_and_stats!$B$4), 1, 0)</f>
        <v>0</v>
      </c>
      <c r="J26">
        <f t="shared" si="23"/>
        <v>0</v>
      </c>
      <c r="K26">
        <f t="shared" si="3"/>
        <v>0</v>
      </c>
      <c r="L26">
        <f>VLOOKUP($D26,ELO_ratings!$A$2:$G$101,2,FALSE)</f>
        <v>6</v>
      </c>
      <c r="M26">
        <f>VLOOKUP($F26,ELO_ratings!$A$2:$G$101,2,FALSE)</f>
        <v>41</v>
      </c>
      <c r="N26">
        <f>VLOOKUP($D26,ELO_ratings!$A$2:$G$101,7,FALSE)</f>
        <v>4</v>
      </c>
      <c r="O26">
        <f>VLOOKUP($F26,ELO_ratings!$A$2:$G$101,7,FALSE)</f>
        <v>42</v>
      </c>
      <c r="P26">
        <f>VLOOKUP($D26,ELO_ratings!$A$2:$G$101,6,FALSE)</f>
        <v>1967</v>
      </c>
      <c r="Q26">
        <f>VLOOKUP($F26,ELO_ratings!$A$2:$G$101,6,FALSE)</f>
        <v>1711</v>
      </c>
      <c r="R26">
        <f t="shared" si="4"/>
        <v>256</v>
      </c>
      <c r="S26">
        <f t="shared" si="5"/>
        <v>256</v>
      </c>
      <c r="T26" s="32">
        <f t="shared" si="6"/>
        <v>0.81361221050558685</v>
      </c>
      <c r="U26" s="33">
        <f>ROUND(Params_and_stats!$B$2*(T26-0.5),0)</f>
        <v>1</v>
      </c>
      <c r="V26">
        <f t="shared" si="7"/>
        <v>1</v>
      </c>
      <c r="W26">
        <f t="shared" si="8"/>
        <v>1</v>
      </c>
      <c r="X26">
        <f>VLOOKUP($D26,Qualifying_goals!$A$2:$G$33,7,FALSE)</f>
        <v>5</v>
      </c>
      <c r="Y26">
        <f>VLOOKUP($F26,Qualifying_goals!$A$2:$G$33,7,FALSE)</f>
        <v>31</v>
      </c>
      <c r="Z26">
        <f t="shared" si="9"/>
        <v>18</v>
      </c>
      <c r="AA26">
        <f>IF(Z26&lt;=Params_and_stats!$B$3,1,0)</f>
        <v>1</v>
      </c>
      <c r="AB26">
        <f t="shared" si="25"/>
        <v>2</v>
      </c>
      <c r="AC26">
        <f t="shared" si="26"/>
        <v>1</v>
      </c>
      <c r="AD26">
        <f t="shared" si="12"/>
        <v>1</v>
      </c>
      <c r="AE26">
        <f t="shared" si="13"/>
        <v>1</v>
      </c>
      <c r="AF26">
        <f t="shared" si="14"/>
        <v>3</v>
      </c>
      <c r="AG26">
        <v>1</v>
      </c>
      <c r="AH26">
        <v>0</v>
      </c>
      <c r="AI26">
        <f t="shared" si="15"/>
        <v>1</v>
      </c>
      <c r="AJ26">
        <f t="shared" si="16"/>
        <v>1</v>
      </c>
      <c r="AK26">
        <f t="shared" si="17"/>
        <v>1</v>
      </c>
      <c r="AL26">
        <f t="shared" si="18"/>
        <v>1</v>
      </c>
      <c r="AM26">
        <f t="shared" si="19"/>
        <v>0</v>
      </c>
      <c r="AN26">
        <f t="shared" si="20"/>
        <v>1</v>
      </c>
      <c r="AO26">
        <f t="shared" si="21"/>
        <v>1</v>
      </c>
      <c r="AP26">
        <f t="shared" si="22"/>
        <v>2</v>
      </c>
    </row>
    <row r="27" spans="1:42" x14ac:dyDescent="0.25">
      <c r="A27" s="1"/>
      <c r="B27" s="14">
        <v>0.66666666666666663</v>
      </c>
      <c r="C27" s="15"/>
      <c r="D27" s="16" t="s">
        <v>151</v>
      </c>
      <c r="E27" s="17" t="s">
        <v>147</v>
      </c>
      <c r="F27" s="18" t="s">
        <v>148</v>
      </c>
      <c r="G27" s="1"/>
      <c r="H27">
        <f t="shared" si="2"/>
        <v>1</v>
      </c>
      <c r="I27">
        <f>IF(OR(D27=Params_and_stats!$B$4, F27=Params_and_stats!$B$4), 1, 0)</f>
        <v>0</v>
      </c>
      <c r="J27">
        <f t="shared" si="23"/>
        <v>0</v>
      </c>
      <c r="K27">
        <f t="shared" si="3"/>
        <v>0</v>
      </c>
      <c r="L27">
        <f>VLOOKUP($D27,ELO_ratings!$A$2:$G$101,2,FALSE)</f>
        <v>13</v>
      </c>
      <c r="M27">
        <f>VLOOKUP($F27,ELO_ratings!$A$2:$G$101,2,FALSE)</f>
        <v>63</v>
      </c>
      <c r="N27">
        <f>VLOOKUP($D27,ELO_ratings!$A$2:$G$101,7,FALSE)</f>
        <v>17</v>
      </c>
      <c r="O27">
        <f>VLOOKUP($F27,ELO_ratings!$A$2:$G$101,7,FALSE)</f>
        <v>67</v>
      </c>
      <c r="P27">
        <f>VLOOKUP($D27,ELO_ratings!$A$2:$G$101,6,FALSE)</f>
        <v>1891</v>
      </c>
      <c r="Q27">
        <f>VLOOKUP($F27,ELO_ratings!$A$2:$G$101,6,FALSE)</f>
        <v>1597</v>
      </c>
      <c r="R27">
        <f t="shared" si="4"/>
        <v>294</v>
      </c>
      <c r="S27">
        <f t="shared" si="5"/>
        <v>294</v>
      </c>
      <c r="T27" s="32">
        <f t="shared" si="6"/>
        <v>0.84453952823003509</v>
      </c>
      <c r="U27" s="33">
        <f>ROUND(Params_and_stats!$B$2*(T27-0.5),0)</f>
        <v>1</v>
      </c>
      <c r="V27">
        <f t="shared" si="7"/>
        <v>1</v>
      </c>
      <c r="W27">
        <f t="shared" si="8"/>
        <v>1</v>
      </c>
      <c r="X27">
        <f>VLOOKUP($D27,Qualifying_goals!$A$2:$G$33,7,FALSE)</f>
        <v>11</v>
      </c>
      <c r="Y27">
        <f>VLOOKUP($F27,Qualifying_goals!$A$2:$G$33,7,FALSE)</f>
        <v>6</v>
      </c>
      <c r="Z27">
        <f t="shared" si="9"/>
        <v>8.5</v>
      </c>
      <c r="AA27">
        <f>IF(Z27&lt;=Params_and_stats!$B$3,1,0)</f>
        <v>1</v>
      </c>
      <c r="AB27">
        <f t="shared" si="25"/>
        <v>2</v>
      </c>
      <c r="AC27">
        <f t="shared" si="26"/>
        <v>1</v>
      </c>
      <c r="AD27">
        <f t="shared" si="12"/>
        <v>1</v>
      </c>
      <c r="AE27">
        <f t="shared" si="13"/>
        <v>1</v>
      </c>
      <c r="AF27">
        <f t="shared" si="14"/>
        <v>3</v>
      </c>
      <c r="AG27">
        <v>1</v>
      </c>
      <c r="AH27">
        <v>0</v>
      </c>
      <c r="AI27">
        <f t="shared" si="15"/>
        <v>1</v>
      </c>
      <c r="AJ27">
        <f t="shared" si="16"/>
        <v>1</v>
      </c>
      <c r="AK27">
        <f t="shared" si="17"/>
        <v>1</v>
      </c>
      <c r="AL27">
        <f t="shared" si="18"/>
        <v>1</v>
      </c>
      <c r="AM27">
        <f t="shared" si="19"/>
        <v>0</v>
      </c>
      <c r="AN27">
        <f t="shared" si="20"/>
        <v>1</v>
      </c>
      <c r="AO27">
        <f t="shared" si="21"/>
        <v>1</v>
      </c>
      <c r="AP27">
        <f t="shared" si="22"/>
        <v>2</v>
      </c>
    </row>
    <row r="28" spans="1:42" x14ac:dyDescent="0.25">
      <c r="A28" s="2"/>
      <c r="B28" s="3">
        <v>0.79166666666666663</v>
      </c>
      <c r="C28" s="4"/>
      <c r="D28" s="5" t="s">
        <v>153</v>
      </c>
      <c r="E28" s="6" t="s">
        <v>147</v>
      </c>
      <c r="F28" s="7" t="s">
        <v>155</v>
      </c>
      <c r="G28" s="2"/>
      <c r="H28">
        <f t="shared" si="2"/>
        <v>1</v>
      </c>
      <c r="I28">
        <f>IF(OR(D28=Params_and_stats!$B$4, F28=Params_and_stats!$B$4), 1, 0)</f>
        <v>0</v>
      </c>
      <c r="J28">
        <f t="shared" si="23"/>
        <v>0</v>
      </c>
      <c r="K28">
        <f t="shared" si="3"/>
        <v>0</v>
      </c>
      <c r="L28">
        <f>VLOOKUP($D28,ELO_ratings!$A$2:$G$101,2,FALSE)</f>
        <v>21</v>
      </c>
      <c r="M28">
        <f>VLOOKUP($F28,ELO_ratings!$A$2:$G$101,2,FALSE)</f>
        <v>3</v>
      </c>
      <c r="N28">
        <f>VLOOKUP($D28,ELO_ratings!$A$2:$G$101,7,FALSE)</f>
        <v>36</v>
      </c>
      <c r="O28">
        <f>VLOOKUP($F28,ELO_ratings!$A$2:$G$101,7,FALSE)</f>
        <v>8</v>
      </c>
      <c r="P28">
        <f>VLOOKUP($D28,ELO_ratings!$A$2:$G$101,6,FALSE)</f>
        <v>1787</v>
      </c>
      <c r="Q28">
        <f>VLOOKUP($F28,ELO_ratings!$A$2:$G$101,6,FALSE)</f>
        <v>2049</v>
      </c>
      <c r="R28">
        <f t="shared" si="4"/>
        <v>-262</v>
      </c>
      <c r="S28">
        <f t="shared" si="5"/>
        <v>-262</v>
      </c>
      <c r="T28" s="32">
        <f t="shared" si="6"/>
        <v>0.18120670986568468</v>
      </c>
      <c r="U28" s="33">
        <f>ROUND(Params_and_stats!$B$2*(T28-0.5),0)</f>
        <v>-1</v>
      </c>
      <c r="V28">
        <f t="shared" si="7"/>
        <v>1</v>
      </c>
      <c r="W28">
        <f t="shared" si="8"/>
        <v>1</v>
      </c>
      <c r="X28">
        <f>VLOOKUP($D28,Qualifying_goals!$A$2:$G$33,7,FALSE)</f>
        <v>23</v>
      </c>
      <c r="Y28">
        <f>VLOOKUP($F28,Qualifying_goals!$A$2:$G$33,7,FALSE)</f>
        <v>4</v>
      </c>
      <c r="Z28">
        <f t="shared" si="9"/>
        <v>13.5</v>
      </c>
      <c r="AA28">
        <f>IF(Z28&lt;=Params_and_stats!$B$3,1,0)</f>
        <v>1</v>
      </c>
      <c r="AB28">
        <f t="shared" si="25"/>
        <v>1</v>
      </c>
      <c r="AC28">
        <f t="shared" si="26"/>
        <v>2</v>
      </c>
      <c r="AD28">
        <f t="shared" si="12"/>
        <v>-1</v>
      </c>
      <c r="AE28">
        <f t="shared" si="13"/>
        <v>1</v>
      </c>
      <c r="AF28">
        <f t="shared" si="14"/>
        <v>3</v>
      </c>
      <c r="AG28">
        <v>0</v>
      </c>
      <c r="AH28">
        <v>1</v>
      </c>
      <c r="AI28">
        <f t="shared" si="15"/>
        <v>-1</v>
      </c>
      <c r="AJ28">
        <f t="shared" si="16"/>
        <v>1</v>
      </c>
      <c r="AK28">
        <f t="shared" si="17"/>
        <v>1</v>
      </c>
      <c r="AL28">
        <f t="shared" si="18"/>
        <v>1</v>
      </c>
      <c r="AM28">
        <f t="shared" si="19"/>
        <v>0</v>
      </c>
      <c r="AN28">
        <f t="shared" si="20"/>
        <v>1</v>
      </c>
      <c r="AO28">
        <f t="shared" si="21"/>
        <v>1</v>
      </c>
      <c r="AP28">
        <f t="shared" si="22"/>
        <v>2</v>
      </c>
    </row>
    <row r="29" spans="1:42" ht="15" customHeight="1" x14ac:dyDescent="0.25">
      <c r="A29" s="86" t="s">
        <v>185</v>
      </c>
      <c r="B29" s="86"/>
      <c r="C29" s="86"/>
      <c r="D29" s="86"/>
      <c r="E29" s="86"/>
      <c r="F29" s="86"/>
      <c r="G29" s="86"/>
      <c r="H29">
        <f t="shared" si="2"/>
        <v>0</v>
      </c>
      <c r="I29">
        <f>IF(OR(D29=Params_and_stats!$B$4, F29=Params_and_stats!$B$4), 1, 0)</f>
        <v>0</v>
      </c>
      <c r="J29">
        <f t="shared" si="23"/>
        <v>0</v>
      </c>
      <c r="K29">
        <f t="shared" si="3"/>
        <v>0</v>
      </c>
      <c r="L29" t="e">
        <f>VLOOKUP($D29,ELO_ratings!$A$2:$G$101,2,FALSE)</f>
        <v>#N/A</v>
      </c>
      <c r="M29" t="e">
        <f>VLOOKUP($F29,ELO_ratings!$A$2:$G$101,2,FALSE)</f>
        <v>#N/A</v>
      </c>
      <c r="N29" t="e">
        <f>VLOOKUP($D29,ELO_ratings!$A$2:$G$101,7,FALSE)</f>
        <v>#N/A</v>
      </c>
      <c r="O29" t="e">
        <f>VLOOKUP($F29,ELO_ratings!$A$2:$G$101,7,FALSE)</f>
        <v>#N/A</v>
      </c>
      <c r="P29" t="e">
        <f>VLOOKUP($D29,ELO_ratings!$A$2:$G$101,6,FALSE)</f>
        <v>#N/A</v>
      </c>
      <c r="Q29" t="e">
        <f>VLOOKUP($F29,ELO_ratings!$A$2:$G$101,6,FALSE)</f>
        <v>#N/A</v>
      </c>
      <c r="R29" t="e">
        <f t="shared" si="4"/>
        <v>#N/A</v>
      </c>
      <c r="S29" t="e">
        <f t="shared" si="5"/>
        <v>#N/A</v>
      </c>
      <c r="T29" s="32" t="e">
        <f t="shared" si="6"/>
        <v>#N/A</v>
      </c>
      <c r="U29" s="33" t="e">
        <f>ROUND(Params_and_stats!$B$2*(T29-0.5),0)</f>
        <v>#N/A</v>
      </c>
      <c r="V29">
        <f t="shared" si="7"/>
        <v>0</v>
      </c>
      <c r="W29">
        <f t="shared" si="8"/>
        <v>0</v>
      </c>
      <c r="X29" t="e">
        <f>VLOOKUP($D29,Qualifying_goals!$A$2:$G$33,7,FALSE)</f>
        <v>#N/A</v>
      </c>
      <c r="Y29" t="e">
        <f>VLOOKUP($F29,Qualifying_goals!$A$2:$G$33,7,FALSE)</f>
        <v>#N/A</v>
      </c>
      <c r="Z29" t="e">
        <f t="shared" si="9"/>
        <v>#N/A</v>
      </c>
      <c r="AA29" t="e">
        <f>IF(Z29&lt;=Params_and_stats!$B$3,1,0)</f>
        <v>#N/A</v>
      </c>
      <c r="AB29" t="str">
        <f t="shared" si="25"/>
        <v/>
      </c>
      <c r="AC29" t="str">
        <f t="shared" si="26"/>
        <v/>
      </c>
      <c r="AD29" t="e">
        <f t="shared" si="12"/>
        <v>#VALUE!</v>
      </c>
      <c r="AE29">
        <f t="shared" si="13"/>
        <v>0</v>
      </c>
      <c r="AF29" t="str">
        <f t="shared" si="14"/>
        <v/>
      </c>
      <c r="AI29">
        <f t="shared" si="15"/>
        <v>0</v>
      </c>
      <c r="AJ29">
        <f t="shared" si="16"/>
        <v>0</v>
      </c>
      <c r="AK29">
        <f t="shared" si="17"/>
        <v>0</v>
      </c>
      <c r="AL29" t="str">
        <f t="shared" si="18"/>
        <v/>
      </c>
      <c r="AM29" t="str">
        <f t="shared" si="19"/>
        <v/>
      </c>
      <c r="AN29" t="str">
        <f t="shared" si="20"/>
        <v/>
      </c>
      <c r="AO29" t="str">
        <f t="shared" si="21"/>
        <v/>
      </c>
      <c r="AP29" t="str">
        <f t="shared" si="22"/>
        <v/>
      </c>
    </row>
    <row r="30" spans="1:42" x14ac:dyDescent="0.25">
      <c r="A30" s="2"/>
      <c r="B30" s="3">
        <v>0.54166666666666663</v>
      </c>
      <c r="C30" s="4"/>
      <c r="D30" s="5" t="s">
        <v>162</v>
      </c>
      <c r="E30" s="6" t="s">
        <v>147</v>
      </c>
      <c r="F30" s="7" t="s">
        <v>158</v>
      </c>
      <c r="G30" s="2"/>
      <c r="H30">
        <f t="shared" si="2"/>
        <v>1</v>
      </c>
      <c r="I30">
        <f>IF(OR(D30=Params_and_stats!$B$4, F30=Params_and_stats!$B$4), 1, 0)</f>
        <v>0</v>
      </c>
      <c r="J30">
        <f t="shared" si="23"/>
        <v>0</v>
      </c>
      <c r="K30">
        <f t="shared" si="3"/>
        <v>0</v>
      </c>
      <c r="L30">
        <f>VLOOKUP($D30,ELO_ratings!$A$2:$G$101,2,FALSE)</f>
        <v>18</v>
      </c>
      <c r="M30">
        <f>VLOOKUP($F30,ELO_ratings!$A$2:$G$101,2,FALSE)</f>
        <v>40</v>
      </c>
      <c r="N30">
        <f>VLOOKUP($D30,ELO_ratings!$A$2:$G$101,7,FALSE)</f>
        <v>12</v>
      </c>
      <c r="O30">
        <f>VLOOKUP($F30,ELO_ratings!$A$2:$G$101,7,FALSE)</f>
        <v>40</v>
      </c>
      <c r="P30">
        <f>VLOOKUP($D30,ELO_ratings!$A$2:$G$101,6,FALSE)</f>
        <v>1843</v>
      </c>
      <c r="Q30">
        <f>VLOOKUP($F30,ELO_ratings!$A$2:$G$101,6,FALSE)</f>
        <v>1714</v>
      </c>
      <c r="R30">
        <f t="shared" si="4"/>
        <v>129</v>
      </c>
      <c r="S30">
        <f t="shared" si="5"/>
        <v>129</v>
      </c>
      <c r="T30" s="32">
        <f t="shared" si="6"/>
        <v>0.67756058008510056</v>
      </c>
      <c r="U30" s="33">
        <f>ROUND(Params_and_stats!$B$2*(T30-0.5),0)</f>
        <v>1</v>
      </c>
      <c r="V30">
        <f t="shared" si="7"/>
        <v>1</v>
      </c>
      <c r="W30">
        <f t="shared" si="8"/>
        <v>1</v>
      </c>
      <c r="X30">
        <f>VLOOKUP($D30,Qualifying_goals!$A$2:$G$33,7,FALSE)</f>
        <v>12</v>
      </c>
      <c r="Y30">
        <f>VLOOKUP($F30,Qualifying_goals!$A$2:$G$33,7,FALSE)</f>
        <v>7</v>
      </c>
      <c r="Z30">
        <f t="shared" si="9"/>
        <v>9.5</v>
      </c>
      <c r="AA30">
        <f>IF(Z30&lt;=Params_and_stats!$B$3,1,0)</f>
        <v>1</v>
      </c>
      <c r="AB30">
        <f t="shared" si="25"/>
        <v>2</v>
      </c>
      <c r="AC30">
        <f t="shared" si="26"/>
        <v>1</v>
      </c>
      <c r="AD30">
        <f t="shared" si="12"/>
        <v>1</v>
      </c>
      <c r="AE30">
        <f t="shared" si="13"/>
        <v>1</v>
      </c>
      <c r="AF30">
        <f t="shared" si="14"/>
        <v>3</v>
      </c>
      <c r="AG30">
        <v>1</v>
      </c>
      <c r="AH30">
        <v>1</v>
      </c>
      <c r="AI30">
        <f t="shared" si="15"/>
        <v>0</v>
      </c>
      <c r="AJ30">
        <f t="shared" si="16"/>
        <v>0</v>
      </c>
      <c r="AK30">
        <f t="shared" si="17"/>
        <v>0</v>
      </c>
      <c r="AL30">
        <f t="shared" si="18"/>
        <v>2</v>
      </c>
      <c r="AM30">
        <f t="shared" si="19"/>
        <v>0</v>
      </c>
      <c r="AN30">
        <f t="shared" si="20"/>
        <v>0</v>
      </c>
      <c r="AO30">
        <f t="shared" si="21"/>
        <v>0</v>
      </c>
      <c r="AP30">
        <f t="shared" si="22"/>
        <v>0</v>
      </c>
    </row>
    <row r="31" spans="1:42" x14ac:dyDescent="0.25">
      <c r="A31" s="1"/>
      <c r="B31" s="14">
        <v>0.66666666666666663</v>
      </c>
      <c r="C31" s="15"/>
      <c r="D31" s="16" t="s">
        <v>157</v>
      </c>
      <c r="E31" s="17" t="s">
        <v>147</v>
      </c>
      <c r="F31" s="18" t="s">
        <v>161</v>
      </c>
      <c r="G31" s="1"/>
      <c r="H31">
        <f t="shared" si="2"/>
        <v>1</v>
      </c>
      <c r="I31">
        <f>IF(OR(D31=Params_and_stats!$B$4, F31=Params_and_stats!$B$4), 1, 0)</f>
        <v>0</v>
      </c>
      <c r="J31">
        <f t="shared" si="23"/>
        <v>0</v>
      </c>
      <c r="K31">
        <f t="shared" si="3"/>
        <v>0</v>
      </c>
      <c r="L31">
        <f>VLOOKUP($D31,ELO_ratings!$A$2:$G$101,2,FALSE)</f>
        <v>4</v>
      </c>
      <c r="M31">
        <f>VLOOKUP($F31,ELO_ratings!$A$2:$G$101,2,FALSE)</f>
        <v>11</v>
      </c>
      <c r="N31">
        <f>VLOOKUP($D31,ELO_ratings!$A$2:$G$101,7,FALSE)</f>
        <v>7</v>
      </c>
      <c r="O31">
        <f>VLOOKUP($F31,ELO_ratings!$A$2:$G$101,7,FALSE)</f>
        <v>11</v>
      </c>
      <c r="P31">
        <f>VLOOKUP($D31,ELO_ratings!$A$2:$G$101,6,FALSE)</f>
        <v>1987</v>
      </c>
      <c r="Q31">
        <f>VLOOKUP($F31,ELO_ratings!$A$2:$G$101,6,FALSE)</f>
        <v>1906</v>
      </c>
      <c r="R31">
        <f t="shared" si="4"/>
        <v>81</v>
      </c>
      <c r="S31">
        <f t="shared" si="5"/>
        <v>81</v>
      </c>
      <c r="T31" s="32">
        <f t="shared" si="6"/>
        <v>0.61450136100855779</v>
      </c>
      <c r="U31" s="33">
        <f>ROUND(Params_and_stats!$B$2*(T31-0.5),0)</f>
        <v>0</v>
      </c>
      <c r="V31">
        <f t="shared" si="7"/>
        <v>0</v>
      </c>
      <c r="W31">
        <f t="shared" si="8"/>
        <v>0</v>
      </c>
      <c r="X31">
        <f>VLOOKUP($D31,Qualifying_goals!$A$2:$G$33,7,FALSE)</f>
        <v>19</v>
      </c>
      <c r="Y31">
        <f>VLOOKUP($F31,Qualifying_goals!$A$2:$G$33,7,FALSE)</f>
        <v>14</v>
      </c>
      <c r="Z31">
        <f t="shared" si="9"/>
        <v>16.5</v>
      </c>
      <c r="AA31">
        <f>IF(Z31&lt;=Params_and_stats!$B$3,1,0)</f>
        <v>1</v>
      </c>
      <c r="AB31">
        <f t="shared" si="25"/>
        <v>1</v>
      </c>
      <c r="AC31">
        <f t="shared" si="26"/>
        <v>1</v>
      </c>
      <c r="AD31">
        <f t="shared" si="12"/>
        <v>0</v>
      </c>
      <c r="AE31">
        <f t="shared" si="13"/>
        <v>0</v>
      </c>
      <c r="AF31">
        <f t="shared" si="14"/>
        <v>2</v>
      </c>
      <c r="AG31">
        <v>1</v>
      </c>
      <c r="AH31">
        <v>0</v>
      </c>
      <c r="AI31">
        <f t="shared" si="15"/>
        <v>1</v>
      </c>
      <c r="AJ31">
        <f t="shared" si="16"/>
        <v>1</v>
      </c>
      <c r="AK31">
        <f t="shared" si="17"/>
        <v>1</v>
      </c>
      <c r="AL31">
        <f t="shared" si="18"/>
        <v>1</v>
      </c>
      <c r="AM31">
        <f t="shared" si="19"/>
        <v>0</v>
      </c>
      <c r="AN31">
        <f t="shared" si="20"/>
        <v>0</v>
      </c>
      <c r="AO31">
        <f t="shared" si="21"/>
        <v>0</v>
      </c>
      <c r="AP31">
        <f t="shared" si="22"/>
        <v>0</v>
      </c>
    </row>
    <row r="32" spans="1:42" x14ac:dyDescent="0.25">
      <c r="A32" s="2"/>
      <c r="B32" s="3">
        <v>0.79166666666666663</v>
      </c>
      <c r="C32" s="4"/>
      <c r="D32" s="5" t="s">
        <v>159</v>
      </c>
      <c r="E32" s="6" t="s">
        <v>147</v>
      </c>
      <c r="F32" s="7" t="s">
        <v>163</v>
      </c>
      <c r="G32" s="2"/>
      <c r="H32">
        <f t="shared" si="2"/>
        <v>1</v>
      </c>
      <c r="I32">
        <f>IF(OR(D32=Params_and_stats!$B$4, F32=Params_and_stats!$B$4), 1, 0)</f>
        <v>0</v>
      </c>
      <c r="J32">
        <f t="shared" si="23"/>
        <v>0</v>
      </c>
      <c r="K32">
        <f t="shared" si="3"/>
        <v>0</v>
      </c>
      <c r="L32">
        <f>VLOOKUP($D32,ELO_ratings!$A$2:$G$101,2,FALSE)</f>
        <v>5</v>
      </c>
      <c r="M32">
        <f>VLOOKUP($F32,ELO_ratings!$A$2:$G$101,2,FALSE)</f>
        <v>17</v>
      </c>
      <c r="N32">
        <f>VLOOKUP($D32,ELO_ratings!$A$2:$G$101,7,FALSE)</f>
        <v>5</v>
      </c>
      <c r="O32">
        <f>VLOOKUP($F32,ELO_ratings!$A$2:$G$101,7,FALSE)</f>
        <v>18</v>
      </c>
      <c r="P32">
        <f>VLOOKUP($D32,ELO_ratings!$A$2:$G$101,6,FALSE)</f>
        <v>1985</v>
      </c>
      <c r="Q32">
        <f>VLOOKUP($F32,ELO_ratings!$A$2:$G$101,6,FALSE)</f>
        <v>1853</v>
      </c>
      <c r="R32">
        <f t="shared" si="4"/>
        <v>132</v>
      </c>
      <c r="S32">
        <f t="shared" si="5"/>
        <v>132</v>
      </c>
      <c r="T32" s="32">
        <f t="shared" si="6"/>
        <v>0.68132183516639366</v>
      </c>
      <c r="U32" s="33">
        <f>ROUND(Params_and_stats!$B$2*(T32-0.5),0)</f>
        <v>1</v>
      </c>
      <c r="V32">
        <f t="shared" si="7"/>
        <v>1</v>
      </c>
      <c r="W32">
        <f t="shared" si="8"/>
        <v>1</v>
      </c>
      <c r="X32">
        <f>VLOOKUP($D32,Qualifying_goals!$A$2:$G$33,7,FALSE)</f>
        <v>29</v>
      </c>
      <c r="Y32">
        <f>VLOOKUP($F32,Qualifying_goals!$A$2:$G$33,7,FALSE)</f>
        <v>28</v>
      </c>
      <c r="Z32">
        <f t="shared" si="9"/>
        <v>28.5</v>
      </c>
      <c r="AA32">
        <f>IF(Z32&lt;=Params_and_stats!$B$3,1,0)</f>
        <v>0</v>
      </c>
      <c r="AB32">
        <f t="shared" si="25"/>
        <v>1</v>
      </c>
      <c r="AC32">
        <f t="shared" si="26"/>
        <v>0</v>
      </c>
      <c r="AD32">
        <f t="shared" si="12"/>
        <v>1</v>
      </c>
      <c r="AE32">
        <f t="shared" si="13"/>
        <v>1</v>
      </c>
      <c r="AF32">
        <f t="shared" si="14"/>
        <v>1</v>
      </c>
      <c r="AG32" s="83">
        <v>0</v>
      </c>
      <c r="AH32" s="83">
        <v>3</v>
      </c>
      <c r="AI32">
        <f t="shared" si="15"/>
        <v>-3</v>
      </c>
      <c r="AJ32">
        <f t="shared" si="16"/>
        <v>3</v>
      </c>
      <c r="AK32">
        <f t="shared" si="17"/>
        <v>1</v>
      </c>
      <c r="AL32">
        <f t="shared" si="18"/>
        <v>3</v>
      </c>
      <c r="AM32">
        <f t="shared" si="19"/>
        <v>0</v>
      </c>
      <c r="AN32">
        <f t="shared" si="20"/>
        <v>0</v>
      </c>
      <c r="AO32">
        <f t="shared" si="21"/>
        <v>0</v>
      </c>
      <c r="AP32">
        <f t="shared" si="22"/>
        <v>0</v>
      </c>
    </row>
    <row r="33" spans="1:42" ht="15" customHeight="1" x14ac:dyDescent="0.25">
      <c r="A33" s="86" t="s">
        <v>186</v>
      </c>
      <c r="B33" s="86"/>
      <c r="C33" s="86"/>
      <c r="D33" s="86"/>
      <c r="E33" s="86"/>
      <c r="F33" s="86"/>
      <c r="G33" s="86"/>
      <c r="H33">
        <f t="shared" si="2"/>
        <v>0</v>
      </c>
      <c r="I33">
        <f>IF(OR(D33=Params_and_stats!$B$4, F33=Params_and_stats!$B$4), 1, 0)</f>
        <v>0</v>
      </c>
      <c r="J33">
        <f t="shared" si="23"/>
        <v>0</v>
      </c>
      <c r="K33">
        <f t="shared" si="3"/>
        <v>0</v>
      </c>
      <c r="L33" t="e">
        <f>VLOOKUP($D33,ELO_ratings!$A$2:$G$101,2,FALSE)</f>
        <v>#N/A</v>
      </c>
      <c r="M33" t="e">
        <f>VLOOKUP($F33,ELO_ratings!$A$2:$G$101,2,FALSE)</f>
        <v>#N/A</v>
      </c>
      <c r="N33" t="e">
        <f>VLOOKUP($D33,ELO_ratings!$A$2:$G$101,7,FALSE)</f>
        <v>#N/A</v>
      </c>
      <c r="O33" t="e">
        <f>VLOOKUP($F33,ELO_ratings!$A$2:$G$101,7,FALSE)</f>
        <v>#N/A</v>
      </c>
      <c r="P33" t="e">
        <f>VLOOKUP($D33,ELO_ratings!$A$2:$G$101,6,FALSE)</f>
        <v>#N/A</v>
      </c>
      <c r="Q33" t="e">
        <f>VLOOKUP($F33,ELO_ratings!$A$2:$G$101,6,FALSE)</f>
        <v>#N/A</v>
      </c>
      <c r="R33" t="e">
        <f t="shared" si="4"/>
        <v>#N/A</v>
      </c>
      <c r="S33" t="e">
        <f t="shared" si="5"/>
        <v>#N/A</v>
      </c>
      <c r="T33" s="32" t="e">
        <f t="shared" si="6"/>
        <v>#N/A</v>
      </c>
      <c r="U33" s="33" t="e">
        <f>ROUND(Params_and_stats!$B$2*(T33-0.5),0)</f>
        <v>#N/A</v>
      </c>
      <c r="V33">
        <f t="shared" si="7"/>
        <v>0</v>
      </c>
      <c r="W33">
        <f t="shared" si="8"/>
        <v>0</v>
      </c>
      <c r="X33" t="e">
        <f>VLOOKUP($D33,Qualifying_goals!$A$2:$G$33,7,FALSE)</f>
        <v>#N/A</v>
      </c>
      <c r="Y33" t="e">
        <f>VLOOKUP($F33,Qualifying_goals!$A$2:$G$33,7,FALSE)</f>
        <v>#N/A</v>
      </c>
      <c r="Z33" t="e">
        <f t="shared" si="9"/>
        <v>#N/A</v>
      </c>
      <c r="AA33" t="e">
        <f>IF(Z33&lt;=Params_and_stats!$B$3,1,0)</f>
        <v>#N/A</v>
      </c>
      <c r="AB33" t="str">
        <f t="shared" si="25"/>
        <v/>
      </c>
      <c r="AC33" t="str">
        <f t="shared" si="26"/>
        <v/>
      </c>
      <c r="AD33" t="e">
        <f t="shared" si="12"/>
        <v>#VALUE!</v>
      </c>
      <c r="AE33">
        <f t="shared" si="13"/>
        <v>0</v>
      </c>
      <c r="AF33" t="str">
        <f t="shared" si="14"/>
        <v/>
      </c>
      <c r="AI33">
        <f t="shared" si="15"/>
        <v>0</v>
      </c>
      <c r="AJ33">
        <f t="shared" si="16"/>
        <v>0</v>
      </c>
      <c r="AK33">
        <f t="shared" si="17"/>
        <v>0</v>
      </c>
      <c r="AL33" t="str">
        <f t="shared" si="18"/>
        <v/>
      </c>
      <c r="AM33" t="str">
        <f t="shared" si="19"/>
        <v/>
      </c>
      <c r="AN33" t="str">
        <f t="shared" si="20"/>
        <v/>
      </c>
      <c r="AO33" t="str">
        <f t="shared" si="21"/>
        <v/>
      </c>
      <c r="AP33" t="str">
        <f t="shared" si="22"/>
        <v/>
      </c>
    </row>
    <row r="34" spans="1:42" x14ac:dyDescent="0.25">
      <c r="A34" s="2"/>
      <c r="B34" s="3">
        <v>0.54166666666666663</v>
      </c>
      <c r="C34" s="4"/>
      <c r="D34" s="5" t="s">
        <v>170</v>
      </c>
      <c r="E34" s="6" t="s">
        <v>147</v>
      </c>
      <c r="F34" s="7" t="s">
        <v>166</v>
      </c>
      <c r="G34" s="2"/>
      <c r="H34">
        <f t="shared" si="2"/>
        <v>1</v>
      </c>
      <c r="I34">
        <f>IF(OR(D34=Params_and_stats!$B$4, F34=Params_and_stats!$B$4), 1, 0)</f>
        <v>0</v>
      </c>
      <c r="J34">
        <f t="shared" si="23"/>
        <v>0</v>
      </c>
      <c r="K34">
        <f t="shared" si="3"/>
        <v>0</v>
      </c>
      <c r="L34">
        <f>VLOOKUP($D34,ELO_ratings!$A$2:$G$101,2,FALSE)</f>
        <v>1</v>
      </c>
      <c r="M34">
        <f>VLOOKUP($F34,ELO_ratings!$A$2:$G$101,2,FALSE)</f>
        <v>31</v>
      </c>
      <c r="N34">
        <f>VLOOKUP($D34,ELO_ratings!$A$2:$G$101,7,FALSE)</f>
        <v>2</v>
      </c>
      <c r="O34">
        <f>VLOOKUP($F34,ELO_ratings!$A$2:$G$101,7,FALSE)</f>
        <v>25</v>
      </c>
      <c r="P34">
        <f>VLOOKUP($D34,ELO_ratings!$A$2:$G$101,6,FALSE)</f>
        <v>2131</v>
      </c>
      <c r="Q34">
        <f>VLOOKUP($F34,ELO_ratings!$A$2:$G$101,6,FALSE)</f>
        <v>1745</v>
      </c>
      <c r="R34">
        <f t="shared" si="4"/>
        <v>386</v>
      </c>
      <c r="S34">
        <f t="shared" si="5"/>
        <v>386</v>
      </c>
      <c r="T34" s="32">
        <f t="shared" si="6"/>
        <v>0.90220732034509976</v>
      </c>
      <c r="U34" s="33">
        <f>ROUND(Params_and_stats!$B$2*(T34-0.5),0)</f>
        <v>2</v>
      </c>
      <c r="V34">
        <f t="shared" si="7"/>
        <v>2</v>
      </c>
      <c r="W34">
        <f t="shared" si="8"/>
        <v>1</v>
      </c>
      <c r="X34">
        <f>VLOOKUP($D34,Qualifying_goals!$A$2:$G$33,7,FALSE)</f>
        <v>10</v>
      </c>
      <c r="Y34">
        <f>VLOOKUP($F34,Qualifying_goals!$A$2:$G$33,7,FALSE)</f>
        <v>24</v>
      </c>
      <c r="Z34">
        <f t="shared" si="9"/>
        <v>17</v>
      </c>
      <c r="AA34">
        <f>IF(Z34&lt;=Params_and_stats!$B$3,1,0)</f>
        <v>1</v>
      </c>
      <c r="AB34">
        <f t="shared" si="25"/>
        <v>3</v>
      </c>
      <c r="AC34">
        <f t="shared" si="26"/>
        <v>1</v>
      </c>
      <c r="AD34">
        <f t="shared" si="12"/>
        <v>2</v>
      </c>
      <c r="AE34">
        <f t="shared" si="13"/>
        <v>2</v>
      </c>
      <c r="AF34">
        <f t="shared" si="14"/>
        <v>4</v>
      </c>
      <c r="AG34">
        <v>2</v>
      </c>
      <c r="AH34">
        <v>0</v>
      </c>
      <c r="AI34">
        <f t="shared" si="15"/>
        <v>2</v>
      </c>
      <c r="AJ34">
        <f t="shared" si="16"/>
        <v>2</v>
      </c>
      <c r="AK34">
        <f t="shared" si="17"/>
        <v>1</v>
      </c>
      <c r="AL34">
        <f t="shared" si="18"/>
        <v>2</v>
      </c>
      <c r="AM34">
        <f t="shared" si="19"/>
        <v>0</v>
      </c>
      <c r="AN34">
        <f t="shared" si="20"/>
        <v>1</v>
      </c>
      <c r="AO34">
        <f t="shared" si="21"/>
        <v>1</v>
      </c>
      <c r="AP34">
        <f t="shared" si="22"/>
        <v>2</v>
      </c>
    </row>
    <row r="35" spans="1:42" x14ac:dyDescent="0.25">
      <c r="A35" s="1"/>
      <c r="B35" s="14">
        <v>0.66666666666666663</v>
      </c>
      <c r="C35" s="15"/>
      <c r="D35" s="16" t="s">
        <v>164</v>
      </c>
      <c r="E35" s="17" t="s">
        <v>147</v>
      </c>
      <c r="F35" s="18" t="s">
        <v>160</v>
      </c>
      <c r="G35" s="1"/>
      <c r="H35">
        <f t="shared" si="2"/>
        <v>1</v>
      </c>
      <c r="I35">
        <f>IF(OR(D35=Params_and_stats!$B$4, F35=Params_and_stats!$B$4), 1, 0)</f>
        <v>0</v>
      </c>
      <c r="J35">
        <f t="shared" si="23"/>
        <v>0</v>
      </c>
      <c r="K35">
        <f t="shared" si="3"/>
        <v>0</v>
      </c>
      <c r="L35">
        <f>VLOOKUP($D35,ELO_ratings!$A$2:$G$101,2,FALSE)</f>
        <v>43</v>
      </c>
      <c r="M35">
        <f>VLOOKUP($F35,ELO_ratings!$A$2:$G$101,2,FALSE)</f>
        <v>21</v>
      </c>
      <c r="N35">
        <f>VLOOKUP($D35,ELO_ratings!$A$2:$G$101,7,FALSE)</f>
        <v>47</v>
      </c>
      <c r="O35">
        <f>VLOOKUP($F35,ELO_ratings!$A$2:$G$101,7,FALSE)</f>
        <v>23</v>
      </c>
      <c r="P35">
        <f>VLOOKUP($D35,ELO_ratings!$A$2:$G$101,6,FALSE)</f>
        <v>1693</v>
      </c>
      <c r="Q35">
        <f>VLOOKUP($F35,ELO_ratings!$A$2:$G$101,6,FALSE)</f>
        <v>1787</v>
      </c>
      <c r="R35">
        <f t="shared" si="4"/>
        <v>-94</v>
      </c>
      <c r="S35">
        <f t="shared" si="5"/>
        <v>-94</v>
      </c>
      <c r="T35" s="32">
        <f t="shared" si="6"/>
        <v>0.36792998789992643</v>
      </c>
      <c r="U35" s="33">
        <f>ROUND(Params_and_stats!$B$2*(T35-0.5),0)</f>
        <v>-1</v>
      </c>
      <c r="V35">
        <f t="shared" si="7"/>
        <v>1</v>
      </c>
      <c r="W35">
        <f t="shared" si="8"/>
        <v>1</v>
      </c>
      <c r="X35">
        <f>VLOOKUP($D35,Qualifying_goals!$A$2:$G$33,7,FALSE)</f>
        <v>20</v>
      </c>
      <c r="Y35">
        <f>VLOOKUP($F35,Qualifying_goals!$A$2:$G$33,7,FALSE)</f>
        <v>22</v>
      </c>
      <c r="Z35">
        <f t="shared" si="9"/>
        <v>21</v>
      </c>
      <c r="AA35">
        <f>IF(Z35&lt;=Params_and_stats!$B$3,1,0)</f>
        <v>0</v>
      </c>
      <c r="AB35">
        <f t="shared" si="25"/>
        <v>0</v>
      </c>
      <c r="AC35">
        <f t="shared" si="26"/>
        <v>1</v>
      </c>
      <c r="AD35">
        <f t="shared" si="12"/>
        <v>-1</v>
      </c>
      <c r="AE35">
        <f t="shared" si="13"/>
        <v>1</v>
      </c>
      <c r="AF35">
        <f t="shared" si="14"/>
        <v>1</v>
      </c>
      <c r="AG35" s="83">
        <v>2</v>
      </c>
      <c r="AH35" s="83">
        <v>0</v>
      </c>
      <c r="AI35">
        <f t="shared" si="15"/>
        <v>2</v>
      </c>
      <c r="AJ35">
        <f t="shared" si="16"/>
        <v>2</v>
      </c>
      <c r="AK35">
        <f t="shared" si="17"/>
        <v>1</v>
      </c>
      <c r="AL35">
        <f t="shared" si="18"/>
        <v>2</v>
      </c>
      <c r="AM35">
        <f t="shared" si="19"/>
        <v>0</v>
      </c>
      <c r="AN35">
        <f t="shared" si="20"/>
        <v>0</v>
      </c>
      <c r="AO35">
        <f t="shared" si="21"/>
        <v>0</v>
      </c>
      <c r="AP35">
        <f t="shared" si="22"/>
        <v>0</v>
      </c>
    </row>
    <row r="36" spans="1:42" x14ac:dyDescent="0.25">
      <c r="A36" s="2"/>
      <c r="B36" s="3">
        <v>0.79166666666666663</v>
      </c>
      <c r="C36" s="4"/>
      <c r="D36" s="5" t="s">
        <v>167</v>
      </c>
      <c r="E36" s="6" t="s">
        <v>147</v>
      </c>
      <c r="F36" s="7" t="s">
        <v>171</v>
      </c>
      <c r="G36" s="2"/>
      <c r="H36">
        <f t="shared" si="2"/>
        <v>1</v>
      </c>
      <c r="I36">
        <f>IF(OR(D36=Params_and_stats!$B$4, F36=Params_and_stats!$B$4), 1, 0)</f>
        <v>0</v>
      </c>
      <c r="J36">
        <f t="shared" si="23"/>
        <v>0</v>
      </c>
      <c r="K36">
        <f t="shared" si="3"/>
        <v>0</v>
      </c>
      <c r="L36">
        <f>VLOOKUP($D36,ELO_ratings!$A$2:$G$101,2,FALSE)</f>
        <v>24</v>
      </c>
      <c r="M36">
        <f>VLOOKUP($F36,ELO_ratings!$A$2:$G$101,2,FALSE)</f>
        <v>14</v>
      </c>
      <c r="N36">
        <f>VLOOKUP($D36,ELO_ratings!$A$2:$G$101,7,FALSE)</f>
        <v>35</v>
      </c>
      <c r="O36">
        <f>VLOOKUP($F36,ELO_ratings!$A$2:$G$101,7,FALSE)</f>
        <v>6</v>
      </c>
      <c r="P36">
        <f>VLOOKUP($D36,ELO_ratings!$A$2:$G$101,6,FALSE)</f>
        <v>1770</v>
      </c>
      <c r="Q36">
        <f>VLOOKUP($F36,ELO_ratings!$A$2:$G$101,6,FALSE)</f>
        <v>1879</v>
      </c>
      <c r="R36">
        <f t="shared" si="4"/>
        <v>-109</v>
      </c>
      <c r="S36">
        <f t="shared" si="5"/>
        <v>-109</v>
      </c>
      <c r="T36" s="32">
        <f t="shared" si="6"/>
        <v>0.34808796012533627</v>
      </c>
      <c r="U36" s="33">
        <f>ROUND(Params_and_stats!$B$2*(T36-0.5),0)</f>
        <v>-1</v>
      </c>
      <c r="V36">
        <f t="shared" si="7"/>
        <v>1</v>
      </c>
      <c r="W36">
        <f t="shared" si="8"/>
        <v>1</v>
      </c>
      <c r="X36">
        <f>VLOOKUP($D36,Qualifying_goals!$A$2:$G$33,7,FALSE)</f>
        <v>8</v>
      </c>
      <c r="Y36">
        <f>VLOOKUP($F36,Qualifying_goals!$A$2:$G$33,7,FALSE)</f>
        <v>17</v>
      </c>
      <c r="Z36">
        <f t="shared" si="9"/>
        <v>12.5</v>
      </c>
      <c r="AA36">
        <f>IF(Z36&lt;=Params_and_stats!$B$3,1,0)</f>
        <v>1</v>
      </c>
      <c r="AB36">
        <f t="shared" si="25"/>
        <v>1</v>
      </c>
      <c r="AC36">
        <f t="shared" si="26"/>
        <v>2</v>
      </c>
      <c r="AD36">
        <f t="shared" si="12"/>
        <v>-1</v>
      </c>
      <c r="AE36">
        <f t="shared" si="13"/>
        <v>1</v>
      </c>
      <c r="AF36">
        <f t="shared" si="14"/>
        <v>3</v>
      </c>
      <c r="AG36">
        <v>1</v>
      </c>
      <c r="AH36">
        <v>2</v>
      </c>
      <c r="AI36">
        <f t="shared" si="15"/>
        <v>-1</v>
      </c>
      <c r="AJ36">
        <f t="shared" si="16"/>
        <v>1</v>
      </c>
      <c r="AK36">
        <f t="shared" si="17"/>
        <v>1</v>
      </c>
      <c r="AL36">
        <f t="shared" si="18"/>
        <v>3</v>
      </c>
      <c r="AM36">
        <f t="shared" si="19"/>
        <v>1</v>
      </c>
      <c r="AN36">
        <f t="shared" si="20"/>
        <v>1</v>
      </c>
      <c r="AO36">
        <f t="shared" si="21"/>
        <v>1</v>
      </c>
      <c r="AP36">
        <f t="shared" si="22"/>
        <v>3</v>
      </c>
    </row>
    <row r="37" spans="1:42" ht="15" customHeight="1" x14ac:dyDescent="0.25">
      <c r="A37" s="86" t="s">
        <v>187</v>
      </c>
      <c r="B37" s="86"/>
      <c r="C37" s="86"/>
      <c r="D37" s="86"/>
      <c r="E37" s="86"/>
      <c r="F37" s="86"/>
      <c r="G37" s="86"/>
      <c r="H37">
        <f t="shared" si="2"/>
        <v>0</v>
      </c>
      <c r="I37">
        <f>IF(OR(D37=Params_and_stats!$B$4, F37=Params_and_stats!$B$4), 1, 0)</f>
        <v>0</v>
      </c>
      <c r="J37">
        <f t="shared" si="23"/>
        <v>0</v>
      </c>
      <c r="K37">
        <f t="shared" si="3"/>
        <v>0</v>
      </c>
      <c r="L37" t="e">
        <f>VLOOKUP($D37,ELO_ratings!$A$2:$G$101,2,FALSE)</f>
        <v>#N/A</v>
      </c>
      <c r="M37" t="e">
        <f>VLOOKUP($F37,ELO_ratings!$A$2:$G$101,2,FALSE)</f>
        <v>#N/A</v>
      </c>
      <c r="N37" t="e">
        <f>VLOOKUP($D37,ELO_ratings!$A$2:$G$101,7,FALSE)</f>
        <v>#N/A</v>
      </c>
      <c r="O37" t="e">
        <f>VLOOKUP($F37,ELO_ratings!$A$2:$G$101,7,FALSE)</f>
        <v>#N/A</v>
      </c>
      <c r="P37" t="e">
        <f>VLOOKUP($D37,ELO_ratings!$A$2:$G$101,6,FALSE)</f>
        <v>#N/A</v>
      </c>
      <c r="Q37" t="e">
        <f>VLOOKUP($F37,ELO_ratings!$A$2:$G$101,6,FALSE)</f>
        <v>#N/A</v>
      </c>
      <c r="R37" t="e">
        <f t="shared" si="4"/>
        <v>#N/A</v>
      </c>
      <c r="S37" t="e">
        <f t="shared" si="5"/>
        <v>#N/A</v>
      </c>
      <c r="T37" s="32" t="e">
        <f t="shared" si="6"/>
        <v>#N/A</v>
      </c>
      <c r="U37" s="33" t="e">
        <f>ROUND(Params_and_stats!$B$2*(T37-0.5),0)</f>
        <v>#N/A</v>
      </c>
      <c r="V37">
        <f t="shared" si="7"/>
        <v>0</v>
      </c>
      <c r="W37">
        <f t="shared" si="8"/>
        <v>0</v>
      </c>
      <c r="X37" t="e">
        <f>VLOOKUP($D37,Qualifying_goals!$A$2:$G$33,7,FALSE)</f>
        <v>#N/A</v>
      </c>
      <c r="Y37" t="e">
        <f>VLOOKUP($F37,Qualifying_goals!$A$2:$G$33,7,FALSE)</f>
        <v>#N/A</v>
      </c>
      <c r="Z37" t="e">
        <f t="shared" si="9"/>
        <v>#N/A</v>
      </c>
      <c r="AA37" t="e">
        <f>IF(Z37&lt;=Params_and_stats!$B$3,1,0)</f>
        <v>#N/A</v>
      </c>
      <c r="AB37" t="str">
        <f t="shared" si="25"/>
        <v/>
      </c>
      <c r="AC37" t="str">
        <f t="shared" si="26"/>
        <v/>
      </c>
      <c r="AD37" t="e">
        <f t="shared" si="12"/>
        <v>#VALUE!</v>
      </c>
      <c r="AE37">
        <f t="shared" si="13"/>
        <v>0</v>
      </c>
      <c r="AF37" t="str">
        <f t="shared" si="14"/>
        <v/>
      </c>
      <c r="AI37">
        <f t="shared" si="15"/>
        <v>0</v>
      </c>
      <c r="AJ37">
        <f t="shared" si="16"/>
        <v>0</v>
      </c>
      <c r="AK37">
        <f t="shared" si="17"/>
        <v>0</v>
      </c>
      <c r="AL37" t="str">
        <f t="shared" si="18"/>
        <v/>
      </c>
      <c r="AM37" t="str">
        <f t="shared" si="19"/>
        <v/>
      </c>
      <c r="AN37" t="str">
        <f t="shared" si="20"/>
        <v/>
      </c>
      <c r="AO37" t="str">
        <f t="shared" si="21"/>
        <v/>
      </c>
      <c r="AP37" t="str">
        <f t="shared" si="22"/>
        <v/>
      </c>
    </row>
    <row r="38" spans="1:42" x14ac:dyDescent="0.25">
      <c r="A38" s="2"/>
      <c r="B38" s="3">
        <v>0.54166666666666663</v>
      </c>
      <c r="C38" s="4"/>
      <c r="D38" s="5" t="s">
        <v>175</v>
      </c>
      <c r="E38" s="6" t="s">
        <v>147</v>
      </c>
      <c r="F38" s="7" t="s">
        <v>177</v>
      </c>
      <c r="G38" s="2"/>
      <c r="H38">
        <f t="shared" si="2"/>
        <v>1</v>
      </c>
      <c r="I38">
        <f>IF(OR(D38=Params_and_stats!$B$4, F38=Params_and_stats!$B$4), 1, 0)</f>
        <v>0</v>
      </c>
      <c r="J38">
        <f t="shared" si="23"/>
        <v>0</v>
      </c>
      <c r="K38">
        <f t="shared" si="3"/>
        <v>0</v>
      </c>
      <c r="L38">
        <f>VLOOKUP($D38,ELO_ratings!$A$2:$G$101,2,FALSE)</f>
        <v>9</v>
      </c>
      <c r="M38">
        <f>VLOOKUP($F38,ELO_ratings!$A$2:$G$101,2,FALSE)</f>
        <v>49</v>
      </c>
      <c r="N38">
        <f>VLOOKUP($D38,ELO_ratings!$A$2:$G$101,7,FALSE)</f>
        <v>3</v>
      </c>
      <c r="O38">
        <f>VLOOKUP($F38,ELO_ratings!$A$2:$G$101,7,FALSE)</f>
        <v>14</v>
      </c>
      <c r="P38">
        <f>VLOOKUP($D38,ELO_ratings!$A$2:$G$101,6,FALSE)</f>
        <v>1931</v>
      </c>
      <c r="Q38">
        <f>VLOOKUP($F38,ELO_ratings!$A$2:$G$101,6,FALSE)</f>
        <v>1657</v>
      </c>
      <c r="R38">
        <f t="shared" si="4"/>
        <v>274</v>
      </c>
      <c r="S38">
        <f t="shared" si="5"/>
        <v>274</v>
      </c>
      <c r="T38" s="32">
        <f t="shared" si="6"/>
        <v>0.82881764775427569</v>
      </c>
      <c r="U38" s="33">
        <f>ROUND(Params_and_stats!$B$2*(T38-0.5),0)</f>
        <v>1</v>
      </c>
      <c r="V38">
        <f t="shared" si="7"/>
        <v>1</v>
      </c>
      <c r="W38">
        <f t="shared" si="8"/>
        <v>1</v>
      </c>
      <c r="X38">
        <f>VLOOKUP($D38,Qualifying_goals!$A$2:$G$33,7,FALSE)</f>
        <v>1</v>
      </c>
      <c r="Y38">
        <f>VLOOKUP($F38,Qualifying_goals!$A$2:$G$33,7,FALSE)</f>
        <v>16</v>
      </c>
      <c r="Z38">
        <f t="shared" si="9"/>
        <v>8.5</v>
      </c>
      <c r="AA38">
        <f>IF(Z38&lt;=Params_and_stats!$B$3,1,0)</f>
        <v>1</v>
      </c>
      <c r="AB38">
        <f t="shared" si="25"/>
        <v>2</v>
      </c>
      <c r="AC38">
        <f t="shared" si="26"/>
        <v>1</v>
      </c>
      <c r="AD38">
        <f t="shared" si="12"/>
        <v>1</v>
      </c>
      <c r="AE38">
        <f t="shared" si="13"/>
        <v>1</v>
      </c>
      <c r="AF38">
        <f t="shared" si="14"/>
        <v>3</v>
      </c>
      <c r="AG38">
        <v>5</v>
      </c>
      <c r="AH38">
        <v>2</v>
      </c>
      <c r="AI38">
        <f t="shared" si="15"/>
        <v>3</v>
      </c>
      <c r="AJ38">
        <f t="shared" si="16"/>
        <v>3</v>
      </c>
      <c r="AK38">
        <f t="shared" si="17"/>
        <v>1</v>
      </c>
      <c r="AL38">
        <f t="shared" si="18"/>
        <v>7</v>
      </c>
      <c r="AM38">
        <f t="shared" si="19"/>
        <v>0</v>
      </c>
      <c r="AN38">
        <f t="shared" si="20"/>
        <v>0</v>
      </c>
      <c r="AO38">
        <f t="shared" si="21"/>
        <v>1</v>
      </c>
      <c r="AP38">
        <f t="shared" si="22"/>
        <v>1</v>
      </c>
    </row>
    <row r="39" spans="1:42" x14ac:dyDescent="0.25">
      <c r="A39" s="1"/>
      <c r="B39" s="14">
        <v>0.66666666666666663</v>
      </c>
      <c r="C39" s="15"/>
      <c r="D39" s="16" t="s">
        <v>174</v>
      </c>
      <c r="E39" s="17" t="s">
        <v>147</v>
      </c>
      <c r="F39" s="18" t="s">
        <v>169</v>
      </c>
      <c r="G39" s="1"/>
      <c r="H39">
        <f t="shared" si="2"/>
        <v>1</v>
      </c>
      <c r="I39">
        <f>IF(OR(D39=Params_and_stats!$B$4, F39=Params_and_stats!$B$4), 1, 0)</f>
        <v>0</v>
      </c>
      <c r="J39">
        <f t="shared" si="23"/>
        <v>0</v>
      </c>
      <c r="K39">
        <f t="shared" si="3"/>
        <v>0</v>
      </c>
      <c r="L39">
        <f>VLOOKUP($D39,ELO_ratings!$A$2:$G$101,2,FALSE)</f>
        <v>27</v>
      </c>
      <c r="M39">
        <f>VLOOKUP($F39,ELO_ratings!$A$2:$G$101,2,FALSE)</f>
        <v>16</v>
      </c>
      <c r="N39">
        <f>VLOOKUP($D39,ELO_ratings!$A$2:$G$101,7,FALSE)</f>
        <v>61</v>
      </c>
      <c r="O39">
        <f>VLOOKUP($F39,ELO_ratings!$A$2:$G$101,7,FALSE)</f>
        <v>15</v>
      </c>
      <c r="P39">
        <f>VLOOKUP($D39,ELO_ratings!$A$2:$G$101,6,FALSE)</f>
        <v>1751</v>
      </c>
      <c r="Q39">
        <f>VLOOKUP($F39,ELO_ratings!$A$2:$G$101,6,FALSE)</f>
        <v>1857</v>
      </c>
      <c r="R39">
        <f t="shared" si="4"/>
        <v>-106</v>
      </c>
      <c r="S39">
        <f t="shared" si="5"/>
        <v>-106</v>
      </c>
      <c r="T39" s="32">
        <f t="shared" si="6"/>
        <v>0.35201698674969428</v>
      </c>
      <c r="U39" s="33">
        <f>ROUND(Params_and_stats!$B$2*(T39-0.5),0)</f>
        <v>-1</v>
      </c>
      <c r="V39">
        <f t="shared" si="7"/>
        <v>1</v>
      </c>
      <c r="W39">
        <f t="shared" si="8"/>
        <v>1</v>
      </c>
      <c r="X39">
        <f>VLOOKUP($D39,Qualifying_goals!$A$2:$G$33,7,FALSE)</f>
        <v>15</v>
      </c>
      <c r="Y39">
        <f>VLOOKUP($F39,Qualifying_goals!$A$2:$G$33,7,FALSE)</f>
        <v>21</v>
      </c>
      <c r="Z39">
        <f t="shared" si="9"/>
        <v>18</v>
      </c>
      <c r="AA39">
        <f>IF(Z39&lt;=Params_and_stats!$B$3,1,0)</f>
        <v>1</v>
      </c>
      <c r="AB39">
        <f t="shared" si="25"/>
        <v>1</v>
      </c>
      <c r="AC39">
        <f t="shared" si="26"/>
        <v>2</v>
      </c>
      <c r="AD39">
        <f t="shared" si="12"/>
        <v>-1</v>
      </c>
      <c r="AE39">
        <f t="shared" si="13"/>
        <v>1</v>
      </c>
      <c r="AF39">
        <f t="shared" si="14"/>
        <v>3</v>
      </c>
      <c r="AG39">
        <v>1</v>
      </c>
      <c r="AH39">
        <v>2</v>
      </c>
      <c r="AI39">
        <f t="shared" si="15"/>
        <v>-1</v>
      </c>
      <c r="AJ39">
        <f t="shared" si="16"/>
        <v>1</v>
      </c>
      <c r="AK39">
        <f t="shared" si="17"/>
        <v>1</v>
      </c>
      <c r="AL39">
        <f t="shared" si="18"/>
        <v>3</v>
      </c>
      <c r="AM39">
        <f t="shared" si="19"/>
        <v>1</v>
      </c>
      <c r="AN39">
        <f t="shared" si="20"/>
        <v>1</v>
      </c>
      <c r="AO39">
        <f t="shared" si="21"/>
        <v>1</v>
      </c>
      <c r="AP39">
        <f t="shared" si="22"/>
        <v>3</v>
      </c>
    </row>
    <row r="40" spans="1:42" x14ac:dyDescent="0.25">
      <c r="A40" s="2"/>
      <c r="B40" s="3">
        <v>0.79166666666666663</v>
      </c>
      <c r="C40" s="4"/>
      <c r="D40" s="5" t="s">
        <v>168</v>
      </c>
      <c r="E40" s="6" t="s">
        <v>147</v>
      </c>
      <c r="F40" s="7" t="s">
        <v>173</v>
      </c>
      <c r="G40" s="2"/>
      <c r="H40">
        <f t="shared" si="2"/>
        <v>1</v>
      </c>
      <c r="I40">
        <f>IF(OR(D40=Params_and_stats!$B$4, F40=Params_and_stats!$B$4), 1, 0)</f>
        <v>0</v>
      </c>
      <c r="J40">
        <f t="shared" si="23"/>
        <v>0</v>
      </c>
      <c r="K40">
        <f t="shared" si="3"/>
        <v>0</v>
      </c>
      <c r="L40">
        <f>VLOOKUP($D40,ELO_ratings!$A$2:$G$101,2,FALSE)</f>
        <v>2</v>
      </c>
      <c r="M40">
        <f>VLOOKUP($F40,ELO_ratings!$A$2:$G$101,2,FALSE)</f>
        <v>20</v>
      </c>
      <c r="N40">
        <f>VLOOKUP($D40,ELO_ratings!$A$2:$G$101,7,FALSE)</f>
        <v>1</v>
      </c>
      <c r="O40">
        <f>VLOOKUP($F40,ELO_ratings!$A$2:$G$101,7,FALSE)</f>
        <v>22</v>
      </c>
      <c r="P40">
        <f>VLOOKUP($D40,ELO_ratings!$A$2:$G$101,6,FALSE)</f>
        <v>2092</v>
      </c>
      <c r="Q40">
        <f>VLOOKUP($F40,ELO_ratings!$A$2:$G$101,6,FALSE)</f>
        <v>1796</v>
      </c>
      <c r="R40">
        <f t="shared" si="4"/>
        <v>296</v>
      </c>
      <c r="S40">
        <f t="shared" si="5"/>
        <v>296</v>
      </c>
      <c r="T40" s="32">
        <f t="shared" si="6"/>
        <v>0.8460451004320948</v>
      </c>
      <c r="U40" s="33">
        <f>ROUND(Params_and_stats!$B$2*(T40-0.5),0)</f>
        <v>1</v>
      </c>
      <c r="V40">
        <f t="shared" si="7"/>
        <v>1</v>
      </c>
      <c r="W40">
        <f t="shared" si="8"/>
        <v>1</v>
      </c>
      <c r="X40">
        <f>VLOOKUP($D40,Qualifying_goals!$A$2:$G$33,7,FALSE)</f>
        <v>2</v>
      </c>
      <c r="Y40">
        <f>VLOOKUP($F40,Qualifying_goals!$A$2:$G$33,7,FALSE)</f>
        <v>8</v>
      </c>
      <c r="Z40">
        <f t="shared" si="9"/>
        <v>5</v>
      </c>
      <c r="AA40">
        <f>IF(Z40&lt;=Params_and_stats!$B$3,1,0)</f>
        <v>1</v>
      </c>
      <c r="AB40">
        <f t="shared" si="25"/>
        <v>2</v>
      </c>
      <c r="AC40">
        <f t="shared" si="26"/>
        <v>1</v>
      </c>
      <c r="AD40">
        <f t="shared" si="12"/>
        <v>1</v>
      </c>
      <c r="AE40">
        <f t="shared" si="13"/>
        <v>1</v>
      </c>
      <c r="AF40">
        <f t="shared" si="14"/>
        <v>3</v>
      </c>
      <c r="AG40">
        <v>2</v>
      </c>
      <c r="AH40">
        <v>1</v>
      </c>
      <c r="AI40">
        <f t="shared" si="15"/>
        <v>1</v>
      </c>
      <c r="AJ40">
        <f t="shared" si="16"/>
        <v>1</v>
      </c>
      <c r="AK40">
        <f t="shared" si="17"/>
        <v>1</v>
      </c>
      <c r="AL40">
        <f t="shared" si="18"/>
        <v>3</v>
      </c>
      <c r="AM40">
        <f t="shared" si="19"/>
        <v>1</v>
      </c>
      <c r="AN40">
        <f t="shared" si="20"/>
        <v>1</v>
      </c>
      <c r="AO40">
        <f t="shared" si="21"/>
        <v>1</v>
      </c>
      <c r="AP40">
        <f t="shared" si="22"/>
        <v>3</v>
      </c>
    </row>
    <row r="41" spans="1:42" ht="15" customHeight="1" x14ac:dyDescent="0.25">
      <c r="A41" s="86" t="s">
        <v>188</v>
      </c>
      <c r="B41" s="86"/>
      <c r="C41" s="86"/>
      <c r="D41" s="86"/>
      <c r="E41" s="86"/>
      <c r="F41" s="86"/>
      <c r="G41" s="86"/>
      <c r="H41">
        <f t="shared" si="2"/>
        <v>0</v>
      </c>
      <c r="I41">
        <f>IF(OR(D41=Params_and_stats!$B$4, F41=Params_and_stats!$B$4), 1, 0)</f>
        <v>0</v>
      </c>
      <c r="J41">
        <f t="shared" si="23"/>
        <v>0</v>
      </c>
      <c r="K41">
        <f t="shared" si="3"/>
        <v>0</v>
      </c>
      <c r="L41" t="e">
        <f>VLOOKUP($D41,ELO_ratings!$A$2:$G$101,2,FALSE)</f>
        <v>#N/A</v>
      </c>
      <c r="M41" t="e">
        <f>VLOOKUP($F41,ELO_ratings!$A$2:$G$101,2,FALSE)</f>
        <v>#N/A</v>
      </c>
      <c r="N41" t="e">
        <f>VLOOKUP($D41,ELO_ratings!$A$2:$G$101,7,FALSE)</f>
        <v>#N/A</v>
      </c>
      <c r="O41" t="e">
        <f>VLOOKUP($F41,ELO_ratings!$A$2:$G$101,7,FALSE)</f>
        <v>#N/A</v>
      </c>
      <c r="P41" t="e">
        <f>VLOOKUP($D41,ELO_ratings!$A$2:$G$101,6,FALSE)</f>
        <v>#N/A</v>
      </c>
      <c r="Q41" t="e">
        <f>VLOOKUP($F41,ELO_ratings!$A$2:$G$101,6,FALSE)</f>
        <v>#N/A</v>
      </c>
      <c r="R41" t="e">
        <f t="shared" si="4"/>
        <v>#N/A</v>
      </c>
      <c r="S41" t="e">
        <f t="shared" si="5"/>
        <v>#N/A</v>
      </c>
      <c r="T41" s="32" t="e">
        <f t="shared" si="6"/>
        <v>#N/A</v>
      </c>
      <c r="U41" s="33" t="e">
        <f>ROUND(Params_and_stats!$B$2*(T41-0.5),0)</f>
        <v>#N/A</v>
      </c>
      <c r="V41">
        <f t="shared" si="7"/>
        <v>0</v>
      </c>
      <c r="W41">
        <f t="shared" si="8"/>
        <v>0</v>
      </c>
      <c r="X41" t="e">
        <f>VLOOKUP($D41,Qualifying_goals!$A$2:$G$33,7,FALSE)</f>
        <v>#N/A</v>
      </c>
      <c r="Y41" t="e">
        <f>VLOOKUP($F41,Qualifying_goals!$A$2:$G$33,7,FALSE)</f>
        <v>#N/A</v>
      </c>
      <c r="Z41" t="e">
        <f t="shared" si="9"/>
        <v>#N/A</v>
      </c>
      <c r="AA41" t="e">
        <f>IF(Z41&lt;=Params_and_stats!$B$3,1,0)</f>
        <v>#N/A</v>
      </c>
      <c r="AB41" t="str">
        <f t="shared" si="25"/>
        <v/>
      </c>
      <c r="AC41" t="str">
        <f t="shared" si="26"/>
        <v/>
      </c>
      <c r="AD41" t="e">
        <f t="shared" si="12"/>
        <v>#VALUE!</v>
      </c>
      <c r="AE41">
        <f t="shared" si="13"/>
        <v>0</v>
      </c>
      <c r="AF41" t="str">
        <f t="shared" si="14"/>
        <v/>
      </c>
      <c r="AI41">
        <f t="shared" si="15"/>
        <v>0</v>
      </c>
      <c r="AJ41">
        <f t="shared" si="16"/>
        <v>0</v>
      </c>
      <c r="AK41">
        <f t="shared" si="17"/>
        <v>0</v>
      </c>
      <c r="AL41" t="str">
        <f t="shared" si="18"/>
        <v/>
      </c>
      <c r="AM41" t="str">
        <f t="shared" si="19"/>
        <v/>
      </c>
      <c r="AN41" t="str">
        <f t="shared" si="20"/>
        <v/>
      </c>
      <c r="AO41" t="str">
        <f t="shared" si="21"/>
        <v/>
      </c>
      <c r="AP41" t="str">
        <f t="shared" si="22"/>
        <v/>
      </c>
    </row>
    <row r="42" spans="1:42" x14ac:dyDescent="0.25">
      <c r="A42" s="2"/>
      <c r="B42" s="3">
        <v>0.54166666666666663</v>
      </c>
      <c r="C42" s="4"/>
      <c r="D42" s="5" t="s">
        <v>178</v>
      </c>
      <c r="E42" s="6" t="s">
        <v>147</v>
      </c>
      <c r="F42" s="7" t="s">
        <v>176</v>
      </c>
      <c r="G42" s="2"/>
      <c r="H42">
        <f t="shared" si="2"/>
        <v>1</v>
      </c>
      <c r="I42">
        <f>IF(OR(D42=Params_and_stats!$B$4, F42=Params_and_stats!$B$4), 1, 0)</f>
        <v>1</v>
      </c>
      <c r="J42">
        <f t="shared" si="23"/>
        <v>0</v>
      </c>
      <c r="K42">
        <f t="shared" si="3"/>
        <v>0</v>
      </c>
      <c r="L42">
        <f>VLOOKUP($D42,ELO_ratings!$A$2:$G$101,2,FALSE)</f>
        <v>7</v>
      </c>
      <c r="M42">
        <f>VLOOKUP($F42,ELO_ratings!$A$2:$G$101,2,FALSE)</f>
        <v>48</v>
      </c>
      <c r="N42">
        <f>VLOOKUP($D42,ELO_ratings!$A$2:$G$101,7,FALSE)</f>
        <v>13</v>
      </c>
      <c r="O42">
        <f>VLOOKUP($F42,ELO_ratings!$A$2:$G$101,7,FALSE)</f>
        <v>55</v>
      </c>
      <c r="P42">
        <f>VLOOKUP($D42,ELO_ratings!$A$2:$G$101,6,FALSE)</f>
        <v>1941</v>
      </c>
      <c r="Q42">
        <f>VLOOKUP($F42,ELO_ratings!$A$2:$G$101,6,FALSE)</f>
        <v>1669</v>
      </c>
      <c r="R42">
        <f t="shared" si="4"/>
        <v>272</v>
      </c>
      <c r="S42">
        <f t="shared" si="5"/>
        <v>272</v>
      </c>
      <c r="T42" s="32">
        <f t="shared" si="6"/>
        <v>0.82717801696313953</v>
      </c>
      <c r="U42" s="33">
        <f>ROUND(Params_and_stats!$B$2*(T42-0.5),0)</f>
        <v>1</v>
      </c>
      <c r="V42">
        <f t="shared" si="7"/>
        <v>1</v>
      </c>
      <c r="W42">
        <f t="shared" si="8"/>
        <v>1</v>
      </c>
      <c r="X42">
        <f>VLOOKUP($D42,Qualifying_goals!$A$2:$G$33,7,FALSE)</f>
        <v>27</v>
      </c>
      <c r="Y42">
        <f>VLOOKUP($F42,Qualifying_goals!$A$2:$G$33,7,FALSE)</f>
        <v>30</v>
      </c>
      <c r="Z42">
        <f t="shared" si="9"/>
        <v>28.5</v>
      </c>
      <c r="AA42">
        <f>IF(Z42&lt;=Params_and_stats!$B$3,1,0)</f>
        <v>0</v>
      </c>
      <c r="AB42">
        <f t="shared" si="25"/>
        <v>1</v>
      </c>
      <c r="AC42">
        <f t="shared" si="26"/>
        <v>0</v>
      </c>
      <c r="AD42">
        <f t="shared" si="12"/>
        <v>1</v>
      </c>
      <c r="AE42">
        <f t="shared" si="13"/>
        <v>1</v>
      </c>
      <c r="AF42">
        <f t="shared" si="14"/>
        <v>1</v>
      </c>
      <c r="AG42">
        <v>6</v>
      </c>
      <c r="AH42">
        <v>1</v>
      </c>
      <c r="AI42">
        <f t="shared" si="15"/>
        <v>5</v>
      </c>
      <c r="AJ42">
        <f t="shared" si="16"/>
        <v>5</v>
      </c>
      <c r="AK42">
        <f t="shared" si="17"/>
        <v>1</v>
      </c>
      <c r="AL42">
        <f t="shared" si="18"/>
        <v>7</v>
      </c>
      <c r="AM42">
        <f t="shared" si="19"/>
        <v>0</v>
      </c>
      <c r="AN42">
        <f t="shared" si="20"/>
        <v>0</v>
      </c>
      <c r="AO42">
        <f t="shared" si="21"/>
        <v>1</v>
      </c>
      <c r="AP42">
        <f t="shared" si="22"/>
        <v>1</v>
      </c>
    </row>
    <row r="43" spans="1:42" x14ac:dyDescent="0.25">
      <c r="A43" s="1"/>
      <c r="B43" s="14">
        <v>0.66666666666666663</v>
      </c>
      <c r="C43" s="15"/>
      <c r="D43" s="16" t="s">
        <v>181</v>
      </c>
      <c r="E43" s="17" t="s">
        <v>147</v>
      </c>
      <c r="F43" s="18" t="s">
        <v>183</v>
      </c>
      <c r="G43" s="1"/>
      <c r="H43">
        <f t="shared" si="2"/>
        <v>1</v>
      </c>
      <c r="I43">
        <f>IF(OR(D43=Params_and_stats!$B$4, F43=Params_and_stats!$B$4), 1, 0)</f>
        <v>0</v>
      </c>
      <c r="J43">
        <f t="shared" si="23"/>
        <v>0</v>
      </c>
      <c r="K43">
        <f t="shared" si="3"/>
        <v>0</v>
      </c>
      <c r="L43">
        <f>VLOOKUP($D43,ELO_ratings!$A$2:$G$101,2,FALSE)</f>
        <v>44</v>
      </c>
      <c r="M43">
        <f>VLOOKUP($F43,ELO_ratings!$A$2:$G$101,2,FALSE)</f>
        <v>28</v>
      </c>
      <c r="N43">
        <f>VLOOKUP($D43,ELO_ratings!$A$2:$G$101,7,FALSE)</f>
        <v>60</v>
      </c>
      <c r="O43">
        <f>VLOOKUP($F43,ELO_ratings!$A$2:$G$101,7,FALSE)</f>
        <v>28</v>
      </c>
      <c r="P43">
        <f>VLOOKUP($D43,ELO_ratings!$A$2:$G$101,6,FALSE)</f>
        <v>1692</v>
      </c>
      <c r="Q43">
        <f>VLOOKUP($F43,ELO_ratings!$A$2:$G$101,6,FALSE)</f>
        <v>1747</v>
      </c>
      <c r="R43">
        <f t="shared" si="4"/>
        <v>-55</v>
      </c>
      <c r="S43">
        <f t="shared" si="5"/>
        <v>-55</v>
      </c>
      <c r="T43" s="32">
        <f t="shared" si="6"/>
        <v>0.42150324765525726</v>
      </c>
      <c r="U43" s="33">
        <f>ROUND(Params_and_stats!$B$2*(T43-0.5),0)</f>
        <v>0</v>
      </c>
      <c r="V43">
        <f t="shared" si="7"/>
        <v>0</v>
      </c>
      <c r="W43">
        <f t="shared" si="8"/>
        <v>0</v>
      </c>
      <c r="X43">
        <f>VLOOKUP($D43,Qualifying_goals!$A$2:$G$33,7,FALSE)</f>
        <v>12</v>
      </c>
      <c r="Y43">
        <f>VLOOKUP($F43,Qualifying_goals!$A$2:$G$33,7,FALSE)</f>
        <v>18</v>
      </c>
      <c r="Z43">
        <f t="shared" si="9"/>
        <v>15</v>
      </c>
      <c r="AA43">
        <f>IF(Z43&lt;=Params_and_stats!$B$3,1,0)</f>
        <v>1</v>
      </c>
      <c r="AB43">
        <f t="shared" si="25"/>
        <v>1</v>
      </c>
      <c r="AC43">
        <f t="shared" si="26"/>
        <v>1</v>
      </c>
      <c r="AD43">
        <f t="shared" si="12"/>
        <v>0</v>
      </c>
      <c r="AE43">
        <f t="shared" si="13"/>
        <v>0</v>
      </c>
      <c r="AF43">
        <f t="shared" si="14"/>
        <v>2</v>
      </c>
      <c r="AG43">
        <v>2</v>
      </c>
      <c r="AH43">
        <v>2</v>
      </c>
      <c r="AI43">
        <f t="shared" si="15"/>
        <v>0</v>
      </c>
      <c r="AJ43">
        <f t="shared" si="16"/>
        <v>0</v>
      </c>
      <c r="AK43">
        <f t="shared" si="17"/>
        <v>0</v>
      </c>
      <c r="AL43">
        <f t="shared" si="18"/>
        <v>4</v>
      </c>
      <c r="AM43">
        <f t="shared" si="19"/>
        <v>0</v>
      </c>
      <c r="AN43">
        <f t="shared" si="20"/>
        <v>1</v>
      </c>
      <c r="AO43">
        <f t="shared" si="21"/>
        <v>1</v>
      </c>
      <c r="AP43">
        <f t="shared" si="22"/>
        <v>2</v>
      </c>
    </row>
    <row r="44" spans="1:42" x14ac:dyDescent="0.25">
      <c r="A44" s="2"/>
      <c r="B44" s="3">
        <v>0.79166666666666663</v>
      </c>
      <c r="C44" s="4"/>
      <c r="D44" s="5" t="s">
        <v>182</v>
      </c>
      <c r="E44" s="6" t="s">
        <v>147</v>
      </c>
      <c r="F44" s="7" t="s">
        <v>180</v>
      </c>
      <c r="G44" s="2"/>
      <c r="H44">
        <f t="shared" si="2"/>
        <v>1</v>
      </c>
      <c r="I44">
        <f>IF(OR(D44=Params_and_stats!$B$4, F44=Params_and_stats!$B$4), 1, 0)</f>
        <v>0</v>
      </c>
      <c r="J44">
        <f t="shared" si="23"/>
        <v>0</v>
      </c>
      <c r="K44">
        <f t="shared" si="3"/>
        <v>0</v>
      </c>
      <c r="L44">
        <f>VLOOKUP($D44,ELO_ratings!$A$2:$G$101,2,FALSE)</f>
        <v>19</v>
      </c>
      <c r="M44">
        <f>VLOOKUP($F44,ELO_ratings!$A$2:$G$101,2,FALSE)</f>
        <v>8</v>
      </c>
      <c r="N44">
        <f>VLOOKUP($D44,ELO_ratings!$A$2:$G$101,7,FALSE)</f>
        <v>10</v>
      </c>
      <c r="O44">
        <f>VLOOKUP($F44,ELO_ratings!$A$2:$G$101,7,FALSE)</f>
        <v>16</v>
      </c>
      <c r="P44">
        <f>VLOOKUP($D44,ELO_ratings!$A$2:$G$101,6,FALSE)</f>
        <v>1831</v>
      </c>
      <c r="Q44">
        <f>VLOOKUP($F44,ELO_ratings!$A$2:$G$101,6,FALSE)</f>
        <v>1935</v>
      </c>
      <c r="R44">
        <f t="shared" si="4"/>
        <v>-104</v>
      </c>
      <c r="S44">
        <f t="shared" si="5"/>
        <v>-104</v>
      </c>
      <c r="T44" s="32">
        <f t="shared" si="6"/>
        <v>0.35464754956061756</v>
      </c>
      <c r="U44" s="33">
        <f>ROUND(Params_and_stats!$B$2*(T44-0.5),0)</f>
        <v>-1</v>
      </c>
      <c r="V44">
        <f t="shared" si="7"/>
        <v>1</v>
      </c>
      <c r="W44">
        <f t="shared" si="8"/>
        <v>1</v>
      </c>
      <c r="X44">
        <f>VLOOKUP($D44,Qualifying_goals!$A$2:$G$33,7,FALSE)</f>
        <v>3</v>
      </c>
      <c r="Y44">
        <f>VLOOKUP($F44,Qualifying_goals!$A$2:$G$33,7,FALSE)</f>
        <v>25</v>
      </c>
      <c r="Z44">
        <f t="shared" si="9"/>
        <v>14</v>
      </c>
      <c r="AA44">
        <f>IF(Z44&lt;=Params_and_stats!$B$3,1,0)</f>
        <v>1</v>
      </c>
      <c r="AB44">
        <f t="shared" si="25"/>
        <v>1</v>
      </c>
      <c r="AC44">
        <f t="shared" si="26"/>
        <v>2</v>
      </c>
      <c r="AD44">
        <f t="shared" si="12"/>
        <v>-1</v>
      </c>
      <c r="AE44">
        <f t="shared" si="13"/>
        <v>1</v>
      </c>
      <c r="AF44">
        <f t="shared" si="14"/>
        <v>3</v>
      </c>
      <c r="AG44">
        <v>0</v>
      </c>
      <c r="AH44">
        <v>3</v>
      </c>
      <c r="AI44">
        <f t="shared" si="15"/>
        <v>-3</v>
      </c>
      <c r="AJ44">
        <f t="shared" si="16"/>
        <v>3</v>
      </c>
      <c r="AK44">
        <f t="shared" si="17"/>
        <v>1</v>
      </c>
      <c r="AL44">
        <f t="shared" si="18"/>
        <v>3</v>
      </c>
      <c r="AM44">
        <f t="shared" si="19"/>
        <v>0</v>
      </c>
      <c r="AN44">
        <f t="shared" si="20"/>
        <v>0</v>
      </c>
      <c r="AO44">
        <f t="shared" si="21"/>
        <v>1</v>
      </c>
      <c r="AP44">
        <f t="shared" si="22"/>
        <v>1</v>
      </c>
    </row>
    <row r="45" spans="1:42" ht="15" customHeight="1" x14ac:dyDescent="0.25">
      <c r="A45" s="86" t="s">
        <v>189</v>
      </c>
      <c r="B45" s="86"/>
      <c r="C45" s="86"/>
      <c r="D45" s="86"/>
      <c r="E45" s="86"/>
      <c r="F45" s="86"/>
      <c r="G45" s="86"/>
      <c r="H45">
        <f t="shared" si="2"/>
        <v>0</v>
      </c>
      <c r="I45">
        <f>IF(OR(D45=Params_and_stats!$B$4, F45=Params_and_stats!$B$4), 1, 0)</f>
        <v>0</v>
      </c>
      <c r="J45">
        <f t="shared" si="23"/>
        <v>0</v>
      </c>
      <c r="K45">
        <f t="shared" si="3"/>
        <v>0</v>
      </c>
      <c r="L45" t="e">
        <f>VLOOKUP($D45,ELO_ratings!$A$2:$G$101,2,FALSE)</f>
        <v>#N/A</v>
      </c>
      <c r="M45" t="e">
        <f>VLOOKUP($F45,ELO_ratings!$A$2:$G$101,2,FALSE)</f>
        <v>#N/A</v>
      </c>
      <c r="N45" t="e">
        <f>VLOOKUP($D45,ELO_ratings!$A$2:$G$101,7,FALSE)</f>
        <v>#N/A</v>
      </c>
      <c r="O45" t="e">
        <f>VLOOKUP($F45,ELO_ratings!$A$2:$G$101,7,FALSE)</f>
        <v>#N/A</v>
      </c>
      <c r="P45" t="e">
        <f>VLOOKUP($D45,ELO_ratings!$A$2:$G$101,6,FALSE)</f>
        <v>#N/A</v>
      </c>
      <c r="Q45" t="e">
        <f>VLOOKUP($F45,ELO_ratings!$A$2:$G$101,6,FALSE)</f>
        <v>#N/A</v>
      </c>
      <c r="R45" t="e">
        <f t="shared" si="4"/>
        <v>#N/A</v>
      </c>
      <c r="S45" t="e">
        <f t="shared" si="5"/>
        <v>#N/A</v>
      </c>
      <c r="T45" s="32" t="e">
        <f t="shared" si="6"/>
        <v>#N/A</v>
      </c>
      <c r="U45" s="33" t="e">
        <f>ROUND(Params_and_stats!$B$2*(T45-0.5),0)</f>
        <v>#N/A</v>
      </c>
      <c r="V45">
        <f t="shared" si="7"/>
        <v>0</v>
      </c>
      <c r="W45">
        <f t="shared" si="8"/>
        <v>0</v>
      </c>
      <c r="X45" t="e">
        <f>VLOOKUP($D45,Qualifying_goals!$A$2:$G$33,7,FALSE)</f>
        <v>#N/A</v>
      </c>
      <c r="Y45" t="e">
        <f>VLOOKUP($F45,Qualifying_goals!$A$2:$G$33,7,FALSE)</f>
        <v>#N/A</v>
      </c>
      <c r="Z45" t="e">
        <f t="shared" si="9"/>
        <v>#N/A</v>
      </c>
      <c r="AA45" t="e">
        <f>IF(Z45&lt;=Params_and_stats!$B$3,1,0)</f>
        <v>#N/A</v>
      </c>
      <c r="AB45" t="str">
        <f t="shared" si="25"/>
        <v/>
      </c>
      <c r="AC45" t="str">
        <f t="shared" si="26"/>
        <v/>
      </c>
      <c r="AD45" t="e">
        <f t="shared" si="12"/>
        <v>#VALUE!</v>
      </c>
      <c r="AE45">
        <f t="shared" si="13"/>
        <v>0</v>
      </c>
      <c r="AF45" t="str">
        <f t="shared" si="14"/>
        <v/>
      </c>
      <c r="AI45">
        <f t="shared" si="15"/>
        <v>0</v>
      </c>
      <c r="AJ45">
        <f t="shared" si="16"/>
        <v>0</v>
      </c>
      <c r="AK45">
        <f t="shared" si="17"/>
        <v>0</v>
      </c>
      <c r="AL45" t="str">
        <f t="shared" si="18"/>
        <v/>
      </c>
      <c r="AM45" t="str">
        <f t="shared" si="19"/>
        <v/>
      </c>
      <c r="AN45" t="str">
        <f t="shared" si="20"/>
        <v/>
      </c>
      <c r="AO45" t="str">
        <f t="shared" si="21"/>
        <v/>
      </c>
      <c r="AP45" t="str">
        <f t="shared" si="22"/>
        <v/>
      </c>
    </row>
    <row r="46" spans="1:42" x14ac:dyDescent="0.25">
      <c r="A46" s="2"/>
      <c r="B46" s="3">
        <v>0.625</v>
      </c>
      <c r="C46" s="4"/>
      <c r="D46" s="5" t="s">
        <v>148</v>
      </c>
      <c r="E46" s="6" t="s">
        <v>147</v>
      </c>
      <c r="F46" s="7" t="s">
        <v>150</v>
      </c>
      <c r="G46" s="2"/>
      <c r="H46">
        <f t="shared" si="2"/>
        <v>1</v>
      </c>
      <c r="I46">
        <f>IF(OR(D46=Params_and_stats!$B$4, F46=Params_and_stats!$B$4), 1, 0)</f>
        <v>0</v>
      </c>
      <c r="J46">
        <f t="shared" si="23"/>
        <v>0</v>
      </c>
      <c r="K46">
        <f t="shared" si="3"/>
        <v>0</v>
      </c>
      <c r="L46">
        <f>VLOOKUP($D46,ELO_ratings!$A$2:$G$101,2,FALSE)</f>
        <v>63</v>
      </c>
      <c r="M46">
        <f>VLOOKUP($F46,ELO_ratings!$A$2:$G$101,2,FALSE)</f>
        <v>52</v>
      </c>
      <c r="N46">
        <f>VLOOKUP($D46,ELO_ratings!$A$2:$G$101,7,FALSE)</f>
        <v>67</v>
      </c>
      <c r="O46">
        <f>VLOOKUP($F46,ELO_ratings!$A$2:$G$101,7,FALSE)</f>
        <v>46</v>
      </c>
      <c r="P46">
        <f>VLOOKUP($D46,ELO_ratings!$A$2:$G$101,6,FALSE)</f>
        <v>1597</v>
      </c>
      <c r="Q46">
        <f>VLOOKUP($F46,ELO_ratings!$A$2:$G$101,6,FALSE)</f>
        <v>1643</v>
      </c>
      <c r="R46">
        <f t="shared" si="4"/>
        <v>-46</v>
      </c>
      <c r="S46">
        <f t="shared" si="5"/>
        <v>-46</v>
      </c>
      <c r="T46" s="32">
        <f t="shared" si="6"/>
        <v>0.43418479693076684</v>
      </c>
      <c r="U46" s="33">
        <f>ROUND(Params_and_stats!$B$2*(T46-0.5),0)</f>
        <v>0</v>
      </c>
      <c r="V46">
        <f t="shared" si="7"/>
        <v>0</v>
      </c>
      <c r="W46">
        <f t="shared" si="8"/>
        <v>0</v>
      </c>
      <c r="X46">
        <f>VLOOKUP($D46,Qualifying_goals!$A$2:$G$33,7,FALSE)</f>
        <v>6</v>
      </c>
      <c r="Y46">
        <f>VLOOKUP($F46,Qualifying_goals!$A$2:$G$33,7,FALSE)</f>
        <v>26</v>
      </c>
      <c r="Z46">
        <f t="shared" si="9"/>
        <v>16</v>
      </c>
      <c r="AA46">
        <f>IF(Z46&lt;=Params_and_stats!$B$3,1,0)</f>
        <v>1</v>
      </c>
      <c r="AB46">
        <f t="shared" si="25"/>
        <v>1</v>
      </c>
      <c r="AC46">
        <f t="shared" si="26"/>
        <v>1</v>
      </c>
      <c r="AD46">
        <f t="shared" si="12"/>
        <v>0</v>
      </c>
      <c r="AE46">
        <f t="shared" si="13"/>
        <v>0</v>
      </c>
      <c r="AF46">
        <f t="shared" si="14"/>
        <v>2</v>
      </c>
      <c r="AG46">
        <v>2</v>
      </c>
      <c r="AH46">
        <v>1</v>
      </c>
      <c r="AI46">
        <f t="shared" si="15"/>
        <v>1</v>
      </c>
      <c r="AJ46">
        <f t="shared" si="16"/>
        <v>1</v>
      </c>
      <c r="AK46">
        <f t="shared" si="17"/>
        <v>1</v>
      </c>
      <c r="AL46">
        <f t="shared" si="18"/>
        <v>3</v>
      </c>
      <c r="AM46">
        <f t="shared" si="19"/>
        <v>0</v>
      </c>
      <c r="AN46">
        <f t="shared" si="20"/>
        <v>0</v>
      </c>
      <c r="AO46">
        <f t="shared" si="21"/>
        <v>0</v>
      </c>
      <c r="AP46">
        <f t="shared" si="22"/>
        <v>0</v>
      </c>
    </row>
    <row r="47" spans="1:42" x14ac:dyDescent="0.25">
      <c r="A47" s="1"/>
      <c r="B47" s="14">
        <v>0.625</v>
      </c>
      <c r="C47" s="15"/>
      <c r="D47" s="16" t="s">
        <v>151</v>
      </c>
      <c r="E47" s="17" t="s">
        <v>147</v>
      </c>
      <c r="F47" s="18" t="s">
        <v>146</v>
      </c>
      <c r="G47" s="1"/>
      <c r="H47">
        <f t="shared" si="2"/>
        <v>1</v>
      </c>
      <c r="I47">
        <f>IF(OR(D47=Params_and_stats!$B$4, F47=Params_and_stats!$B$4), 1, 0)</f>
        <v>0</v>
      </c>
      <c r="J47">
        <f t="shared" si="23"/>
        <v>0</v>
      </c>
      <c r="K47">
        <f t="shared" si="3"/>
        <v>1</v>
      </c>
      <c r="L47">
        <f>VLOOKUP($D47,ELO_ratings!$A$2:$G$101,2,FALSE)</f>
        <v>13</v>
      </c>
      <c r="M47">
        <f>VLOOKUP($F47,ELO_ratings!$A$2:$G$101,2,FALSE)</f>
        <v>45</v>
      </c>
      <c r="N47">
        <f>VLOOKUP($D47,ELO_ratings!$A$2:$G$101,7,FALSE)</f>
        <v>17</v>
      </c>
      <c r="O47">
        <f>VLOOKUP($F47,ELO_ratings!$A$2:$G$101,7,FALSE)</f>
        <v>66</v>
      </c>
      <c r="P47">
        <f>VLOOKUP($D47,ELO_ratings!$A$2:$G$101,6,FALSE)</f>
        <v>1891</v>
      </c>
      <c r="Q47">
        <f>VLOOKUP($F47,ELO_ratings!$A$2:$G$101,6,FALSE)</f>
        <v>1685</v>
      </c>
      <c r="R47">
        <f t="shared" si="4"/>
        <v>206</v>
      </c>
      <c r="S47">
        <f t="shared" si="5"/>
        <v>106</v>
      </c>
      <c r="T47" s="32">
        <f t="shared" si="6"/>
        <v>0.64798301325030572</v>
      </c>
      <c r="U47" s="33">
        <f>ROUND(Params_and_stats!$B$2*(T47-0.5),0)</f>
        <v>1</v>
      </c>
      <c r="V47">
        <f t="shared" si="7"/>
        <v>1</v>
      </c>
      <c r="W47">
        <f t="shared" si="8"/>
        <v>1</v>
      </c>
      <c r="X47">
        <f>VLOOKUP($D47,Qualifying_goals!$A$2:$G$33,7,FALSE)</f>
        <v>11</v>
      </c>
      <c r="Y47">
        <f>VLOOKUP($F47,Qualifying_goals!$A$2:$G$33,7,FALSE)</f>
        <v>16</v>
      </c>
      <c r="Z47">
        <f t="shared" si="9"/>
        <v>13.5</v>
      </c>
      <c r="AA47">
        <f>IF(Z47&lt;=Params_and_stats!$B$3,1,0)</f>
        <v>1</v>
      </c>
      <c r="AB47">
        <f t="shared" si="25"/>
        <v>2</v>
      </c>
      <c r="AC47">
        <f t="shared" si="26"/>
        <v>1</v>
      </c>
      <c r="AD47">
        <f t="shared" si="12"/>
        <v>1</v>
      </c>
      <c r="AE47">
        <f t="shared" si="13"/>
        <v>1</v>
      </c>
      <c r="AF47">
        <f t="shared" si="14"/>
        <v>3</v>
      </c>
      <c r="AG47">
        <v>3</v>
      </c>
      <c r="AH47">
        <v>0</v>
      </c>
      <c r="AI47">
        <f t="shared" si="15"/>
        <v>3</v>
      </c>
      <c r="AJ47">
        <f t="shared" si="16"/>
        <v>3</v>
      </c>
      <c r="AK47">
        <f t="shared" si="17"/>
        <v>1</v>
      </c>
      <c r="AL47">
        <f t="shared" si="18"/>
        <v>3</v>
      </c>
      <c r="AM47">
        <f t="shared" si="19"/>
        <v>0</v>
      </c>
      <c r="AN47">
        <f t="shared" si="20"/>
        <v>0</v>
      </c>
      <c r="AO47">
        <f t="shared" si="21"/>
        <v>1</v>
      </c>
      <c r="AP47">
        <f t="shared" si="22"/>
        <v>1</v>
      </c>
    </row>
    <row r="48" spans="1:42" x14ac:dyDescent="0.25">
      <c r="A48" s="2"/>
      <c r="B48" s="3">
        <v>0.79166666666666663</v>
      </c>
      <c r="C48" s="4"/>
      <c r="D48" s="5" t="s">
        <v>155</v>
      </c>
      <c r="E48" s="6" t="s">
        <v>147</v>
      </c>
      <c r="F48" s="7" t="s">
        <v>152</v>
      </c>
      <c r="G48" s="2"/>
      <c r="H48">
        <f t="shared" si="2"/>
        <v>1</v>
      </c>
      <c r="I48">
        <f>IF(OR(D48=Params_and_stats!$B$4, F48=Params_and_stats!$B$4), 1, 0)</f>
        <v>0</v>
      </c>
      <c r="J48">
        <f t="shared" si="23"/>
        <v>0</v>
      </c>
      <c r="K48">
        <f t="shared" si="3"/>
        <v>0</v>
      </c>
      <c r="L48">
        <f>VLOOKUP($D48,ELO_ratings!$A$2:$G$101,2,FALSE)</f>
        <v>3</v>
      </c>
      <c r="M48">
        <f>VLOOKUP($F48,ELO_ratings!$A$2:$G$101,2,FALSE)</f>
        <v>41</v>
      </c>
      <c r="N48">
        <f>VLOOKUP($D48,ELO_ratings!$A$2:$G$101,7,FALSE)</f>
        <v>8</v>
      </c>
      <c r="O48">
        <f>VLOOKUP($F48,ELO_ratings!$A$2:$G$101,7,FALSE)</f>
        <v>42</v>
      </c>
      <c r="P48">
        <f>VLOOKUP($D48,ELO_ratings!$A$2:$G$101,6,FALSE)</f>
        <v>2049</v>
      </c>
      <c r="Q48">
        <f>VLOOKUP($F48,ELO_ratings!$A$2:$G$101,6,FALSE)</f>
        <v>1711</v>
      </c>
      <c r="R48">
        <f t="shared" si="4"/>
        <v>338</v>
      </c>
      <c r="S48">
        <f t="shared" si="5"/>
        <v>338</v>
      </c>
      <c r="T48" s="32">
        <f t="shared" si="6"/>
        <v>0.8749753069983639</v>
      </c>
      <c r="U48" s="33">
        <f>ROUND(Params_and_stats!$B$2*(T48-0.5),0)</f>
        <v>1</v>
      </c>
      <c r="V48">
        <f t="shared" si="7"/>
        <v>1</v>
      </c>
      <c r="W48">
        <f t="shared" si="8"/>
        <v>1</v>
      </c>
      <c r="X48">
        <f>VLOOKUP($D48,Qualifying_goals!$A$2:$G$33,7,FALSE)</f>
        <v>4</v>
      </c>
      <c r="Y48">
        <f>VLOOKUP($F48,Qualifying_goals!$A$2:$G$33,7,FALSE)</f>
        <v>31</v>
      </c>
      <c r="Z48">
        <f t="shared" si="9"/>
        <v>17.5</v>
      </c>
      <c r="AA48">
        <f>IF(Z48&lt;=Params_and_stats!$B$3,1,0)</f>
        <v>1</v>
      </c>
      <c r="AB48">
        <f t="shared" si="25"/>
        <v>2</v>
      </c>
      <c r="AC48">
        <f t="shared" si="26"/>
        <v>1</v>
      </c>
      <c r="AD48">
        <f t="shared" si="12"/>
        <v>1</v>
      </c>
      <c r="AE48">
        <f t="shared" si="13"/>
        <v>1</v>
      </c>
      <c r="AF48">
        <f t="shared" si="14"/>
        <v>3</v>
      </c>
      <c r="AG48">
        <v>2</v>
      </c>
      <c r="AH48">
        <v>2</v>
      </c>
      <c r="AI48">
        <f t="shared" si="15"/>
        <v>0</v>
      </c>
      <c r="AJ48">
        <f t="shared" si="16"/>
        <v>0</v>
      </c>
      <c r="AK48">
        <f t="shared" si="17"/>
        <v>0</v>
      </c>
      <c r="AL48">
        <f t="shared" si="18"/>
        <v>4</v>
      </c>
      <c r="AM48">
        <f t="shared" si="19"/>
        <v>0</v>
      </c>
      <c r="AN48">
        <f t="shared" si="20"/>
        <v>0</v>
      </c>
      <c r="AO48">
        <f t="shared" si="21"/>
        <v>0</v>
      </c>
      <c r="AP48">
        <f t="shared" si="22"/>
        <v>0</v>
      </c>
    </row>
    <row r="49" spans="1:42" x14ac:dyDescent="0.25">
      <c r="A49" s="1"/>
      <c r="B49" s="14">
        <v>0.79166666666666663</v>
      </c>
      <c r="C49" s="15"/>
      <c r="D49" s="16" t="s">
        <v>153</v>
      </c>
      <c r="E49" s="17" t="s">
        <v>147</v>
      </c>
      <c r="F49" s="18" t="s">
        <v>154</v>
      </c>
      <c r="G49" s="1"/>
      <c r="H49">
        <f t="shared" si="2"/>
        <v>1</v>
      </c>
      <c r="I49">
        <f>IF(OR(D49=Params_and_stats!$B$4, F49=Params_and_stats!$B$4), 1, 0)</f>
        <v>0</v>
      </c>
      <c r="J49">
        <f t="shared" si="23"/>
        <v>0</v>
      </c>
      <c r="K49">
        <f t="shared" si="3"/>
        <v>0</v>
      </c>
      <c r="L49">
        <f>VLOOKUP($D49,ELO_ratings!$A$2:$G$101,2,FALSE)</f>
        <v>21</v>
      </c>
      <c r="M49">
        <f>VLOOKUP($F49,ELO_ratings!$A$2:$G$101,2,FALSE)</f>
        <v>6</v>
      </c>
      <c r="N49">
        <f>VLOOKUP($D49,ELO_ratings!$A$2:$G$101,7,FALSE)</f>
        <v>36</v>
      </c>
      <c r="O49">
        <f>VLOOKUP($F49,ELO_ratings!$A$2:$G$101,7,FALSE)</f>
        <v>4</v>
      </c>
      <c r="P49">
        <f>VLOOKUP($D49,ELO_ratings!$A$2:$G$101,6,FALSE)</f>
        <v>1787</v>
      </c>
      <c r="Q49">
        <f>VLOOKUP($F49,ELO_ratings!$A$2:$G$101,6,FALSE)</f>
        <v>1967</v>
      </c>
      <c r="R49">
        <f t="shared" si="4"/>
        <v>-180</v>
      </c>
      <c r="S49">
        <f t="shared" si="5"/>
        <v>-180</v>
      </c>
      <c r="T49" s="32">
        <f t="shared" si="6"/>
        <v>0.26189096745958135</v>
      </c>
      <c r="U49" s="33">
        <f>ROUND(Params_and_stats!$B$2*(T49-0.5),0)</f>
        <v>-1</v>
      </c>
      <c r="V49">
        <f t="shared" si="7"/>
        <v>1</v>
      </c>
      <c r="W49">
        <f t="shared" si="8"/>
        <v>1</v>
      </c>
      <c r="X49">
        <f>VLOOKUP($D49,Qualifying_goals!$A$2:$G$33,7,FALSE)</f>
        <v>23</v>
      </c>
      <c r="Y49">
        <f>VLOOKUP($F49,Qualifying_goals!$A$2:$G$33,7,FALSE)</f>
        <v>5</v>
      </c>
      <c r="Z49">
        <f t="shared" si="9"/>
        <v>14</v>
      </c>
      <c r="AA49">
        <f>IF(Z49&lt;=Params_and_stats!$B$3,1,0)</f>
        <v>1</v>
      </c>
      <c r="AB49">
        <f t="shared" si="25"/>
        <v>1</v>
      </c>
      <c r="AC49">
        <f t="shared" si="26"/>
        <v>2</v>
      </c>
      <c r="AD49">
        <f t="shared" si="12"/>
        <v>-1</v>
      </c>
      <c r="AE49">
        <f t="shared" si="13"/>
        <v>1</v>
      </c>
      <c r="AF49">
        <f t="shared" si="14"/>
        <v>3</v>
      </c>
      <c r="AG49">
        <v>1</v>
      </c>
      <c r="AH49">
        <v>1</v>
      </c>
      <c r="AI49">
        <f t="shared" si="15"/>
        <v>0</v>
      </c>
      <c r="AJ49">
        <f t="shared" si="16"/>
        <v>0</v>
      </c>
      <c r="AK49">
        <f t="shared" si="17"/>
        <v>0</v>
      </c>
      <c r="AL49">
        <f t="shared" si="18"/>
        <v>2</v>
      </c>
      <c r="AM49">
        <f t="shared" si="19"/>
        <v>0</v>
      </c>
      <c r="AN49">
        <f t="shared" si="20"/>
        <v>0</v>
      </c>
      <c r="AO49">
        <f t="shared" si="21"/>
        <v>0</v>
      </c>
      <c r="AP49">
        <f t="shared" si="22"/>
        <v>0</v>
      </c>
    </row>
    <row r="50" spans="1:42" ht="15" customHeight="1" x14ac:dyDescent="0.25">
      <c r="A50" s="86" t="s">
        <v>190</v>
      </c>
      <c r="B50" s="86"/>
      <c r="C50" s="86"/>
      <c r="D50" s="86"/>
      <c r="E50" s="86"/>
      <c r="F50" s="86"/>
      <c r="G50" s="86"/>
      <c r="H50">
        <f t="shared" si="2"/>
        <v>0</v>
      </c>
      <c r="I50">
        <f>IF(OR(D50=Params_and_stats!$B$4, F50=Params_and_stats!$B$4), 1, 0)</f>
        <v>0</v>
      </c>
      <c r="J50">
        <f t="shared" si="23"/>
        <v>0</v>
      </c>
      <c r="K50">
        <f t="shared" si="3"/>
        <v>0</v>
      </c>
      <c r="L50" t="e">
        <f>VLOOKUP($D50,ELO_ratings!$A$2:$G$101,2,FALSE)</f>
        <v>#N/A</v>
      </c>
      <c r="M50" t="e">
        <f>VLOOKUP($F50,ELO_ratings!$A$2:$G$101,2,FALSE)</f>
        <v>#N/A</v>
      </c>
      <c r="N50" t="e">
        <f>VLOOKUP($D50,ELO_ratings!$A$2:$G$101,7,FALSE)</f>
        <v>#N/A</v>
      </c>
      <c r="O50" t="e">
        <f>VLOOKUP($F50,ELO_ratings!$A$2:$G$101,7,FALSE)</f>
        <v>#N/A</v>
      </c>
      <c r="P50" t="e">
        <f>VLOOKUP($D50,ELO_ratings!$A$2:$G$101,6,FALSE)</f>
        <v>#N/A</v>
      </c>
      <c r="Q50" t="e">
        <f>VLOOKUP($F50,ELO_ratings!$A$2:$G$101,6,FALSE)</f>
        <v>#N/A</v>
      </c>
      <c r="R50" t="e">
        <f t="shared" si="4"/>
        <v>#N/A</v>
      </c>
      <c r="S50" t="e">
        <f t="shared" si="5"/>
        <v>#N/A</v>
      </c>
      <c r="T50" s="32" t="e">
        <f t="shared" si="6"/>
        <v>#N/A</v>
      </c>
      <c r="U50" s="33" t="e">
        <f>ROUND(Params_and_stats!$B$2*(T50-0.5),0)</f>
        <v>#N/A</v>
      </c>
      <c r="V50">
        <f t="shared" si="7"/>
        <v>0</v>
      </c>
      <c r="W50">
        <f t="shared" si="8"/>
        <v>0</v>
      </c>
      <c r="X50" t="e">
        <f>VLOOKUP($D50,Qualifying_goals!$A$2:$G$33,7,FALSE)</f>
        <v>#N/A</v>
      </c>
      <c r="Y50" t="e">
        <f>VLOOKUP($F50,Qualifying_goals!$A$2:$G$33,7,FALSE)</f>
        <v>#N/A</v>
      </c>
      <c r="Z50" t="e">
        <f t="shared" si="9"/>
        <v>#N/A</v>
      </c>
      <c r="AA50" t="e">
        <f>IF(Z50&lt;=Params_and_stats!$B$3,1,0)</f>
        <v>#N/A</v>
      </c>
      <c r="AB50" t="str">
        <f t="shared" si="25"/>
        <v/>
      </c>
      <c r="AC50" t="str">
        <f t="shared" si="26"/>
        <v/>
      </c>
      <c r="AD50" t="e">
        <f t="shared" si="12"/>
        <v>#VALUE!</v>
      </c>
      <c r="AE50">
        <f t="shared" si="13"/>
        <v>0</v>
      </c>
      <c r="AF50" t="str">
        <f t="shared" si="14"/>
        <v/>
      </c>
      <c r="AI50">
        <f t="shared" si="15"/>
        <v>0</v>
      </c>
      <c r="AJ50">
        <f t="shared" si="16"/>
        <v>0</v>
      </c>
      <c r="AK50">
        <f t="shared" si="17"/>
        <v>0</v>
      </c>
      <c r="AL50" t="str">
        <f t="shared" si="18"/>
        <v/>
      </c>
      <c r="AM50" t="str">
        <f t="shared" si="19"/>
        <v/>
      </c>
      <c r="AN50" t="str">
        <f t="shared" si="20"/>
        <v/>
      </c>
      <c r="AO50" t="str">
        <f t="shared" si="21"/>
        <v/>
      </c>
      <c r="AP50" t="str">
        <f t="shared" si="22"/>
        <v/>
      </c>
    </row>
    <row r="51" spans="1:42" x14ac:dyDescent="0.25">
      <c r="A51" s="2"/>
      <c r="B51" s="3">
        <v>0.625</v>
      </c>
      <c r="C51" s="4"/>
      <c r="D51" s="5" t="s">
        <v>158</v>
      </c>
      <c r="E51" s="6" t="s">
        <v>147</v>
      </c>
      <c r="F51" s="7" t="s">
        <v>161</v>
      </c>
      <c r="G51" s="2"/>
      <c r="H51">
        <f t="shared" si="2"/>
        <v>1</v>
      </c>
      <c r="I51">
        <f>IF(OR(D51=Params_and_stats!$B$4, F51=Params_and_stats!$B$4), 1, 0)</f>
        <v>0</v>
      </c>
      <c r="J51">
        <f t="shared" si="23"/>
        <v>0</v>
      </c>
      <c r="K51">
        <f t="shared" si="3"/>
        <v>0</v>
      </c>
      <c r="L51">
        <f>VLOOKUP($D51,ELO_ratings!$A$2:$G$101,2,FALSE)</f>
        <v>40</v>
      </c>
      <c r="M51">
        <f>VLOOKUP($F51,ELO_ratings!$A$2:$G$101,2,FALSE)</f>
        <v>11</v>
      </c>
      <c r="N51">
        <f>VLOOKUP($D51,ELO_ratings!$A$2:$G$101,7,FALSE)</f>
        <v>40</v>
      </c>
      <c r="O51">
        <f>VLOOKUP($F51,ELO_ratings!$A$2:$G$101,7,FALSE)</f>
        <v>11</v>
      </c>
      <c r="P51">
        <f>VLOOKUP($D51,ELO_ratings!$A$2:$G$101,6,FALSE)</f>
        <v>1714</v>
      </c>
      <c r="Q51">
        <f>VLOOKUP($F51,ELO_ratings!$A$2:$G$101,6,FALSE)</f>
        <v>1906</v>
      </c>
      <c r="R51">
        <f t="shared" si="4"/>
        <v>-192</v>
      </c>
      <c r="S51">
        <f t="shared" si="5"/>
        <v>-192</v>
      </c>
      <c r="T51" s="32">
        <f t="shared" si="6"/>
        <v>0.2487592064662893</v>
      </c>
      <c r="U51" s="33">
        <f>ROUND(Params_and_stats!$B$2*(T51-0.5),0)</f>
        <v>-1</v>
      </c>
      <c r="V51">
        <f t="shared" si="7"/>
        <v>1</v>
      </c>
      <c r="W51">
        <f t="shared" si="8"/>
        <v>1</v>
      </c>
      <c r="X51">
        <f>VLOOKUP($D51,Qualifying_goals!$A$2:$G$33,7,FALSE)</f>
        <v>7</v>
      </c>
      <c r="Y51">
        <f>VLOOKUP($F51,Qualifying_goals!$A$2:$G$33,7,FALSE)</f>
        <v>14</v>
      </c>
      <c r="Z51">
        <f t="shared" si="9"/>
        <v>10.5</v>
      </c>
      <c r="AA51">
        <f>IF(Z51&lt;=Params_and_stats!$B$3,1,0)</f>
        <v>1</v>
      </c>
      <c r="AB51">
        <f t="shared" si="25"/>
        <v>1</v>
      </c>
      <c r="AC51">
        <f t="shared" si="26"/>
        <v>2</v>
      </c>
      <c r="AD51">
        <f t="shared" si="12"/>
        <v>-1</v>
      </c>
      <c r="AE51">
        <f t="shared" si="13"/>
        <v>1</v>
      </c>
      <c r="AF51">
        <f t="shared" si="14"/>
        <v>3</v>
      </c>
      <c r="AG51">
        <v>0</v>
      </c>
      <c r="AH51">
        <v>2</v>
      </c>
      <c r="AI51">
        <f t="shared" si="15"/>
        <v>-2</v>
      </c>
      <c r="AJ51">
        <f t="shared" si="16"/>
        <v>2</v>
      </c>
      <c r="AK51">
        <f t="shared" si="17"/>
        <v>1</v>
      </c>
      <c r="AL51">
        <f t="shared" si="18"/>
        <v>2</v>
      </c>
      <c r="AM51">
        <f t="shared" si="19"/>
        <v>0</v>
      </c>
      <c r="AN51">
        <f t="shared" si="20"/>
        <v>0</v>
      </c>
      <c r="AO51">
        <f t="shared" si="21"/>
        <v>1</v>
      </c>
      <c r="AP51">
        <f t="shared" si="22"/>
        <v>1</v>
      </c>
    </row>
    <row r="52" spans="1:42" x14ac:dyDescent="0.25">
      <c r="A52" s="1"/>
      <c r="B52" s="14">
        <v>0.625</v>
      </c>
      <c r="C52" s="15"/>
      <c r="D52" s="16" t="s">
        <v>162</v>
      </c>
      <c r="E52" s="17" t="s">
        <v>147</v>
      </c>
      <c r="F52" s="18" t="s">
        <v>157</v>
      </c>
      <c r="G52" s="1"/>
      <c r="H52">
        <f t="shared" si="2"/>
        <v>1</v>
      </c>
      <c r="I52">
        <f>IF(OR(D52=Params_and_stats!$B$4, F52=Params_and_stats!$B$4), 1, 0)</f>
        <v>0</v>
      </c>
      <c r="J52">
        <f t="shared" si="23"/>
        <v>0</v>
      </c>
      <c r="K52">
        <f t="shared" si="3"/>
        <v>0</v>
      </c>
      <c r="L52">
        <f>VLOOKUP($D52,ELO_ratings!$A$2:$G$101,2,FALSE)</f>
        <v>18</v>
      </c>
      <c r="M52">
        <f>VLOOKUP($F52,ELO_ratings!$A$2:$G$101,2,FALSE)</f>
        <v>4</v>
      </c>
      <c r="N52">
        <f>VLOOKUP($D52,ELO_ratings!$A$2:$G$101,7,FALSE)</f>
        <v>12</v>
      </c>
      <c r="O52">
        <f>VLOOKUP($F52,ELO_ratings!$A$2:$G$101,7,FALSE)</f>
        <v>7</v>
      </c>
      <c r="P52">
        <f>VLOOKUP($D52,ELO_ratings!$A$2:$G$101,6,FALSE)</f>
        <v>1843</v>
      </c>
      <c r="Q52">
        <f>VLOOKUP($F52,ELO_ratings!$A$2:$G$101,6,FALSE)</f>
        <v>1987</v>
      </c>
      <c r="R52">
        <f t="shared" si="4"/>
        <v>-144</v>
      </c>
      <c r="S52">
        <f t="shared" si="5"/>
        <v>-144</v>
      </c>
      <c r="T52" s="32">
        <f t="shared" si="6"/>
        <v>0.30387122957040019</v>
      </c>
      <c r="U52" s="33">
        <f>ROUND(Params_and_stats!$B$2*(T52-0.5),0)</f>
        <v>-1</v>
      </c>
      <c r="V52">
        <f t="shared" si="7"/>
        <v>1</v>
      </c>
      <c r="W52">
        <f t="shared" si="8"/>
        <v>1</v>
      </c>
      <c r="X52">
        <f>VLOOKUP($D52,Qualifying_goals!$A$2:$G$33,7,FALSE)</f>
        <v>12</v>
      </c>
      <c r="Y52">
        <f>VLOOKUP($F52,Qualifying_goals!$A$2:$G$33,7,FALSE)</f>
        <v>19</v>
      </c>
      <c r="Z52">
        <f t="shared" si="9"/>
        <v>15.5</v>
      </c>
      <c r="AA52">
        <f>IF(Z52&lt;=Params_and_stats!$B$3,1,0)</f>
        <v>1</v>
      </c>
      <c r="AB52">
        <f t="shared" si="25"/>
        <v>1</v>
      </c>
      <c r="AC52">
        <f t="shared" si="26"/>
        <v>2</v>
      </c>
      <c r="AD52">
        <f t="shared" si="12"/>
        <v>-1</v>
      </c>
      <c r="AE52">
        <f t="shared" si="13"/>
        <v>1</v>
      </c>
      <c r="AF52">
        <f t="shared" si="14"/>
        <v>3</v>
      </c>
      <c r="AG52">
        <v>0</v>
      </c>
      <c r="AH52">
        <v>0</v>
      </c>
      <c r="AI52">
        <f t="shared" si="15"/>
        <v>0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0</v>
      </c>
      <c r="AP52">
        <f t="shared" si="22"/>
        <v>0</v>
      </c>
    </row>
    <row r="53" spans="1:42" x14ac:dyDescent="0.25">
      <c r="A53" s="2"/>
      <c r="B53" s="3">
        <v>0.79166666666666663</v>
      </c>
      <c r="C53" s="4"/>
      <c r="D53" s="5" t="s">
        <v>164</v>
      </c>
      <c r="E53" s="6" t="s">
        <v>147</v>
      </c>
      <c r="F53" s="7" t="s">
        <v>159</v>
      </c>
      <c r="G53" s="2"/>
      <c r="H53">
        <f t="shared" si="2"/>
        <v>1</v>
      </c>
      <c r="I53">
        <f>IF(OR(D53=Params_and_stats!$B$4, F53=Params_and_stats!$B$4), 1, 0)</f>
        <v>0</v>
      </c>
      <c r="J53">
        <f t="shared" si="23"/>
        <v>0</v>
      </c>
      <c r="K53">
        <f t="shared" si="3"/>
        <v>0</v>
      </c>
      <c r="L53">
        <f>VLOOKUP($D53,ELO_ratings!$A$2:$G$101,2,FALSE)</f>
        <v>43</v>
      </c>
      <c r="M53">
        <f>VLOOKUP($F53,ELO_ratings!$A$2:$G$101,2,FALSE)</f>
        <v>5</v>
      </c>
      <c r="N53">
        <f>VLOOKUP($D53,ELO_ratings!$A$2:$G$101,7,FALSE)</f>
        <v>47</v>
      </c>
      <c r="O53">
        <f>VLOOKUP($F53,ELO_ratings!$A$2:$G$101,7,FALSE)</f>
        <v>5</v>
      </c>
      <c r="P53">
        <f>VLOOKUP($D53,ELO_ratings!$A$2:$G$101,6,FALSE)</f>
        <v>1693</v>
      </c>
      <c r="Q53">
        <f>VLOOKUP($F53,ELO_ratings!$A$2:$G$101,6,FALSE)</f>
        <v>1985</v>
      </c>
      <c r="R53">
        <f t="shared" si="4"/>
        <v>-292</v>
      </c>
      <c r="S53">
        <f t="shared" si="5"/>
        <v>-292</v>
      </c>
      <c r="T53" s="32">
        <f t="shared" si="6"/>
        <v>0.15697803558596379</v>
      </c>
      <c r="U53" s="33">
        <f>ROUND(Params_and_stats!$B$2*(T53-0.5),0)</f>
        <v>-1</v>
      </c>
      <c r="V53">
        <f t="shared" si="7"/>
        <v>1</v>
      </c>
      <c r="W53">
        <f t="shared" si="8"/>
        <v>1</v>
      </c>
      <c r="X53">
        <f>VLOOKUP($D53,Qualifying_goals!$A$2:$G$33,7,FALSE)</f>
        <v>20</v>
      </c>
      <c r="Y53">
        <f>VLOOKUP($F53,Qualifying_goals!$A$2:$G$33,7,FALSE)</f>
        <v>29</v>
      </c>
      <c r="Z53">
        <f t="shared" si="9"/>
        <v>24.5</v>
      </c>
      <c r="AA53">
        <f>IF(Z53&lt;=Params_and_stats!$B$3,1,0)</f>
        <v>0</v>
      </c>
      <c r="AB53">
        <f t="shared" si="25"/>
        <v>0</v>
      </c>
      <c r="AC53">
        <f t="shared" si="26"/>
        <v>1</v>
      </c>
      <c r="AD53">
        <f t="shared" si="12"/>
        <v>-1</v>
      </c>
      <c r="AE53">
        <f t="shared" si="13"/>
        <v>1</v>
      </c>
      <c r="AF53">
        <f t="shared" si="14"/>
        <v>1</v>
      </c>
      <c r="AG53">
        <v>1</v>
      </c>
      <c r="AH53">
        <v>2</v>
      </c>
      <c r="AI53">
        <f t="shared" si="15"/>
        <v>-1</v>
      </c>
      <c r="AJ53">
        <f t="shared" si="16"/>
        <v>1</v>
      </c>
      <c r="AK53">
        <f t="shared" si="17"/>
        <v>1</v>
      </c>
      <c r="AL53">
        <f t="shared" si="18"/>
        <v>3</v>
      </c>
      <c r="AM53">
        <f t="shared" si="19"/>
        <v>0</v>
      </c>
      <c r="AN53">
        <f t="shared" si="20"/>
        <v>1</v>
      </c>
      <c r="AO53">
        <f t="shared" si="21"/>
        <v>1</v>
      </c>
      <c r="AP53">
        <f t="shared" si="22"/>
        <v>2</v>
      </c>
    </row>
    <row r="54" spans="1:42" x14ac:dyDescent="0.25">
      <c r="A54" s="1"/>
      <c r="B54" s="14">
        <v>0.79166666666666663</v>
      </c>
      <c r="C54" s="15"/>
      <c r="D54" s="16" t="s">
        <v>160</v>
      </c>
      <c r="E54" s="17" t="s">
        <v>147</v>
      </c>
      <c r="F54" s="18" t="s">
        <v>163</v>
      </c>
      <c r="G54" s="1"/>
      <c r="H54">
        <f t="shared" si="2"/>
        <v>1</v>
      </c>
      <c r="I54">
        <f>IF(OR(D54=Params_and_stats!$B$4, F54=Params_and_stats!$B$4), 1, 0)</f>
        <v>0</v>
      </c>
      <c r="J54">
        <f t="shared" si="23"/>
        <v>0</v>
      </c>
      <c r="K54">
        <f t="shared" si="3"/>
        <v>0</v>
      </c>
      <c r="L54">
        <f>VLOOKUP($D54,ELO_ratings!$A$2:$G$101,2,FALSE)</f>
        <v>21</v>
      </c>
      <c r="M54">
        <f>VLOOKUP($F54,ELO_ratings!$A$2:$G$101,2,FALSE)</f>
        <v>17</v>
      </c>
      <c r="N54">
        <f>VLOOKUP($D54,ELO_ratings!$A$2:$G$101,7,FALSE)</f>
        <v>23</v>
      </c>
      <c r="O54">
        <f>VLOOKUP($F54,ELO_ratings!$A$2:$G$101,7,FALSE)</f>
        <v>18</v>
      </c>
      <c r="P54">
        <f>VLOOKUP($D54,ELO_ratings!$A$2:$G$101,6,FALSE)</f>
        <v>1787</v>
      </c>
      <c r="Q54">
        <f>VLOOKUP($F54,ELO_ratings!$A$2:$G$101,6,FALSE)</f>
        <v>1853</v>
      </c>
      <c r="R54">
        <f t="shared" si="4"/>
        <v>-66</v>
      </c>
      <c r="S54">
        <f t="shared" si="5"/>
        <v>-66</v>
      </c>
      <c r="T54" s="32">
        <f t="shared" si="6"/>
        <v>0.40614461476382219</v>
      </c>
      <c r="U54" s="33">
        <f>ROUND(Params_and_stats!$B$2*(T54-0.5),0)</f>
        <v>0</v>
      </c>
      <c r="V54">
        <f t="shared" si="7"/>
        <v>0</v>
      </c>
      <c r="W54">
        <f t="shared" si="8"/>
        <v>0</v>
      </c>
      <c r="X54">
        <f>VLOOKUP($D54,Qualifying_goals!$A$2:$G$33,7,FALSE)</f>
        <v>22</v>
      </c>
      <c r="Y54">
        <f>VLOOKUP($F54,Qualifying_goals!$A$2:$G$33,7,FALSE)</f>
        <v>28</v>
      </c>
      <c r="Z54">
        <f t="shared" si="9"/>
        <v>25</v>
      </c>
      <c r="AA54">
        <f>IF(Z54&lt;=Params_and_stats!$B$3,1,0)</f>
        <v>0</v>
      </c>
      <c r="AB54">
        <f t="shared" si="25"/>
        <v>0</v>
      </c>
      <c r="AC54">
        <f t="shared" si="26"/>
        <v>0</v>
      </c>
      <c r="AD54">
        <f t="shared" si="12"/>
        <v>0</v>
      </c>
      <c r="AE54">
        <f t="shared" si="13"/>
        <v>0</v>
      </c>
      <c r="AF54">
        <f t="shared" si="14"/>
        <v>0</v>
      </c>
      <c r="AG54">
        <v>1</v>
      </c>
      <c r="AH54">
        <v>2</v>
      </c>
      <c r="AI54">
        <f t="shared" si="15"/>
        <v>-1</v>
      </c>
      <c r="AJ54">
        <f t="shared" si="16"/>
        <v>1</v>
      </c>
      <c r="AK54">
        <f t="shared" si="17"/>
        <v>1</v>
      </c>
      <c r="AL54">
        <f t="shared" si="18"/>
        <v>3</v>
      </c>
      <c r="AM54">
        <f t="shared" si="19"/>
        <v>0</v>
      </c>
      <c r="AN54">
        <f t="shared" si="20"/>
        <v>0</v>
      </c>
      <c r="AO54">
        <f t="shared" si="21"/>
        <v>0</v>
      </c>
      <c r="AP54">
        <f t="shared" si="22"/>
        <v>0</v>
      </c>
    </row>
    <row r="55" spans="1:42" ht="15" customHeight="1" x14ac:dyDescent="0.25">
      <c r="A55" s="86" t="s">
        <v>191</v>
      </c>
      <c r="B55" s="86"/>
      <c r="C55" s="86"/>
      <c r="D55" s="86"/>
      <c r="E55" s="86"/>
      <c r="F55" s="86"/>
      <c r="G55" s="86"/>
      <c r="H55">
        <f t="shared" si="2"/>
        <v>0</v>
      </c>
      <c r="I55">
        <f>IF(OR(D55=Params_and_stats!$B$4, F55=Params_and_stats!$B$4), 1, 0)</f>
        <v>0</v>
      </c>
      <c r="J55">
        <f t="shared" si="23"/>
        <v>0</v>
      </c>
      <c r="K55">
        <f t="shared" si="3"/>
        <v>0</v>
      </c>
      <c r="L55" t="e">
        <f>VLOOKUP($D55,ELO_ratings!$A$2:$G$101,2,FALSE)</f>
        <v>#N/A</v>
      </c>
      <c r="M55" t="e">
        <f>VLOOKUP($F55,ELO_ratings!$A$2:$G$101,2,FALSE)</f>
        <v>#N/A</v>
      </c>
      <c r="N55" t="e">
        <f>VLOOKUP($D55,ELO_ratings!$A$2:$G$101,7,FALSE)</f>
        <v>#N/A</v>
      </c>
      <c r="O55" t="e">
        <f>VLOOKUP($F55,ELO_ratings!$A$2:$G$101,7,FALSE)</f>
        <v>#N/A</v>
      </c>
      <c r="P55" t="e">
        <f>VLOOKUP($D55,ELO_ratings!$A$2:$G$101,6,FALSE)</f>
        <v>#N/A</v>
      </c>
      <c r="Q55" t="e">
        <f>VLOOKUP($F55,ELO_ratings!$A$2:$G$101,6,FALSE)</f>
        <v>#N/A</v>
      </c>
      <c r="R55" t="e">
        <f t="shared" si="4"/>
        <v>#N/A</v>
      </c>
      <c r="S55" t="e">
        <f t="shared" si="5"/>
        <v>#N/A</v>
      </c>
      <c r="T55" s="32" t="e">
        <f t="shared" si="6"/>
        <v>#N/A</v>
      </c>
      <c r="U55" s="33" t="e">
        <f>ROUND(Params_and_stats!$B$2*(T55-0.5),0)</f>
        <v>#N/A</v>
      </c>
      <c r="V55">
        <f t="shared" si="7"/>
        <v>0</v>
      </c>
      <c r="W55">
        <f t="shared" si="8"/>
        <v>0</v>
      </c>
      <c r="X55" t="e">
        <f>VLOOKUP($D55,Qualifying_goals!$A$2:$G$33,7,FALSE)</f>
        <v>#N/A</v>
      </c>
      <c r="Y55" t="e">
        <f>VLOOKUP($F55,Qualifying_goals!$A$2:$G$33,7,FALSE)</f>
        <v>#N/A</v>
      </c>
      <c r="Z55" t="e">
        <f t="shared" si="9"/>
        <v>#N/A</v>
      </c>
      <c r="AA55" t="e">
        <f>IF(Z55&lt;=Params_and_stats!$B$3,1,0)</f>
        <v>#N/A</v>
      </c>
      <c r="AB55" t="str">
        <f t="shared" si="25"/>
        <v/>
      </c>
      <c r="AC55" t="str">
        <f t="shared" si="26"/>
        <v/>
      </c>
      <c r="AD55" t="e">
        <f t="shared" si="12"/>
        <v>#VALUE!</v>
      </c>
      <c r="AE55">
        <f t="shared" si="13"/>
        <v>0</v>
      </c>
      <c r="AF55" t="str">
        <f t="shared" si="14"/>
        <v/>
      </c>
      <c r="AI55">
        <f t="shared" si="15"/>
        <v>0</v>
      </c>
      <c r="AJ55">
        <f t="shared" si="16"/>
        <v>0</v>
      </c>
      <c r="AK55">
        <f t="shared" si="17"/>
        <v>0</v>
      </c>
      <c r="AL55" t="str">
        <f t="shared" si="18"/>
        <v/>
      </c>
      <c r="AM55" t="str">
        <f t="shared" si="19"/>
        <v/>
      </c>
      <c r="AN55" t="str">
        <f t="shared" si="20"/>
        <v/>
      </c>
      <c r="AO55" t="str">
        <f t="shared" si="21"/>
        <v/>
      </c>
      <c r="AP55" t="str">
        <f t="shared" si="22"/>
        <v/>
      </c>
    </row>
    <row r="56" spans="1:42" x14ac:dyDescent="0.25">
      <c r="A56" s="2"/>
      <c r="B56" s="3">
        <v>0.625</v>
      </c>
      <c r="C56" s="4"/>
      <c r="D56" s="5" t="s">
        <v>174</v>
      </c>
      <c r="E56" s="6" t="s">
        <v>147</v>
      </c>
      <c r="F56" s="7" t="s">
        <v>168</v>
      </c>
      <c r="G56" s="2"/>
      <c r="H56">
        <f t="shared" si="2"/>
        <v>1</v>
      </c>
      <c r="I56">
        <f>IF(OR(D56=Params_and_stats!$B$4, F56=Params_and_stats!$B$4), 1, 0)</f>
        <v>0</v>
      </c>
      <c r="J56">
        <f t="shared" si="23"/>
        <v>0</v>
      </c>
      <c r="K56">
        <f t="shared" si="3"/>
        <v>0</v>
      </c>
      <c r="L56">
        <f>VLOOKUP($D56,ELO_ratings!$A$2:$G$101,2,FALSE)</f>
        <v>27</v>
      </c>
      <c r="M56">
        <f>VLOOKUP($F56,ELO_ratings!$A$2:$G$101,2,FALSE)</f>
        <v>2</v>
      </c>
      <c r="N56">
        <f>VLOOKUP($D56,ELO_ratings!$A$2:$G$101,7,FALSE)</f>
        <v>61</v>
      </c>
      <c r="O56">
        <f>VLOOKUP($F56,ELO_ratings!$A$2:$G$101,7,FALSE)</f>
        <v>1</v>
      </c>
      <c r="P56">
        <f>VLOOKUP($D56,ELO_ratings!$A$2:$G$101,6,FALSE)</f>
        <v>1751</v>
      </c>
      <c r="Q56">
        <f>VLOOKUP($F56,ELO_ratings!$A$2:$G$101,6,FALSE)</f>
        <v>2092</v>
      </c>
      <c r="R56">
        <f t="shared" si="4"/>
        <v>-341</v>
      </c>
      <c r="S56">
        <f t="shared" si="5"/>
        <v>-341</v>
      </c>
      <c r="T56" s="32">
        <f t="shared" si="6"/>
        <v>0.12314773491920297</v>
      </c>
      <c r="U56" s="33">
        <f>ROUND(Params_and_stats!$B$2*(T56-0.5),0)</f>
        <v>-2</v>
      </c>
      <c r="V56">
        <f t="shared" si="7"/>
        <v>2</v>
      </c>
      <c r="W56">
        <f t="shared" si="8"/>
        <v>1</v>
      </c>
      <c r="X56">
        <f>VLOOKUP($D56,Qualifying_goals!$A$2:$G$33,7,FALSE)</f>
        <v>15</v>
      </c>
      <c r="Y56">
        <f>VLOOKUP($F56,Qualifying_goals!$A$2:$G$33,7,FALSE)</f>
        <v>2</v>
      </c>
      <c r="Z56">
        <f t="shared" si="9"/>
        <v>8.5</v>
      </c>
      <c r="AA56">
        <f>IF(Z56&lt;=Params_and_stats!$B$3,1,0)</f>
        <v>1</v>
      </c>
      <c r="AB56">
        <f t="shared" si="25"/>
        <v>1</v>
      </c>
      <c r="AC56">
        <f>IF(H56&lt;&gt;1,"",IF(U56&gt;0,1*AA56,-U56+(1*AA56)))</f>
        <v>3</v>
      </c>
      <c r="AD56">
        <f t="shared" si="12"/>
        <v>-2</v>
      </c>
      <c r="AE56">
        <f t="shared" si="13"/>
        <v>2</v>
      </c>
      <c r="AF56">
        <f t="shared" si="14"/>
        <v>4</v>
      </c>
      <c r="AG56" s="83">
        <v>2</v>
      </c>
      <c r="AH56" s="83">
        <v>0</v>
      </c>
      <c r="AI56">
        <f t="shared" si="15"/>
        <v>2</v>
      </c>
      <c r="AJ56">
        <f t="shared" si="16"/>
        <v>2</v>
      </c>
      <c r="AK56">
        <f t="shared" si="17"/>
        <v>1</v>
      </c>
      <c r="AL56">
        <f t="shared" si="18"/>
        <v>2</v>
      </c>
      <c r="AM56">
        <f t="shared" si="19"/>
        <v>0</v>
      </c>
      <c r="AN56">
        <f t="shared" si="20"/>
        <v>0</v>
      </c>
      <c r="AO56">
        <f t="shared" si="21"/>
        <v>0</v>
      </c>
      <c r="AP56">
        <f t="shared" si="22"/>
        <v>0</v>
      </c>
    </row>
    <row r="57" spans="1:42" x14ac:dyDescent="0.25">
      <c r="A57" s="1"/>
      <c r="B57" s="14">
        <v>0.625</v>
      </c>
      <c r="C57" s="15"/>
      <c r="D57" s="16" t="s">
        <v>169</v>
      </c>
      <c r="E57" s="17" t="s">
        <v>147</v>
      </c>
      <c r="F57" s="18" t="s">
        <v>173</v>
      </c>
      <c r="G57" s="1"/>
      <c r="H57">
        <f t="shared" si="2"/>
        <v>1</v>
      </c>
      <c r="I57">
        <f>IF(OR(D57=Params_and_stats!$B$4, F57=Params_and_stats!$B$4), 1, 0)</f>
        <v>0</v>
      </c>
      <c r="J57">
        <f t="shared" si="23"/>
        <v>0</v>
      </c>
      <c r="K57">
        <f t="shared" si="3"/>
        <v>0</v>
      </c>
      <c r="L57">
        <f>VLOOKUP($D57,ELO_ratings!$A$2:$G$101,2,FALSE)</f>
        <v>16</v>
      </c>
      <c r="M57">
        <f>VLOOKUP($F57,ELO_ratings!$A$2:$G$101,2,FALSE)</f>
        <v>20</v>
      </c>
      <c r="N57">
        <f>VLOOKUP($D57,ELO_ratings!$A$2:$G$101,7,FALSE)</f>
        <v>15</v>
      </c>
      <c r="O57">
        <f>VLOOKUP($F57,ELO_ratings!$A$2:$G$101,7,FALSE)</f>
        <v>22</v>
      </c>
      <c r="P57">
        <f>VLOOKUP($D57,ELO_ratings!$A$2:$G$101,6,FALSE)</f>
        <v>1857</v>
      </c>
      <c r="Q57">
        <f>VLOOKUP($F57,ELO_ratings!$A$2:$G$101,6,FALSE)</f>
        <v>1796</v>
      </c>
      <c r="R57">
        <f t="shared" si="4"/>
        <v>61</v>
      </c>
      <c r="S57">
        <f t="shared" si="5"/>
        <v>61</v>
      </c>
      <c r="T57" s="32">
        <f t="shared" si="6"/>
        <v>0.58689502337910004</v>
      </c>
      <c r="U57" s="33">
        <f>ROUND(Params_and_stats!$B$2*(T57-0.5),0)</f>
        <v>0</v>
      </c>
      <c r="V57">
        <f t="shared" si="7"/>
        <v>0</v>
      </c>
      <c r="W57">
        <f t="shared" si="8"/>
        <v>0</v>
      </c>
      <c r="X57">
        <f>VLOOKUP($D57,Qualifying_goals!$A$2:$G$33,7,FALSE)</f>
        <v>21</v>
      </c>
      <c r="Y57">
        <f>VLOOKUP($F57,Qualifying_goals!$A$2:$G$33,7,FALSE)</f>
        <v>8</v>
      </c>
      <c r="Z57">
        <f t="shared" si="9"/>
        <v>14.5</v>
      </c>
      <c r="AA57">
        <f>IF(Z57&lt;=Params_and_stats!$B$3,1,0)</f>
        <v>1</v>
      </c>
      <c r="AB57">
        <f t="shared" si="25"/>
        <v>1</v>
      </c>
      <c r="AC57">
        <f t="shared" si="26"/>
        <v>1</v>
      </c>
      <c r="AD57">
        <f t="shared" si="12"/>
        <v>0</v>
      </c>
      <c r="AE57">
        <f t="shared" si="13"/>
        <v>0</v>
      </c>
      <c r="AF57">
        <f t="shared" si="14"/>
        <v>2</v>
      </c>
      <c r="AG57">
        <v>0</v>
      </c>
      <c r="AH57">
        <v>3</v>
      </c>
      <c r="AI57">
        <f t="shared" si="15"/>
        <v>-3</v>
      </c>
      <c r="AJ57">
        <f t="shared" si="16"/>
        <v>3</v>
      </c>
      <c r="AK57">
        <f t="shared" si="17"/>
        <v>1</v>
      </c>
      <c r="AL57">
        <f t="shared" si="18"/>
        <v>3</v>
      </c>
      <c r="AM57">
        <f t="shared" si="19"/>
        <v>0</v>
      </c>
      <c r="AN57">
        <f t="shared" si="20"/>
        <v>0</v>
      </c>
      <c r="AO57">
        <f t="shared" si="21"/>
        <v>0</v>
      </c>
      <c r="AP57">
        <f t="shared" si="22"/>
        <v>0</v>
      </c>
    </row>
    <row r="58" spans="1:42" x14ac:dyDescent="0.25">
      <c r="A58" s="2"/>
      <c r="B58" s="3">
        <v>0.79166666666666663</v>
      </c>
      <c r="C58" s="4"/>
      <c r="D58" s="5" t="s">
        <v>167</v>
      </c>
      <c r="E58" s="6" t="s">
        <v>147</v>
      </c>
      <c r="F58" s="7" t="s">
        <v>170</v>
      </c>
      <c r="G58" s="2"/>
      <c r="H58">
        <f t="shared" si="2"/>
        <v>1</v>
      </c>
      <c r="I58">
        <f>IF(OR(D58=Params_and_stats!$B$4, F58=Params_and_stats!$B$4), 1, 0)</f>
        <v>0</v>
      </c>
      <c r="J58">
        <f t="shared" si="23"/>
        <v>0</v>
      </c>
      <c r="K58">
        <f t="shared" si="3"/>
        <v>0</v>
      </c>
      <c r="L58">
        <f>VLOOKUP($D58,ELO_ratings!$A$2:$G$101,2,FALSE)</f>
        <v>24</v>
      </c>
      <c r="M58">
        <f>VLOOKUP($F58,ELO_ratings!$A$2:$G$101,2,FALSE)</f>
        <v>1</v>
      </c>
      <c r="N58">
        <f>VLOOKUP($D58,ELO_ratings!$A$2:$G$101,7,FALSE)</f>
        <v>35</v>
      </c>
      <c r="O58">
        <f>VLOOKUP($F58,ELO_ratings!$A$2:$G$101,7,FALSE)</f>
        <v>2</v>
      </c>
      <c r="P58">
        <f>VLOOKUP($D58,ELO_ratings!$A$2:$G$101,6,FALSE)</f>
        <v>1770</v>
      </c>
      <c r="Q58">
        <f>VLOOKUP($F58,ELO_ratings!$A$2:$G$101,6,FALSE)</f>
        <v>2131</v>
      </c>
      <c r="R58">
        <f t="shared" si="4"/>
        <v>-361</v>
      </c>
      <c r="S58">
        <f t="shared" si="5"/>
        <v>-361</v>
      </c>
      <c r="T58" s="32">
        <f t="shared" si="6"/>
        <v>0.11124535438232161</v>
      </c>
      <c r="U58" s="33">
        <f>ROUND(Params_and_stats!$B$2*(T58-0.5),0)</f>
        <v>-2</v>
      </c>
      <c r="V58">
        <f t="shared" si="7"/>
        <v>2</v>
      </c>
      <c r="W58">
        <f t="shared" si="8"/>
        <v>1</v>
      </c>
      <c r="X58">
        <f>VLOOKUP($D58,Qualifying_goals!$A$2:$G$33,7,FALSE)</f>
        <v>8</v>
      </c>
      <c r="Y58">
        <f>VLOOKUP($F58,Qualifying_goals!$A$2:$G$33,7,FALSE)</f>
        <v>10</v>
      </c>
      <c r="Z58">
        <f t="shared" si="9"/>
        <v>9</v>
      </c>
      <c r="AA58">
        <f>IF(Z58&lt;=Params_and_stats!$B$3,1,0)</f>
        <v>1</v>
      </c>
      <c r="AB58">
        <f t="shared" si="25"/>
        <v>1</v>
      </c>
      <c r="AC58">
        <f t="shared" si="26"/>
        <v>3</v>
      </c>
      <c r="AD58">
        <f t="shared" si="12"/>
        <v>-2</v>
      </c>
      <c r="AE58">
        <f t="shared" si="13"/>
        <v>2</v>
      </c>
      <c r="AF58">
        <f t="shared" si="14"/>
        <v>4</v>
      </c>
      <c r="AG58">
        <v>0</v>
      </c>
      <c r="AH58">
        <v>2</v>
      </c>
      <c r="AI58">
        <f t="shared" si="15"/>
        <v>-2</v>
      </c>
      <c r="AJ58">
        <f t="shared" si="16"/>
        <v>2</v>
      </c>
      <c r="AK58">
        <f t="shared" si="17"/>
        <v>1</v>
      </c>
      <c r="AL58">
        <f t="shared" si="18"/>
        <v>2</v>
      </c>
      <c r="AM58">
        <f t="shared" si="19"/>
        <v>0</v>
      </c>
      <c r="AN58">
        <f t="shared" si="20"/>
        <v>1</v>
      </c>
      <c r="AO58">
        <f t="shared" si="21"/>
        <v>1</v>
      </c>
      <c r="AP58">
        <f t="shared" si="22"/>
        <v>2</v>
      </c>
    </row>
    <row r="59" spans="1:42" x14ac:dyDescent="0.25">
      <c r="A59" s="1"/>
      <c r="B59" s="14">
        <v>0.79166666666666663</v>
      </c>
      <c r="C59" s="15"/>
      <c r="D59" s="16" t="s">
        <v>171</v>
      </c>
      <c r="E59" s="17" t="s">
        <v>147</v>
      </c>
      <c r="F59" s="18" t="s">
        <v>166</v>
      </c>
      <c r="G59" s="1"/>
      <c r="H59">
        <f t="shared" si="2"/>
        <v>1</v>
      </c>
      <c r="I59">
        <f>IF(OR(D59=Params_and_stats!$B$4, F59=Params_and_stats!$B$4), 1, 0)</f>
        <v>0</v>
      </c>
      <c r="J59">
        <f t="shared" si="23"/>
        <v>0</v>
      </c>
      <c r="K59">
        <f t="shared" si="3"/>
        <v>0</v>
      </c>
      <c r="L59">
        <f>VLOOKUP($D59,ELO_ratings!$A$2:$G$101,2,FALSE)</f>
        <v>14</v>
      </c>
      <c r="M59">
        <f>VLOOKUP($F59,ELO_ratings!$A$2:$G$101,2,FALSE)</f>
        <v>31</v>
      </c>
      <c r="N59">
        <f>VLOOKUP($D59,ELO_ratings!$A$2:$G$101,7,FALSE)</f>
        <v>6</v>
      </c>
      <c r="O59">
        <f>VLOOKUP($F59,ELO_ratings!$A$2:$G$101,7,FALSE)</f>
        <v>25</v>
      </c>
      <c r="P59">
        <f>VLOOKUP($D59,ELO_ratings!$A$2:$G$101,6,FALSE)</f>
        <v>1879</v>
      </c>
      <c r="Q59">
        <f>VLOOKUP($F59,ELO_ratings!$A$2:$G$101,6,FALSE)</f>
        <v>1745</v>
      </c>
      <c r="R59">
        <f t="shared" si="4"/>
        <v>134</v>
      </c>
      <c r="S59">
        <f t="shared" si="5"/>
        <v>134</v>
      </c>
      <c r="T59" s="32">
        <f t="shared" si="6"/>
        <v>0.68381631419365863</v>
      </c>
      <c r="U59" s="33">
        <f>ROUND(Params_and_stats!$B$2*(T59-0.5),0)</f>
        <v>1</v>
      </c>
      <c r="V59">
        <f t="shared" si="7"/>
        <v>1</v>
      </c>
      <c r="W59">
        <f t="shared" si="8"/>
        <v>1</v>
      </c>
      <c r="X59">
        <f>VLOOKUP($D59,Qualifying_goals!$A$2:$G$33,7,FALSE)</f>
        <v>17</v>
      </c>
      <c r="Y59">
        <f>VLOOKUP($F59,Qualifying_goals!$A$2:$G$33,7,FALSE)</f>
        <v>24</v>
      </c>
      <c r="Z59">
        <f t="shared" si="9"/>
        <v>20.5</v>
      </c>
      <c r="AA59">
        <f>IF(Z59&lt;=Params_and_stats!$B$3,1,0)</f>
        <v>0</v>
      </c>
      <c r="AB59">
        <f t="shared" si="25"/>
        <v>1</v>
      </c>
      <c r="AC59">
        <f t="shared" si="26"/>
        <v>0</v>
      </c>
      <c r="AD59">
        <f t="shared" si="12"/>
        <v>1</v>
      </c>
      <c r="AE59">
        <f t="shared" si="13"/>
        <v>1</v>
      </c>
      <c r="AF59">
        <f t="shared" si="14"/>
        <v>1</v>
      </c>
      <c r="AG59">
        <v>2</v>
      </c>
      <c r="AH59">
        <v>2</v>
      </c>
      <c r="AI59">
        <f t="shared" si="15"/>
        <v>0</v>
      </c>
      <c r="AJ59">
        <f t="shared" si="16"/>
        <v>0</v>
      </c>
      <c r="AK59">
        <f t="shared" si="17"/>
        <v>0</v>
      </c>
      <c r="AL59">
        <f t="shared" si="18"/>
        <v>4</v>
      </c>
      <c r="AM59">
        <f t="shared" si="19"/>
        <v>0</v>
      </c>
      <c r="AN59">
        <f t="shared" si="20"/>
        <v>0</v>
      </c>
      <c r="AO59">
        <f t="shared" si="21"/>
        <v>0</v>
      </c>
      <c r="AP59">
        <f t="shared" si="22"/>
        <v>0</v>
      </c>
    </row>
    <row r="60" spans="1:42" ht="15" customHeight="1" x14ac:dyDescent="0.25">
      <c r="A60" s="86" t="s">
        <v>192</v>
      </c>
      <c r="B60" s="86"/>
      <c r="C60" s="86"/>
      <c r="D60" s="86"/>
      <c r="E60" s="86"/>
      <c r="F60" s="86"/>
      <c r="G60" s="86"/>
      <c r="H60">
        <f t="shared" si="2"/>
        <v>0</v>
      </c>
      <c r="I60">
        <f>IF(OR(D60=Params_and_stats!$B$4, F60=Params_and_stats!$B$4), 1, 0)</f>
        <v>0</v>
      </c>
      <c r="J60">
        <f t="shared" si="23"/>
        <v>0</v>
      </c>
      <c r="K60">
        <f t="shared" si="3"/>
        <v>0</v>
      </c>
      <c r="L60" t="e">
        <f>VLOOKUP($D60,ELO_ratings!$A$2:$G$101,2,FALSE)</f>
        <v>#N/A</v>
      </c>
      <c r="M60" t="e">
        <f>VLOOKUP($F60,ELO_ratings!$A$2:$G$101,2,FALSE)</f>
        <v>#N/A</v>
      </c>
      <c r="N60" t="e">
        <f>VLOOKUP($D60,ELO_ratings!$A$2:$G$101,7,FALSE)</f>
        <v>#N/A</v>
      </c>
      <c r="O60" t="e">
        <f>VLOOKUP($F60,ELO_ratings!$A$2:$G$101,7,FALSE)</f>
        <v>#N/A</v>
      </c>
      <c r="P60" t="e">
        <f>VLOOKUP($D60,ELO_ratings!$A$2:$G$101,6,FALSE)</f>
        <v>#N/A</v>
      </c>
      <c r="Q60" t="e">
        <f>VLOOKUP($F60,ELO_ratings!$A$2:$G$101,6,FALSE)</f>
        <v>#N/A</v>
      </c>
      <c r="R60" t="e">
        <f t="shared" si="4"/>
        <v>#N/A</v>
      </c>
      <c r="S60" t="e">
        <f t="shared" si="5"/>
        <v>#N/A</v>
      </c>
      <c r="T60" s="32" t="e">
        <f t="shared" si="6"/>
        <v>#N/A</v>
      </c>
      <c r="U60" s="33" t="e">
        <f>ROUND(Params_and_stats!$B$2*(T60-0.5),0)</f>
        <v>#N/A</v>
      </c>
      <c r="V60">
        <f t="shared" si="7"/>
        <v>0</v>
      </c>
      <c r="W60">
        <f t="shared" si="8"/>
        <v>0</v>
      </c>
      <c r="X60" t="e">
        <f>VLOOKUP($D60,Qualifying_goals!$A$2:$G$33,7,FALSE)</f>
        <v>#N/A</v>
      </c>
      <c r="Y60" t="e">
        <f>VLOOKUP($F60,Qualifying_goals!$A$2:$G$33,7,FALSE)</f>
        <v>#N/A</v>
      </c>
      <c r="Z60" t="e">
        <f t="shared" si="9"/>
        <v>#N/A</v>
      </c>
      <c r="AA60" t="e">
        <f>IF(Z60&lt;=Params_and_stats!$B$3,1,0)</f>
        <v>#N/A</v>
      </c>
      <c r="AB60" t="str">
        <f t="shared" si="25"/>
        <v/>
      </c>
      <c r="AC60" t="str">
        <f t="shared" si="26"/>
        <v/>
      </c>
      <c r="AD60" t="e">
        <f t="shared" si="12"/>
        <v>#VALUE!</v>
      </c>
      <c r="AE60">
        <f t="shared" si="13"/>
        <v>0</v>
      </c>
      <c r="AF60" t="str">
        <f t="shared" si="14"/>
        <v/>
      </c>
      <c r="AI60">
        <f t="shared" si="15"/>
        <v>0</v>
      </c>
      <c r="AJ60">
        <f t="shared" si="16"/>
        <v>0</v>
      </c>
      <c r="AK60">
        <f t="shared" si="17"/>
        <v>0</v>
      </c>
      <c r="AL60" t="str">
        <f t="shared" si="18"/>
        <v/>
      </c>
      <c r="AM60" t="str">
        <f t="shared" si="19"/>
        <v/>
      </c>
      <c r="AN60" t="str">
        <f t="shared" si="20"/>
        <v/>
      </c>
      <c r="AO60" t="str">
        <f t="shared" si="21"/>
        <v/>
      </c>
      <c r="AP60" t="str">
        <f t="shared" si="22"/>
        <v/>
      </c>
    </row>
    <row r="61" spans="1:42" x14ac:dyDescent="0.25">
      <c r="A61" s="2"/>
      <c r="B61" s="3">
        <v>0.625</v>
      </c>
      <c r="C61" s="4"/>
      <c r="D61" s="5" t="s">
        <v>181</v>
      </c>
      <c r="E61" s="6" t="s">
        <v>147</v>
      </c>
      <c r="F61" s="7" t="s">
        <v>182</v>
      </c>
      <c r="G61" s="2"/>
      <c r="H61">
        <f t="shared" si="2"/>
        <v>1</v>
      </c>
      <c r="I61">
        <f>IF(OR(D61=Params_and_stats!$B$4, F61=Params_and_stats!$B$4), 1, 0)</f>
        <v>0</v>
      </c>
      <c r="J61">
        <f t="shared" si="23"/>
        <v>0</v>
      </c>
      <c r="K61">
        <f t="shared" si="3"/>
        <v>0</v>
      </c>
      <c r="L61">
        <f>VLOOKUP($D61,ELO_ratings!$A$2:$G$101,2,FALSE)</f>
        <v>44</v>
      </c>
      <c r="M61">
        <f>VLOOKUP($F61,ELO_ratings!$A$2:$G$101,2,FALSE)</f>
        <v>19</v>
      </c>
      <c r="N61">
        <f>VLOOKUP($D61,ELO_ratings!$A$2:$G$101,7,FALSE)</f>
        <v>60</v>
      </c>
      <c r="O61">
        <f>VLOOKUP($F61,ELO_ratings!$A$2:$G$101,7,FALSE)</f>
        <v>10</v>
      </c>
      <c r="P61">
        <f>VLOOKUP($D61,ELO_ratings!$A$2:$G$101,6,FALSE)</f>
        <v>1692</v>
      </c>
      <c r="Q61">
        <f>VLOOKUP($F61,ELO_ratings!$A$2:$G$101,6,FALSE)</f>
        <v>1831</v>
      </c>
      <c r="R61">
        <f t="shared" si="4"/>
        <v>-139</v>
      </c>
      <c r="S61">
        <f t="shared" si="5"/>
        <v>-139</v>
      </c>
      <c r="T61" s="32">
        <f t="shared" si="6"/>
        <v>0.30999379271968613</v>
      </c>
      <c r="U61" s="33">
        <f>ROUND(Params_and_stats!$B$2*(T61-0.5),0)</f>
        <v>-1</v>
      </c>
      <c r="V61">
        <f t="shared" si="7"/>
        <v>1</v>
      </c>
      <c r="W61">
        <f t="shared" si="8"/>
        <v>1</v>
      </c>
      <c r="X61">
        <f>VLOOKUP($D61,Qualifying_goals!$A$2:$G$33,7,FALSE)</f>
        <v>12</v>
      </c>
      <c r="Y61">
        <f>VLOOKUP($F61,Qualifying_goals!$A$2:$G$33,7,FALSE)</f>
        <v>3</v>
      </c>
      <c r="Z61">
        <f t="shared" si="9"/>
        <v>7.5</v>
      </c>
      <c r="AA61">
        <f>IF(Z61&lt;=Params_and_stats!$B$3,1,0)</f>
        <v>1</v>
      </c>
      <c r="AB61">
        <f t="shared" si="25"/>
        <v>1</v>
      </c>
      <c r="AC61">
        <f t="shared" si="26"/>
        <v>2</v>
      </c>
      <c r="AD61">
        <f t="shared" si="12"/>
        <v>-1</v>
      </c>
      <c r="AE61">
        <f t="shared" si="13"/>
        <v>1</v>
      </c>
      <c r="AF61">
        <f t="shared" si="14"/>
        <v>3</v>
      </c>
      <c r="AG61">
        <v>0</v>
      </c>
      <c r="AH61">
        <v>1</v>
      </c>
      <c r="AI61">
        <f t="shared" si="15"/>
        <v>-1</v>
      </c>
      <c r="AJ61">
        <f t="shared" si="16"/>
        <v>1</v>
      </c>
      <c r="AK61">
        <f t="shared" si="17"/>
        <v>1</v>
      </c>
      <c r="AL61">
        <f t="shared" si="18"/>
        <v>1</v>
      </c>
      <c r="AM61">
        <f t="shared" si="19"/>
        <v>0</v>
      </c>
      <c r="AN61">
        <f t="shared" si="20"/>
        <v>1</v>
      </c>
      <c r="AO61">
        <f t="shared" si="21"/>
        <v>1</v>
      </c>
      <c r="AP61">
        <f t="shared" si="22"/>
        <v>2</v>
      </c>
    </row>
    <row r="62" spans="1:42" x14ac:dyDescent="0.25">
      <c r="A62" s="1"/>
      <c r="B62" s="14">
        <v>0.625</v>
      </c>
      <c r="C62" s="15"/>
      <c r="D62" s="16" t="s">
        <v>183</v>
      </c>
      <c r="E62" s="17" t="s">
        <v>147</v>
      </c>
      <c r="F62" s="18" t="s">
        <v>180</v>
      </c>
      <c r="G62" s="1"/>
      <c r="H62">
        <f t="shared" si="2"/>
        <v>1</v>
      </c>
      <c r="I62">
        <f>IF(OR(D62=Params_and_stats!$B$4, F62=Params_and_stats!$B$4), 1, 0)</f>
        <v>0</v>
      </c>
      <c r="J62">
        <f t="shared" si="23"/>
        <v>0</v>
      </c>
      <c r="K62">
        <f t="shared" si="3"/>
        <v>0</v>
      </c>
      <c r="L62">
        <f>VLOOKUP($D62,ELO_ratings!$A$2:$G$101,2,FALSE)</f>
        <v>28</v>
      </c>
      <c r="M62">
        <f>VLOOKUP($F62,ELO_ratings!$A$2:$G$101,2,FALSE)</f>
        <v>8</v>
      </c>
      <c r="N62">
        <f>VLOOKUP($D62,ELO_ratings!$A$2:$G$101,7,FALSE)</f>
        <v>28</v>
      </c>
      <c r="O62">
        <f>VLOOKUP($F62,ELO_ratings!$A$2:$G$101,7,FALSE)</f>
        <v>16</v>
      </c>
      <c r="P62">
        <f>VLOOKUP($D62,ELO_ratings!$A$2:$G$101,6,FALSE)</f>
        <v>1747</v>
      </c>
      <c r="Q62">
        <f>VLOOKUP($F62,ELO_ratings!$A$2:$G$101,6,FALSE)</f>
        <v>1935</v>
      </c>
      <c r="R62">
        <f t="shared" si="4"/>
        <v>-188</v>
      </c>
      <c r="S62">
        <f t="shared" si="5"/>
        <v>-188</v>
      </c>
      <c r="T62" s="32">
        <f t="shared" si="6"/>
        <v>0.25308707857105678</v>
      </c>
      <c r="U62" s="33">
        <f>ROUND(Params_and_stats!$B$2*(T62-0.5),0)</f>
        <v>-1</v>
      </c>
      <c r="V62">
        <f t="shared" si="7"/>
        <v>1</v>
      </c>
      <c r="W62">
        <f t="shared" si="8"/>
        <v>1</v>
      </c>
      <c r="X62">
        <f>VLOOKUP($D62,Qualifying_goals!$A$2:$G$33,7,FALSE)</f>
        <v>18</v>
      </c>
      <c r="Y62">
        <f>VLOOKUP($F62,Qualifying_goals!$A$2:$G$33,7,FALSE)</f>
        <v>25</v>
      </c>
      <c r="Z62">
        <f t="shared" si="9"/>
        <v>21.5</v>
      </c>
      <c r="AA62">
        <f>IF(Z62&lt;=Params_and_stats!$B$3,1,0)</f>
        <v>0</v>
      </c>
      <c r="AB62">
        <f t="shared" si="25"/>
        <v>0</v>
      </c>
      <c r="AC62">
        <f t="shared" si="26"/>
        <v>1</v>
      </c>
      <c r="AD62">
        <f t="shared" si="12"/>
        <v>-1</v>
      </c>
      <c r="AE62">
        <f t="shared" si="13"/>
        <v>1</v>
      </c>
      <c r="AF62">
        <f t="shared" si="14"/>
        <v>1</v>
      </c>
      <c r="AG62">
        <v>0</v>
      </c>
      <c r="AH62">
        <v>1</v>
      </c>
      <c r="AI62">
        <f t="shared" si="15"/>
        <v>-1</v>
      </c>
      <c r="AJ62">
        <f t="shared" si="16"/>
        <v>1</v>
      </c>
      <c r="AK62">
        <f t="shared" si="17"/>
        <v>1</v>
      </c>
      <c r="AL62">
        <f t="shared" si="18"/>
        <v>1</v>
      </c>
      <c r="AM62">
        <f t="shared" si="19"/>
        <v>1</v>
      </c>
      <c r="AN62">
        <f t="shared" si="20"/>
        <v>1</v>
      </c>
      <c r="AO62">
        <f t="shared" si="21"/>
        <v>1</v>
      </c>
      <c r="AP62">
        <f t="shared" si="22"/>
        <v>3</v>
      </c>
    </row>
    <row r="63" spans="1:42" x14ac:dyDescent="0.25">
      <c r="A63" s="2"/>
      <c r="B63" s="3">
        <v>0.79166666666666663</v>
      </c>
      <c r="C63" s="4"/>
      <c r="D63" s="5" t="s">
        <v>176</v>
      </c>
      <c r="E63" s="6" t="s">
        <v>147</v>
      </c>
      <c r="F63" s="7" t="s">
        <v>177</v>
      </c>
      <c r="G63" s="2"/>
      <c r="H63">
        <f t="shared" si="2"/>
        <v>1</v>
      </c>
      <c r="I63">
        <f>IF(OR(D63=Params_and_stats!$B$4, F63=Params_and_stats!$B$4), 1, 0)</f>
        <v>0</v>
      </c>
      <c r="J63">
        <f t="shared" si="23"/>
        <v>0</v>
      </c>
      <c r="K63">
        <f t="shared" si="3"/>
        <v>0</v>
      </c>
      <c r="L63">
        <f>VLOOKUP($D63,ELO_ratings!$A$2:$G$101,2,FALSE)</f>
        <v>48</v>
      </c>
      <c r="M63">
        <f>VLOOKUP($F63,ELO_ratings!$A$2:$G$101,2,FALSE)</f>
        <v>49</v>
      </c>
      <c r="N63">
        <f>VLOOKUP($D63,ELO_ratings!$A$2:$G$101,7,FALSE)</f>
        <v>55</v>
      </c>
      <c r="O63">
        <f>VLOOKUP($F63,ELO_ratings!$A$2:$G$101,7,FALSE)</f>
        <v>14</v>
      </c>
      <c r="P63">
        <f>VLOOKUP($D63,ELO_ratings!$A$2:$G$101,6,FALSE)</f>
        <v>1669</v>
      </c>
      <c r="Q63">
        <f>VLOOKUP($F63,ELO_ratings!$A$2:$G$101,6,FALSE)</f>
        <v>1657</v>
      </c>
      <c r="R63">
        <f t="shared" si="4"/>
        <v>12</v>
      </c>
      <c r="S63">
        <f t="shared" si="5"/>
        <v>12</v>
      </c>
      <c r="T63" s="32">
        <f t="shared" si="6"/>
        <v>0.51726252443237619</v>
      </c>
      <c r="U63" s="33">
        <f>ROUND(Params_and_stats!$B$2*(T63-0.5),0)</f>
        <v>0</v>
      </c>
      <c r="V63">
        <f t="shared" si="7"/>
        <v>0</v>
      </c>
      <c r="W63">
        <f t="shared" si="8"/>
        <v>0</v>
      </c>
      <c r="X63">
        <f>VLOOKUP($D63,Qualifying_goals!$A$2:$G$33,7,FALSE)</f>
        <v>30</v>
      </c>
      <c r="Y63">
        <f>VLOOKUP($F63,Qualifying_goals!$A$2:$G$33,7,FALSE)</f>
        <v>16</v>
      </c>
      <c r="Z63">
        <f t="shared" si="9"/>
        <v>23</v>
      </c>
      <c r="AA63">
        <f>IF(Z63&lt;=Params_and_stats!$B$3,1,0)</f>
        <v>0</v>
      </c>
      <c r="AB63">
        <f t="shared" si="25"/>
        <v>0</v>
      </c>
      <c r="AC63">
        <f t="shared" si="26"/>
        <v>0</v>
      </c>
      <c r="AD63">
        <f t="shared" si="12"/>
        <v>0</v>
      </c>
      <c r="AE63">
        <f t="shared" si="13"/>
        <v>0</v>
      </c>
      <c r="AF63">
        <f t="shared" si="14"/>
        <v>0</v>
      </c>
      <c r="AG63">
        <v>1</v>
      </c>
      <c r="AH63">
        <v>2</v>
      </c>
      <c r="AI63">
        <f t="shared" si="15"/>
        <v>-1</v>
      </c>
      <c r="AJ63">
        <f t="shared" si="16"/>
        <v>1</v>
      </c>
      <c r="AK63">
        <f t="shared" si="17"/>
        <v>1</v>
      </c>
      <c r="AL63">
        <f t="shared" si="18"/>
        <v>3</v>
      </c>
      <c r="AM63">
        <f t="shared" si="19"/>
        <v>0</v>
      </c>
      <c r="AN63">
        <f t="shared" si="20"/>
        <v>0</v>
      </c>
      <c r="AO63">
        <f t="shared" si="21"/>
        <v>0</v>
      </c>
      <c r="AP63">
        <f t="shared" si="22"/>
        <v>0</v>
      </c>
    </row>
    <row r="64" spans="1:42" x14ac:dyDescent="0.25">
      <c r="A64" s="19"/>
      <c r="B64" s="20">
        <v>0.79166666666666663</v>
      </c>
      <c r="C64" s="21"/>
      <c r="D64" s="22" t="s">
        <v>178</v>
      </c>
      <c r="E64" s="23" t="s">
        <v>147</v>
      </c>
      <c r="F64" s="24" t="s">
        <v>175</v>
      </c>
      <c r="H64">
        <f t="shared" si="2"/>
        <v>1</v>
      </c>
      <c r="I64">
        <f>IF(OR(D64=Params_and_stats!$B$4, F64=Params_and_stats!$B$4), 1, 0)</f>
        <v>1</v>
      </c>
      <c r="J64">
        <f t="shared" si="23"/>
        <v>0</v>
      </c>
      <c r="K64">
        <f t="shared" si="3"/>
        <v>0</v>
      </c>
      <c r="L64">
        <f>VLOOKUP($D64,ELO_ratings!$A$2:$G$101,2,FALSE)</f>
        <v>7</v>
      </c>
      <c r="M64">
        <f>VLOOKUP($F64,ELO_ratings!$A$2:$G$101,2,FALSE)</f>
        <v>9</v>
      </c>
      <c r="N64">
        <f>VLOOKUP($D64,ELO_ratings!$A$2:$G$101,7,FALSE)</f>
        <v>13</v>
      </c>
      <c r="O64">
        <f>VLOOKUP($F64,ELO_ratings!$A$2:$G$101,7,FALSE)</f>
        <v>3</v>
      </c>
      <c r="P64">
        <f>VLOOKUP($D64,ELO_ratings!$A$2:$G$101,6,FALSE)</f>
        <v>1941</v>
      </c>
      <c r="Q64">
        <f>VLOOKUP($F64,ELO_ratings!$A$2:$G$101,6,FALSE)</f>
        <v>1931</v>
      </c>
      <c r="R64">
        <f t="shared" si="4"/>
        <v>10</v>
      </c>
      <c r="S64">
        <f t="shared" si="5"/>
        <v>10</v>
      </c>
      <c r="T64" s="32">
        <f t="shared" si="6"/>
        <v>0.51438718416599871</v>
      </c>
      <c r="U64" s="33">
        <f>ROUND(Params_and_stats!$B$2*(T64-0.5),0)</f>
        <v>0</v>
      </c>
      <c r="V64">
        <f t="shared" si="7"/>
        <v>0</v>
      </c>
      <c r="W64">
        <f t="shared" si="8"/>
        <v>0</v>
      </c>
      <c r="X64">
        <f>VLOOKUP($D64,Qualifying_goals!$A$2:$G$33,7,FALSE)</f>
        <v>27</v>
      </c>
      <c r="Y64">
        <f>VLOOKUP($F64,Qualifying_goals!$A$2:$G$33,7,FALSE)</f>
        <v>1</v>
      </c>
      <c r="Z64">
        <f t="shared" si="9"/>
        <v>14</v>
      </c>
      <c r="AA64">
        <f>IF(Z64&lt;=Params_and_stats!$B$3,1,0)</f>
        <v>1</v>
      </c>
      <c r="AB64">
        <f t="shared" si="25"/>
        <v>1</v>
      </c>
      <c r="AC64">
        <f t="shared" si="26"/>
        <v>1</v>
      </c>
      <c r="AD64">
        <f t="shared" si="12"/>
        <v>0</v>
      </c>
      <c r="AE64">
        <f t="shared" si="13"/>
        <v>0</v>
      </c>
      <c r="AF64">
        <f t="shared" si="14"/>
        <v>2</v>
      </c>
      <c r="AG64">
        <v>0</v>
      </c>
      <c r="AH64">
        <v>1</v>
      </c>
      <c r="AI64">
        <f t="shared" si="15"/>
        <v>-1</v>
      </c>
      <c r="AJ64">
        <f t="shared" si="16"/>
        <v>1</v>
      </c>
      <c r="AK64">
        <f t="shared" si="17"/>
        <v>1</v>
      </c>
      <c r="AL64">
        <f t="shared" si="18"/>
        <v>1</v>
      </c>
      <c r="AM64">
        <f t="shared" si="19"/>
        <v>0</v>
      </c>
      <c r="AN64">
        <f t="shared" si="20"/>
        <v>0</v>
      </c>
      <c r="AO64">
        <f t="shared" si="21"/>
        <v>0</v>
      </c>
      <c r="AP64">
        <f t="shared" si="22"/>
        <v>0</v>
      </c>
    </row>
    <row r="65" spans="1:42" ht="15" customHeight="1" x14ac:dyDescent="0.25">
      <c r="A65" s="87" t="s">
        <v>289</v>
      </c>
      <c r="B65" s="87"/>
      <c r="C65" s="87"/>
      <c r="D65" s="87"/>
      <c r="E65" s="87"/>
      <c r="F65" s="87"/>
      <c r="G65" s="87"/>
      <c r="H65">
        <f t="shared" ref="H65:H70" si="27">IF(A65="",1,0)</f>
        <v>0</v>
      </c>
      <c r="I65">
        <f>IF(OR(D65=Params_and_stats!$B$4, F65=Params_and_stats!$B$4), 1, 0)</f>
        <v>0</v>
      </c>
      <c r="J65">
        <f t="shared" ref="J65:J70" si="28">IF(D65="Russia",1,0)</f>
        <v>0</v>
      </c>
      <c r="K65">
        <f t="shared" ref="K65:K70" si="29">IF(F65="Russia",1,0)</f>
        <v>0</v>
      </c>
      <c r="L65" t="e">
        <f>VLOOKUP($D65,ELO_ratings!$A$2:$G$101,2,FALSE)</f>
        <v>#N/A</v>
      </c>
      <c r="M65" t="e">
        <f>VLOOKUP($F65,ELO_ratings!$A$2:$G$101,2,FALSE)</f>
        <v>#N/A</v>
      </c>
      <c r="N65" t="e">
        <f>VLOOKUP($D65,ELO_ratings!$A$2:$G$101,7,FALSE)</f>
        <v>#N/A</v>
      </c>
      <c r="O65" t="e">
        <f>VLOOKUP($F65,ELO_ratings!$A$2:$G$101,7,FALSE)</f>
        <v>#N/A</v>
      </c>
      <c r="P65" t="e">
        <f>VLOOKUP($D65,ELO_ratings!$A$2:$G$101,6,FALSE)</f>
        <v>#N/A</v>
      </c>
      <c r="Q65" t="e">
        <f>VLOOKUP($F65,ELO_ratings!$A$2:$G$101,6,FALSE)</f>
        <v>#N/A</v>
      </c>
      <c r="R65" t="e">
        <f t="shared" ref="R65:R70" si="30">P65-Q65</f>
        <v>#N/A</v>
      </c>
      <c r="S65" t="e">
        <f t="shared" ref="S65:S70" si="31">R65+(100*J65)-(100*K65)</f>
        <v>#N/A</v>
      </c>
      <c r="T65" s="32" t="e">
        <f t="shared" ref="T65:T70" si="32">POWER(POWER(10,-S65/400)+1,-1)</f>
        <v>#N/A</v>
      </c>
      <c r="U65" s="33" t="e">
        <f>ROUND(Params_and_stats!$B$2*(T65-0.5),0)</f>
        <v>#N/A</v>
      </c>
      <c r="V65">
        <f t="shared" ref="V65:V70" si="33">IF(H65=1,SQRT(U65^2),0)</f>
        <v>0</v>
      </c>
      <c r="W65">
        <f t="shared" ref="W65:W70" si="34">IF(V65&gt;0,1,0)</f>
        <v>0</v>
      </c>
      <c r="X65" t="e">
        <f>VLOOKUP($D65,Qualifying_goals!$A$2:$G$33,7,FALSE)</f>
        <v>#N/A</v>
      </c>
      <c r="Y65" t="e">
        <f>VLOOKUP($F65,Qualifying_goals!$A$2:$G$33,7,FALSE)</f>
        <v>#N/A</v>
      </c>
      <c r="Z65" t="e">
        <f t="shared" ref="Z65:Z70" si="35">AVERAGE(X65:Y65)</f>
        <v>#N/A</v>
      </c>
      <c r="AA65" t="e">
        <f>IF(Z65&lt;=Params_and_stats!$B$3,1,0)</f>
        <v>#N/A</v>
      </c>
      <c r="AB65" t="str">
        <f t="shared" ref="AB65:AB70" si="36">IF(H65&lt;&gt;1,"",IF(U65&gt;0,U65+(1*AA65),1*AA65))</f>
        <v/>
      </c>
      <c r="AC65" t="str">
        <f t="shared" ref="AC65:AC70" si="37">IF(H65&lt;&gt;1,"",IF(U65&gt;0,1*AA65,-U65+(1*AA65)))</f>
        <v/>
      </c>
      <c r="AD65" t="e">
        <f t="shared" ref="AD65:AD70" si="38">AB65-AC65</f>
        <v>#VALUE!</v>
      </c>
      <c r="AE65">
        <f t="shared" ref="AE65:AE70" si="39">IF(H65=1,SQRT(AD65^2),0)</f>
        <v>0</v>
      </c>
      <c r="AF65" t="str">
        <f t="shared" ref="AF65:AF70" si="40">IF(H65=1,AB65+AC65,"")</f>
        <v/>
      </c>
      <c r="AI65">
        <f t="shared" ref="AI65:AI70" si="41">AG65-AH65</f>
        <v>0</v>
      </c>
      <c r="AJ65">
        <f t="shared" ref="AJ65:AJ70" si="42">IF(H65=1,SQRT(AI65^2),0)</f>
        <v>0</v>
      </c>
      <c r="AK65">
        <f t="shared" ref="AK65:AK70" si="43">IF(AJ65&gt;0,1,0)</f>
        <v>0</v>
      </c>
      <c r="AL65" t="str">
        <f t="shared" ref="AL65:AL70" si="44">IF(AG65&amp;AH65="","",AG65+AH65)</f>
        <v/>
      </c>
      <c r="AM65" t="str">
        <f t="shared" ref="AM65:AM70" si="45">IF(AG65&amp;AH65="","",IF(AND(AB65=AG65,AC65=AH65),1,0))</f>
        <v/>
      </c>
      <c r="AN65" t="str">
        <f t="shared" ref="AN65:AN70" si="46">IF(AG65&amp;AH65="","",IF(AB65-AC65=AG65-AH65,1,0))</f>
        <v/>
      </c>
      <c r="AO65" t="str">
        <f t="shared" ref="AO65:AO70" si="47">IF(AG65&amp;AH65="","",IF(OR(AND(AI65&gt;0,AD65&gt;0),AND(AI65=0,AD65=0),AND(AI65&lt;0,AD65&lt;0)),1,0))</f>
        <v/>
      </c>
      <c r="AP65" t="str">
        <f t="shared" ref="AP65:AP70" si="48">IF(AG65&amp;AH65="","",SUM(AM65:AO65))</f>
        <v/>
      </c>
    </row>
    <row r="66" spans="1:42" x14ac:dyDescent="0.25">
      <c r="A66" s="66"/>
      <c r="B66" s="67">
        <v>0.625</v>
      </c>
      <c r="C66" s="68"/>
      <c r="D66" s="5" t="s">
        <v>157</v>
      </c>
      <c r="E66" s="6" t="s">
        <v>147</v>
      </c>
      <c r="F66" s="7" t="s">
        <v>159</v>
      </c>
      <c r="G66" s="69"/>
      <c r="H66">
        <f t="shared" si="27"/>
        <v>1</v>
      </c>
      <c r="I66">
        <f>IF(OR(D66=Params_and_stats!$B$4, F66=Params_and_stats!$B$4), 1, 0)</f>
        <v>0</v>
      </c>
      <c r="J66">
        <f t="shared" si="28"/>
        <v>0</v>
      </c>
      <c r="K66">
        <f t="shared" si="29"/>
        <v>0</v>
      </c>
      <c r="L66">
        <f>VLOOKUP($D66,ELO_ratings!$A$2:$G$101,2,FALSE)</f>
        <v>4</v>
      </c>
      <c r="M66">
        <f>VLOOKUP($F66,ELO_ratings!$A$2:$G$101,2,FALSE)</f>
        <v>5</v>
      </c>
      <c r="N66">
        <f>VLOOKUP($D66,ELO_ratings!$A$2:$G$101,7,FALSE)</f>
        <v>7</v>
      </c>
      <c r="O66">
        <f>VLOOKUP($F66,ELO_ratings!$A$2:$G$101,7,FALSE)</f>
        <v>5</v>
      </c>
      <c r="P66">
        <f>VLOOKUP($D66,ELO_ratings!$A$2:$G$101,6,FALSE)</f>
        <v>1987</v>
      </c>
      <c r="Q66">
        <f>VLOOKUP($F66,ELO_ratings!$A$2:$G$101,6,FALSE)</f>
        <v>1985</v>
      </c>
      <c r="R66">
        <f t="shared" si="30"/>
        <v>2</v>
      </c>
      <c r="S66">
        <f t="shared" si="31"/>
        <v>2</v>
      </c>
      <c r="T66" s="32">
        <f t="shared" si="32"/>
        <v>0.50287819957481095</v>
      </c>
      <c r="U66" s="33">
        <f>ROUND(Params_and_stats!$B$2*(T66-0.5),0)</f>
        <v>0</v>
      </c>
      <c r="V66">
        <f t="shared" si="33"/>
        <v>0</v>
      </c>
      <c r="W66">
        <f t="shared" si="34"/>
        <v>0</v>
      </c>
      <c r="X66">
        <f>VLOOKUP($D66,Qualifying_goals!$A$2:$G$33,7,FALSE)</f>
        <v>19</v>
      </c>
      <c r="Y66">
        <f>VLOOKUP($F66,Qualifying_goals!$A$2:$G$33,7,FALSE)</f>
        <v>29</v>
      </c>
      <c r="Z66">
        <f t="shared" si="35"/>
        <v>24</v>
      </c>
      <c r="AA66">
        <f>IF(Z66&lt;=Params_and_stats!$B$3,1,0)</f>
        <v>0</v>
      </c>
      <c r="AB66">
        <f t="shared" si="36"/>
        <v>0</v>
      </c>
      <c r="AC66">
        <f t="shared" si="37"/>
        <v>0</v>
      </c>
      <c r="AD66">
        <f t="shared" si="38"/>
        <v>0</v>
      </c>
      <c r="AE66">
        <f t="shared" si="39"/>
        <v>0</v>
      </c>
      <c r="AF66">
        <f t="shared" si="40"/>
        <v>0</v>
      </c>
      <c r="AG66">
        <v>4</v>
      </c>
      <c r="AH66">
        <v>3</v>
      </c>
      <c r="AI66">
        <f t="shared" si="41"/>
        <v>1</v>
      </c>
      <c r="AJ66">
        <f t="shared" si="42"/>
        <v>1</v>
      </c>
      <c r="AK66">
        <f t="shared" si="43"/>
        <v>1</v>
      </c>
      <c r="AL66">
        <f t="shared" si="44"/>
        <v>7</v>
      </c>
      <c r="AM66">
        <f t="shared" si="45"/>
        <v>0</v>
      </c>
      <c r="AN66">
        <f t="shared" si="46"/>
        <v>0</v>
      </c>
      <c r="AO66">
        <f t="shared" si="47"/>
        <v>0</v>
      </c>
      <c r="AP66">
        <f t="shared" si="48"/>
        <v>0</v>
      </c>
    </row>
    <row r="67" spans="1:42" x14ac:dyDescent="0.25">
      <c r="A67" s="70"/>
      <c r="B67" s="71">
        <v>0.79166666666666663</v>
      </c>
      <c r="C67" s="72"/>
      <c r="D67" s="16" t="s">
        <v>151</v>
      </c>
      <c r="E67" s="17" t="s">
        <v>147</v>
      </c>
      <c r="F67" s="18" t="s">
        <v>154</v>
      </c>
      <c r="G67" s="73"/>
      <c r="H67">
        <f t="shared" si="27"/>
        <v>1</v>
      </c>
      <c r="I67">
        <f>IF(OR(D67=Params_and_stats!$B$4, F67=Params_and_stats!$B$4), 1, 0)</f>
        <v>0</v>
      </c>
      <c r="J67">
        <f t="shared" si="28"/>
        <v>0</v>
      </c>
      <c r="K67">
        <f t="shared" si="29"/>
        <v>0</v>
      </c>
      <c r="L67">
        <f>VLOOKUP($D67,ELO_ratings!$A$2:$G$101,2,FALSE)</f>
        <v>13</v>
      </c>
      <c r="M67">
        <f>VLOOKUP($F67,ELO_ratings!$A$2:$G$101,2,FALSE)</f>
        <v>6</v>
      </c>
      <c r="N67">
        <f>VLOOKUP($D67,ELO_ratings!$A$2:$G$101,7,FALSE)</f>
        <v>17</v>
      </c>
      <c r="O67">
        <f>VLOOKUP($F67,ELO_ratings!$A$2:$G$101,7,FALSE)</f>
        <v>4</v>
      </c>
      <c r="P67">
        <f>VLOOKUP($D67,ELO_ratings!$A$2:$G$101,6,FALSE)</f>
        <v>1891</v>
      </c>
      <c r="Q67">
        <f>VLOOKUP($F67,ELO_ratings!$A$2:$G$101,6,FALSE)</f>
        <v>1967</v>
      </c>
      <c r="R67">
        <f t="shared" si="30"/>
        <v>-76</v>
      </c>
      <c r="S67">
        <f t="shared" si="31"/>
        <v>-76</v>
      </c>
      <c r="T67" s="32">
        <f t="shared" si="32"/>
        <v>0.39233893587318014</v>
      </c>
      <c r="U67" s="33">
        <f>ROUND(Params_and_stats!$B$2*(T67-0.5),0)</f>
        <v>0</v>
      </c>
      <c r="V67">
        <f t="shared" si="33"/>
        <v>0</v>
      </c>
      <c r="W67">
        <f t="shared" si="34"/>
        <v>0</v>
      </c>
      <c r="X67">
        <f>VLOOKUP($D67,Qualifying_goals!$A$2:$G$33,7,FALSE)</f>
        <v>11</v>
      </c>
      <c r="Y67">
        <f>VLOOKUP($F67,Qualifying_goals!$A$2:$G$33,7,FALSE)</f>
        <v>5</v>
      </c>
      <c r="Z67">
        <f t="shared" si="35"/>
        <v>8</v>
      </c>
      <c r="AA67">
        <f>IF(Z67&lt;=Params_and_stats!$B$3,1,0)</f>
        <v>1</v>
      </c>
      <c r="AB67">
        <f t="shared" si="36"/>
        <v>1</v>
      </c>
      <c r="AC67">
        <f t="shared" si="37"/>
        <v>1</v>
      </c>
      <c r="AD67">
        <f t="shared" si="38"/>
        <v>0</v>
      </c>
      <c r="AE67">
        <f t="shared" si="39"/>
        <v>0</v>
      </c>
      <c r="AF67">
        <f t="shared" si="40"/>
        <v>2</v>
      </c>
      <c r="AG67">
        <v>2</v>
      </c>
      <c r="AH67">
        <v>1</v>
      </c>
      <c r="AI67">
        <f t="shared" si="41"/>
        <v>1</v>
      </c>
      <c r="AJ67">
        <f t="shared" si="42"/>
        <v>1</v>
      </c>
      <c r="AK67">
        <f t="shared" si="43"/>
        <v>1</v>
      </c>
      <c r="AL67">
        <f t="shared" si="44"/>
        <v>3</v>
      </c>
      <c r="AM67">
        <f t="shared" si="45"/>
        <v>0</v>
      </c>
      <c r="AN67">
        <f t="shared" si="46"/>
        <v>0</v>
      </c>
      <c r="AO67">
        <f t="shared" si="47"/>
        <v>0</v>
      </c>
      <c r="AP67">
        <f t="shared" si="48"/>
        <v>0</v>
      </c>
    </row>
    <row r="68" spans="1:42" ht="15" customHeight="1" x14ac:dyDescent="0.25">
      <c r="A68" s="87" t="s">
        <v>290</v>
      </c>
      <c r="B68" s="87"/>
      <c r="C68" s="87"/>
      <c r="D68" s="87"/>
      <c r="E68" s="87"/>
      <c r="F68" s="87"/>
      <c r="G68" s="87"/>
      <c r="H68">
        <f t="shared" si="27"/>
        <v>0</v>
      </c>
      <c r="I68">
        <f>IF(OR(D68=Params_and_stats!$B$4, F68=Params_and_stats!$B$4), 1, 0)</f>
        <v>0</v>
      </c>
      <c r="J68">
        <f t="shared" si="28"/>
        <v>0</v>
      </c>
      <c r="K68">
        <f t="shared" si="29"/>
        <v>0</v>
      </c>
      <c r="L68" t="e">
        <f>VLOOKUP($D68,ELO_ratings!$A$2:$G$101,2,FALSE)</f>
        <v>#N/A</v>
      </c>
      <c r="M68" t="e">
        <f>VLOOKUP($F68,ELO_ratings!$A$2:$G$101,2,FALSE)</f>
        <v>#N/A</v>
      </c>
      <c r="N68" t="e">
        <f>VLOOKUP($D68,ELO_ratings!$A$2:$G$101,7,FALSE)</f>
        <v>#N/A</v>
      </c>
      <c r="O68" t="e">
        <f>VLOOKUP($F68,ELO_ratings!$A$2:$G$101,7,FALSE)</f>
        <v>#N/A</v>
      </c>
      <c r="P68" t="e">
        <f>VLOOKUP($D68,ELO_ratings!$A$2:$G$101,6,FALSE)</f>
        <v>#N/A</v>
      </c>
      <c r="Q68" t="e">
        <f>VLOOKUP($F68,ELO_ratings!$A$2:$G$101,6,FALSE)</f>
        <v>#N/A</v>
      </c>
      <c r="R68" t="e">
        <f t="shared" si="30"/>
        <v>#N/A</v>
      </c>
      <c r="S68" t="e">
        <f t="shared" si="31"/>
        <v>#N/A</v>
      </c>
      <c r="T68" s="32" t="e">
        <f t="shared" si="32"/>
        <v>#N/A</v>
      </c>
      <c r="U68" s="33" t="e">
        <f>ROUND(Params_and_stats!$B$2*(T68-0.5),0)</f>
        <v>#N/A</v>
      </c>
      <c r="V68">
        <f t="shared" si="33"/>
        <v>0</v>
      </c>
      <c r="W68">
        <f t="shared" si="34"/>
        <v>0</v>
      </c>
      <c r="X68" t="e">
        <f>VLOOKUP($D68,Qualifying_goals!$A$2:$G$33,7,FALSE)</f>
        <v>#N/A</v>
      </c>
      <c r="Y68" t="e">
        <f>VLOOKUP($F68,Qualifying_goals!$A$2:$G$33,7,FALSE)</f>
        <v>#N/A</v>
      </c>
      <c r="Z68" t="e">
        <f t="shared" si="35"/>
        <v>#N/A</v>
      </c>
      <c r="AA68" t="e">
        <f>IF(Z68&lt;=Params_and_stats!$B$3,1,0)</f>
        <v>#N/A</v>
      </c>
      <c r="AB68" t="str">
        <f t="shared" si="36"/>
        <v/>
      </c>
      <c r="AC68" t="str">
        <f t="shared" si="37"/>
        <v/>
      </c>
      <c r="AD68" t="e">
        <f t="shared" si="38"/>
        <v>#VALUE!</v>
      </c>
      <c r="AE68">
        <f t="shared" si="39"/>
        <v>0</v>
      </c>
      <c r="AF68" t="str">
        <f t="shared" si="40"/>
        <v/>
      </c>
      <c r="AI68">
        <f t="shared" si="41"/>
        <v>0</v>
      </c>
      <c r="AJ68">
        <f t="shared" si="42"/>
        <v>0</v>
      </c>
      <c r="AK68">
        <f t="shared" si="43"/>
        <v>0</v>
      </c>
      <c r="AL68" t="str">
        <f t="shared" si="44"/>
        <v/>
      </c>
      <c r="AM68" t="str">
        <f t="shared" si="45"/>
        <v/>
      </c>
      <c r="AN68" t="str">
        <f t="shared" si="46"/>
        <v/>
      </c>
      <c r="AO68" t="str">
        <f t="shared" si="47"/>
        <v/>
      </c>
      <c r="AP68" t="str">
        <f t="shared" si="48"/>
        <v/>
      </c>
    </row>
    <row r="69" spans="1:42" x14ac:dyDescent="0.25">
      <c r="A69" s="66"/>
      <c r="B69" s="67">
        <v>0.625</v>
      </c>
      <c r="C69" s="68"/>
      <c r="D69" s="5" t="s">
        <v>155</v>
      </c>
      <c r="E69" s="6" t="s">
        <v>147</v>
      </c>
      <c r="F69" s="7" t="s">
        <v>146</v>
      </c>
      <c r="G69" s="69"/>
      <c r="H69">
        <f t="shared" si="27"/>
        <v>1</v>
      </c>
      <c r="I69">
        <f>IF(OR(D69=Params_and_stats!$B$4, F69=Params_and_stats!$B$4), 1, 0)</f>
        <v>0</v>
      </c>
      <c r="J69">
        <f t="shared" si="28"/>
        <v>0</v>
      </c>
      <c r="K69">
        <f t="shared" si="29"/>
        <v>1</v>
      </c>
      <c r="L69">
        <f>VLOOKUP($D69,ELO_ratings!$A$2:$G$101,2,FALSE)</f>
        <v>3</v>
      </c>
      <c r="M69">
        <f>VLOOKUP($F69,ELO_ratings!$A$2:$G$101,2,FALSE)</f>
        <v>45</v>
      </c>
      <c r="N69">
        <f>VLOOKUP($D69,ELO_ratings!$A$2:$G$101,7,FALSE)</f>
        <v>8</v>
      </c>
      <c r="O69">
        <f>VLOOKUP($F69,ELO_ratings!$A$2:$G$101,7,FALSE)</f>
        <v>66</v>
      </c>
      <c r="P69">
        <f>VLOOKUP($D69,ELO_ratings!$A$2:$G$101,6,FALSE)</f>
        <v>2049</v>
      </c>
      <c r="Q69">
        <f>VLOOKUP($F69,ELO_ratings!$A$2:$G$101,6,FALSE)</f>
        <v>1685</v>
      </c>
      <c r="R69">
        <f t="shared" si="30"/>
        <v>364</v>
      </c>
      <c r="S69">
        <f t="shared" si="31"/>
        <v>264</v>
      </c>
      <c r="T69" s="32">
        <f t="shared" si="32"/>
        <v>0.820495207286423</v>
      </c>
      <c r="U69" s="33">
        <f>ROUND(Params_and_stats!$B$2*(T69-0.5),0)</f>
        <v>1</v>
      </c>
      <c r="V69">
        <f t="shared" si="33"/>
        <v>1</v>
      </c>
      <c r="W69">
        <f t="shared" si="34"/>
        <v>1</v>
      </c>
      <c r="X69">
        <f>VLOOKUP($D69,Qualifying_goals!$A$2:$G$33,7,FALSE)</f>
        <v>4</v>
      </c>
      <c r="Y69">
        <f>VLOOKUP($F69,Qualifying_goals!$A$2:$G$33,7,FALSE)</f>
        <v>16</v>
      </c>
      <c r="Z69">
        <f t="shared" si="35"/>
        <v>10</v>
      </c>
      <c r="AA69">
        <f>IF(Z69&lt;=Params_and_stats!$B$3,1,0)</f>
        <v>1</v>
      </c>
      <c r="AB69">
        <f t="shared" si="36"/>
        <v>2</v>
      </c>
      <c r="AC69">
        <f t="shared" si="37"/>
        <v>1</v>
      </c>
      <c r="AD69">
        <f t="shared" si="38"/>
        <v>1</v>
      </c>
      <c r="AE69">
        <f t="shared" si="39"/>
        <v>1</v>
      </c>
      <c r="AF69">
        <f t="shared" si="40"/>
        <v>3</v>
      </c>
      <c r="AG69">
        <v>1</v>
      </c>
      <c r="AH69">
        <v>1</v>
      </c>
      <c r="AI69">
        <f t="shared" si="41"/>
        <v>0</v>
      </c>
      <c r="AJ69">
        <f t="shared" si="42"/>
        <v>0</v>
      </c>
      <c r="AK69">
        <f t="shared" si="43"/>
        <v>0</v>
      </c>
      <c r="AL69">
        <f t="shared" si="44"/>
        <v>2</v>
      </c>
      <c r="AM69">
        <f t="shared" si="45"/>
        <v>0</v>
      </c>
      <c r="AN69">
        <f t="shared" si="46"/>
        <v>0</v>
      </c>
      <c r="AO69">
        <f t="shared" si="47"/>
        <v>0</v>
      </c>
      <c r="AP69">
        <f t="shared" si="48"/>
        <v>0</v>
      </c>
    </row>
    <row r="70" spans="1:42" x14ac:dyDescent="0.25">
      <c r="A70" s="70"/>
      <c r="B70" s="71">
        <v>0.79166666666666663</v>
      </c>
      <c r="C70" s="72"/>
      <c r="D70" s="16" t="s">
        <v>163</v>
      </c>
      <c r="E70" s="17" t="s">
        <v>147</v>
      </c>
      <c r="F70" s="18" t="s">
        <v>162</v>
      </c>
      <c r="G70" s="73"/>
      <c r="H70">
        <f t="shared" si="27"/>
        <v>1</v>
      </c>
      <c r="I70">
        <f>IF(OR(D70=Params_and_stats!$B$4, F70=Params_and_stats!$B$4), 1, 0)</f>
        <v>0</v>
      </c>
      <c r="J70">
        <f t="shared" si="28"/>
        <v>0</v>
      </c>
      <c r="K70">
        <f t="shared" si="29"/>
        <v>0</v>
      </c>
      <c r="L70">
        <f>VLOOKUP($D70,ELO_ratings!$A$2:$G$101,2,FALSE)</f>
        <v>17</v>
      </c>
      <c r="M70">
        <f>VLOOKUP($F70,ELO_ratings!$A$2:$G$101,2,FALSE)</f>
        <v>18</v>
      </c>
      <c r="N70">
        <f>VLOOKUP($D70,ELO_ratings!$A$2:$G$101,7,FALSE)</f>
        <v>18</v>
      </c>
      <c r="O70">
        <f>VLOOKUP($F70,ELO_ratings!$A$2:$G$101,7,FALSE)</f>
        <v>12</v>
      </c>
      <c r="P70">
        <f>VLOOKUP($D70,ELO_ratings!$A$2:$G$101,6,FALSE)</f>
        <v>1853</v>
      </c>
      <c r="Q70">
        <f>VLOOKUP($F70,ELO_ratings!$A$2:$G$101,6,FALSE)</f>
        <v>1843</v>
      </c>
      <c r="R70">
        <f t="shared" si="30"/>
        <v>10</v>
      </c>
      <c r="S70">
        <f t="shared" si="31"/>
        <v>10</v>
      </c>
      <c r="T70" s="32">
        <f t="shared" si="32"/>
        <v>0.51438718416599871</v>
      </c>
      <c r="U70" s="33">
        <f>ROUND(Params_and_stats!$B$2*(T70-0.5),0)</f>
        <v>0</v>
      </c>
      <c r="V70">
        <f t="shared" si="33"/>
        <v>0</v>
      </c>
      <c r="W70">
        <f t="shared" si="34"/>
        <v>0</v>
      </c>
      <c r="X70">
        <f>VLOOKUP($D70,Qualifying_goals!$A$2:$G$33,7,FALSE)</f>
        <v>28</v>
      </c>
      <c r="Y70">
        <f>VLOOKUP($F70,Qualifying_goals!$A$2:$G$33,7,FALSE)</f>
        <v>12</v>
      </c>
      <c r="Z70">
        <f t="shared" si="35"/>
        <v>20</v>
      </c>
      <c r="AA70">
        <f>IF(Z70&lt;=Params_and_stats!$B$3,1,0)</f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  <c r="AF70">
        <f t="shared" si="40"/>
        <v>0</v>
      </c>
      <c r="AG70">
        <v>1</v>
      </c>
      <c r="AH70">
        <v>1</v>
      </c>
      <c r="AI70">
        <f t="shared" si="41"/>
        <v>0</v>
      </c>
      <c r="AJ70">
        <f t="shared" si="42"/>
        <v>0</v>
      </c>
      <c r="AK70">
        <f t="shared" si="43"/>
        <v>0</v>
      </c>
      <c r="AL70">
        <f t="shared" si="44"/>
        <v>2</v>
      </c>
      <c r="AM70">
        <f t="shared" si="45"/>
        <v>0</v>
      </c>
      <c r="AN70">
        <f t="shared" si="46"/>
        <v>1</v>
      </c>
      <c r="AO70">
        <f t="shared" si="47"/>
        <v>1</v>
      </c>
      <c r="AP70">
        <f t="shared" si="48"/>
        <v>2</v>
      </c>
    </row>
    <row r="71" spans="1:42" x14ac:dyDescent="0.25">
      <c r="A71" s="85" t="s">
        <v>291</v>
      </c>
      <c r="B71" s="85"/>
      <c r="C71" s="85"/>
      <c r="D71" s="85"/>
      <c r="E71" s="85"/>
      <c r="F71" s="85"/>
      <c r="G71" s="85"/>
      <c r="H71">
        <f t="shared" ref="H71:H76" si="49">IF(A71="",1,0)</f>
        <v>0</v>
      </c>
      <c r="I71">
        <f>IF(OR(D71=Params_and_stats!$B$4, F71=Params_and_stats!$B$4), 1, 0)</f>
        <v>0</v>
      </c>
      <c r="J71">
        <f t="shared" ref="J71:J76" si="50">IF(D71="Russia",1,0)</f>
        <v>0</v>
      </c>
      <c r="K71">
        <f t="shared" ref="K71:K76" si="51">IF(F71="Russia",1,0)</f>
        <v>0</v>
      </c>
      <c r="L71" t="e">
        <f>VLOOKUP($D71,ELO_ratings!$A$2:$G$101,2,FALSE)</f>
        <v>#N/A</v>
      </c>
      <c r="M71" t="e">
        <f>VLOOKUP($F71,ELO_ratings!$A$2:$G$101,2,FALSE)</f>
        <v>#N/A</v>
      </c>
      <c r="N71" t="e">
        <f>VLOOKUP($D71,ELO_ratings!$A$2:$G$101,7,FALSE)</f>
        <v>#N/A</v>
      </c>
      <c r="O71" t="e">
        <f>VLOOKUP($F71,ELO_ratings!$A$2:$G$101,7,FALSE)</f>
        <v>#N/A</v>
      </c>
      <c r="P71" t="e">
        <f>VLOOKUP($D71,ELO_ratings!$A$2:$G$101,6,FALSE)</f>
        <v>#N/A</v>
      </c>
      <c r="Q71" t="e">
        <f>VLOOKUP($F71,ELO_ratings!$A$2:$G$101,6,FALSE)</f>
        <v>#N/A</v>
      </c>
      <c r="R71" t="e">
        <f t="shared" ref="R71:R76" si="52">P71-Q71</f>
        <v>#N/A</v>
      </c>
      <c r="S71" t="e">
        <f t="shared" ref="S71:S76" si="53">R71+(100*J71)-(100*K71)</f>
        <v>#N/A</v>
      </c>
      <c r="T71" s="32" t="e">
        <f t="shared" ref="T71:T76" si="54">POWER(POWER(10,-S71/400)+1,-1)</f>
        <v>#N/A</v>
      </c>
      <c r="U71" s="33" t="e">
        <f>ROUND(Params_and_stats!$B$2*(T71-0.5),0)</f>
        <v>#N/A</v>
      </c>
      <c r="V71">
        <f t="shared" ref="V71:V76" si="55">IF(H71=1,SQRT(U71^2),0)</f>
        <v>0</v>
      </c>
      <c r="W71">
        <f t="shared" ref="W71:W76" si="56">IF(V71&gt;0,1,0)</f>
        <v>0</v>
      </c>
      <c r="X71" t="e">
        <f>VLOOKUP($D71,Qualifying_goals!$A$2:$G$33,7,FALSE)</f>
        <v>#N/A</v>
      </c>
      <c r="Y71" t="e">
        <f>VLOOKUP($F71,Qualifying_goals!$A$2:$G$33,7,FALSE)</f>
        <v>#N/A</v>
      </c>
      <c r="Z71" t="e">
        <f t="shared" ref="Z71:Z76" si="57">AVERAGE(X71:Y71)</f>
        <v>#N/A</v>
      </c>
      <c r="AA71" t="e">
        <f>IF(Z71&lt;=Params_and_stats!$B$3,1,0)</f>
        <v>#N/A</v>
      </c>
      <c r="AB71" t="str">
        <f t="shared" ref="AB71:AB76" si="58">IF(H71&lt;&gt;1,"",IF(U71&gt;0,U71+(1*AA71),1*AA71))</f>
        <v/>
      </c>
      <c r="AC71" t="str">
        <f t="shared" ref="AC71:AC76" si="59">IF(H71&lt;&gt;1,"",IF(U71&gt;0,1*AA71,-U71+(1*AA71)))</f>
        <v/>
      </c>
      <c r="AD71" t="e">
        <f t="shared" ref="AD71:AD76" si="60">AB71-AC71</f>
        <v>#VALUE!</v>
      </c>
      <c r="AE71">
        <f t="shared" ref="AE71:AE76" si="61">IF(H71=1,SQRT(AD71^2),0)</f>
        <v>0</v>
      </c>
      <c r="AF71" t="str">
        <f t="shared" ref="AF71:AF76" si="62">IF(H71=1,AB71+AC71,"")</f>
        <v/>
      </c>
      <c r="AI71">
        <f t="shared" ref="AI71:AI76" si="63">AG71-AH71</f>
        <v>0</v>
      </c>
      <c r="AJ71">
        <f t="shared" ref="AJ71:AJ76" si="64">IF(H71=1,SQRT(AI71^2),0)</f>
        <v>0</v>
      </c>
      <c r="AK71">
        <f t="shared" ref="AK71:AK76" si="65">IF(AJ71&gt;0,1,0)</f>
        <v>0</v>
      </c>
      <c r="AL71" t="str">
        <f t="shared" ref="AL71:AL76" si="66">IF(AG71&amp;AH71="","",AG71+AH71)</f>
        <v/>
      </c>
      <c r="AM71" t="str">
        <f t="shared" ref="AM71:AM76" si="67">IF(AG71&amp;AH71="","",IF(AND(AB71=AG71,AC71=AH71),1,0))</f>
        <v/>
      </c>
      <c r="AN71" t="str">
        <f t="shared" ref="AN71:AN76" si="68">IF(AG71&amp;AH71="","",IF(AB71-AC71=AG71-AH71,1,0))</f>
        <v/>
      </c>
      <c r="AO71" t="str">
        <f t="shared" ref="AO71:AO76" si="69">IF(AG71&amp;AH71="","",IF(OR(AND(AI71&gt;0,AD71&gt;0),AND(AI71=0,AD71=0),AND(AI71&lt;0,AD71&lt;0)),1,0))</f>
        <v/>
      </c>
      <c r="AP71" t="str">
        <f t="shared" ref="AP71:AP76" si="70">IF(AG71&amp;AH71="","",SUM(AM71:AO71))</f>
        <v/>
      </c>
    </row>
    <row r="72" spans="1:42" x14ac:dyDescent="0.25">
      <c r="A72" s="66"/>
      <c r="B72" s="74">
        <v>0.625</v>
      </c>
      <c r="C72" s="75"/>
      <c r="D72" s="5" t="s">
        <v>170</v>
      </c>
      <c r="E72" s="6" t="s">
        <v>147</v>
      </c>
      <c r="F72" s="7" t="s">
        <v>169</v>
      </c>
      <c r="G72" s="66" t="s">
        <v>292</v>
      </c>
      <c r="H72">
        <f t="shared" si="49"/>
        <v>1</v>
      </c>
      <c r="I72">
        <f>IF(OR(D72=Params_and_stats!$B$4, F72=Params_and_stats!$B$4), 1, 0)</f>
        <v>0</v>
      </c>
      <c r="J72">
        <f t="shared" si="50"/>
        <v>0</v>
      </c>
      <c r="K72">
        <f t="shared" si="51"/>
        <v>0</v>
      </c>
      <c r="L72">
        <f>VLOOKUP($D72,ELO_ratings!$A$2:$G$101,2,FALSE)</f>
        <v>1</v>
      </c>
      <c r="M72">
        <f>VLOOKUP($F72,ELO_ratings!$A$2:$G$101,2,FALSE)</f>
        <v>16</v>
      </c>
      <c r="N72">
        <f>VLOOKUP($D72,ELO_ratings!$A$2:$G$101,7,FALSE)</f>
        <v>2</v>
      </c>
      <c r="O72">
        <f>VLOOKUP($F72,ELO_ratings!$A$2:$G$101,7,FALSE)</f>
        <v>15</v>
      </c>
      <c r="P72">
        <f>VLOOKUP($D72,ELO_ratings!$A$2:$G$101,6,FALSE)</f>
        <v>2131</v>
      </c>
      <c r="Q72">
        <f>VLOOKUP($F72,ELO_ratings!$A$2:$G$101,6,FALSE)</f>
        <v>1857</v>
      </c>
      <c r="R72">
        <f t="shared" si="52"/>
        <v>274</v>
      </c>
      <c r="S72">
        <f t="shared" si="53"/>
        <v>274</v>
      </c>
      <c r="T72" s="32">
        <f t="shared" si="54"/>
        <v>0.82881764775427569</v>
      </c>
      <c r="U72" s="33">
        <f>ROUND(Params_and_stats!$B$2*(T72-0.5),0)</f>
        <v>1</v>
      </c>
      <c r="V72">
        <f t="shared" si="55"/>
        <v>1</v>
      </c>
      <c r="W72">
        <f t="shared" si="56"/>
        <v>1</v>
      </c>
      <c r="X72">
        <f>VLOOKUP($D72,Qualifying_goals!$A$2:$G$33,7,FALSE)</f>
        <v>10</v>
      </c>
      <c r="Y72">
        <f>VLOOKUP($F72,Qualifying_goals!$A$2:$G$33,7,FALSE)</f>
        <v>21</v>
      </c>
      <c r="Z72">
        <f t="shared" si="57"/>
        <v>15.5</v>
      </c>
      <c r="AA72">
        <f>IF(Z72&lt;=Params_and_stats!$B$3,1,0)</f>
        <v>1</v>
      </c>
      <c r="AB72">
        <f t="shared" si="58"/>
        <v>2</v>
      </c>
      <c r="AC72">
        <f t="shared" si="59"/>
        <v>1</v>
      </c>
      <c r="AD72">
        <f t="shared" si="60"/>
        <v>1</v>
      </c>
      <c r="AE72">
        <f t="shared" si="61"/>
        <v>1</v>
      </c>
      <c r="AF72">
        <f t="shared" si="62"/>
        <v>3</v>
      </c>
      <c r="AG72">
        <v>2</v>
      </c>
      <c r="AH72">
        <v>0</v>
      </c>
      <c r="AI72">
        <f t="shared" si="63"/>
        <v>2</v>
      </c>
      <c r="AJ72">
        <f t="shared" si="64"/>
        <v>2</v>
      </c>
      <c r="AK72">
        <f t="shared" si="65"/>
        <v>1</v>
      </c>
      <c r="AL72">
        <f t="shared" si="66"/>
        <v>2</v>
      </c>
      <c r="AM72">
        <f t="shared" si="67"/>
        <v>0</v>
      </c>
      <c r="AN72">
        <f t="shared" si="68"/>
        <v>0</v>
      </c>
      <c r="AO72">
        <f t="shared" si="69"/>
        <v>1</v>
      </c>
      <c r="AP72">
        <f t="shared" si="70"/>
        <v>1</v>
      </c>
    </row>
    <row r="73" spans="1:42" x14ac:dyDescent="0.25">
      <c r="A73" s="76"/>
      <c r="B73" s="20">
        <v>0.79166666666666663</v>
      </c>
      <c r="C73" s="21"/>
      <c r="D73" s="22" t="s">
        <v>175</v>
      </c>
      <c r="E73" s="23" t="s">
        <v>147</v>
      </c>
      <c r="F73" s="24" t="s">
        <v>181</v>
      </c>
      <c r="G73" s="76" t="s">
        <v>292</v>
      </c>
      <c r="H73">
        <f t="shared" si="49"/>
        <v>1</v>
      </c>
      <c r="I73">
        <f>IF(OR(D73=Params_and_stats!$B$4, F73=Params_and_stats!$B$4), 1, 0)</f>
        <v>0</v>
      </c>
      <c r="J73">
        <f t="shared" si="50"/>
        <v>0</v>
      </c>
      <c r="K73">
        <f t="shared" si="51"/>
        <v>0</v>
      </c>
      <c r="L73">
        <f>VLOOKUP($D73,ELO_ratings!$A$2:$G$101,2,FALSE)</f>
        <v>9</v>
      </c>
      <c r="M73">
        <f>VLOOKUP($F73,ELO_ratings!$A$2:$G$101,2,FALSE)</f>
        <v>44</v>
      </c>
      <c r="N73">
        <f>VLOOKUP($D73,ELO_ratings!$A$2:$G$101,7,FALSE)</f>
        <v>3</v>
      </c>
      <c r="O73">
        <f>VLOOKUP($F73,ELO_ratings!$A$2:$G$101,7,FALSE)</f>
        <v>60</v>
      </c>
      <c r="P73">
        <f>VLOOKUP($D73,ELO_ratings!$A$2:$G$101,6,FALSE)</f>
        <v>1931</v>
      </c>
      <c r="Q73">
        <f>VLOOKUP($F73,ELO_ratings!$A$2:$G$101,6,FALSE)</f>
        <v>1692</v>
      </c>
      <c r="R73">
        <f t="shared" si="52"/>
        <v>239</v>
      </c>
      <c r="S73">
        <f t="shared" si="53"/>
        <v>239</v>
      </c>
      <c r="T73" s="32">
        <f t="shared" si="54"/>
        <v>0.7983147441549775</v>
      </c>
      <c r="U73" s="33">
        <f>ROUND(Params_and_stats!$B$2*(T73-0.5),0)</f>
        <v>1</v>
      </c>
      <c r="V73">
        <f t="shared" si="55"/>
        <v>1</v>
      </c>
      <c r="W73">
        <f t="shared" si="56"/>
        <v>1</v>
      </c>
      <c r="X73">
        <f>VLOOKUP($D73,Qualifying_goals!$A$2:$G$33,7,FALSE)</f>
        <v>1</v>
      </c>
      <c r="Y73">
        <f>VLOOKUP($F73,Qualifying_goals!$A$2:$G$33,7,FALSE)</f>
        <v>12</v>
      </c>
      <c r="Z73">
        <f t="shared" si="57"/>
        <v>6.5</v>
      </c>
      <c r="AA73">
        <f>IF(Z73&lt;=Params_and_stats!$B$3,1,0)</f>
        <v>1</v>
      </c>
      <c r="AB73">
        <f t="shared" si="58"/>
        <v>2</v>
      </c>
      <c r="AC73">
        <f t="shared" si="59"/>
        <v>1</v>
      </c>
      <c r="AD73">
        <f t="shared" si="60"/>
        <v>1</v>
      </c>
      <c r="AE73">
        <f t="shared" si="61"/>
        <v>1</v>
      </c>
      <c r="AF73">
        <f t="shared" si="62"/>
        <v>3</v>
      </c>
      <c r="AG73">
        <v>3</v>
      </c>
      <c r="AH73">
        <v>2</v>
      </c>
      <c r="AI73">
        <f t="shared" si="63"/>
        <v>1</v>
      </c>
      <c r="AJ73">
        <f t="shared" si="64"/>
        <v>1</v>
      </c>
      <c r="AK73">
        <f t="shared" si="65"/>
        <v>1</v>
      </c>
      <c r="AL73">
        <f t="shared" si="66"/>
        <v>5</v>
      </c>
      <c r="AM73">
        <f t="shared" si="67"/>
        <v>0</v>
      </c>
      <c r="AN73">
        <f t="shared" si="68"/>
        <v>1</v>
      </c>
      <c r="AO73">
        <f t="shared" si="69"/>
        <v>1</v>
      </c>
      <c r="AP73">
        <f t="shared" si="70"/>
        <v>2</v>
      </c>
    </row>
    <row r="74" spans="1:42" x14ac:dyDescent="0.25">
      <c r="A74" s="85" t="s">
        <v>293</v>
      </c>
      <c r="B74" s="85"/>
      <c r="C74" s="85"/>
      <c r="D74" s="85"/>
      <c r="E74" s="85"/>
      <c r="F74" s="85"/>
      <c r="G74" s="85"/>
      <c r="H74">
        <f t="shared" si="49"/>
        <v>0</v>
      </c>
      <c r="I74">
        <f>IF(OR(D74=Params_and_stats!$B$4, F74=Params_and_stats!$B$4), 1, 0)</f>
        <v>0</v>
      </c>
      <c r="J74">
        <f t="shared" si="50"/>
        <v>0</v>
      </c>
      <c r="K74">
        <f t="shared" si="51"/>
        <v>0</v>
      </c>
      <c r="L74" t="e">
        <f>VLOOKUP($D74,ELO_ratings!$A$2:$G$101,2,FALSE)</f>
        <v>#N/A</v>
      </c>
      <c r="M74" t="e">
        <f>VLOOKUP($F74,ELO_ratings!$A$2:$G$101,2,FALSE)</f>
        <v>#N/A</v>
      </c>
      <c r="N74" t="e">
        <f>VLOOKUP($D74,ELO_ratings!$A$2:$G$101,7,FALSE)</f>
        <v>#N/A</v>
      </c>
      <c r="O74" t="e">
        <f>VLOOKUP($F74,ELO_ratings!$A$2:$G$101,7,FALSE)</f>
        <v>#N/A</v>
      </c>
      <c r="P74" t="e">
        <f>VLOOKUP($D74,ELO_ratings!$A$2:$G$101,6,FALSE)</f>
        <v>#N/A</v>
      </c>
      <c r="Q74" t="e">
        <f>VLOOKUP($F74,ELO_ratings!$A$2:$G$101,6,FALSE)</f>
        <v>#N/A</v>
      </c>
      <c r="R74" t="e">
        <f t="shared" si="52"/>
        <v>#N/A</v>
      </c>
      <c r="S74" t="e">
        <f t="shared" si="53"/>
        <v>#N/A</v>
      </c>
      <c r="T74" s="32" t="e">
        <f t="shared" si="54"/>
        <v>#N/A</v>
      </c>
      <c r="U74" s="33" t="e">
        <f>ROUND(Params_and_stats!$B$2*(T74-0.5),0)</f>
        <v>#N/A</v>
      </c>
      <c r="V74">
        <f t="shared" si="55"/>
        <v>0</v>
      </c>
      <c r="W74">
        <f t="shared" si="56"/>
        <v>0</v>
      </c>
      <c r="X74" t="e">
        <f>VLOOKUP($D74,Qualifying_goals!$A$2:$G$33,7,FALSE)</f>
        <v>#N/A</v>
      </c>
      <c r="Y74" t="e">
        <f>VLOOKUP($F74,Qualifying_goals!$A$2:$G$33,7,FALSE)</f>
        <v>#N/A</v>
      </c>
      <c r="Z74" t="e">
        <f t="shared" si="57"/>
        <v>#N/A</v>
      </c>
      <c r="AA74" t="e">
        <f>IF(Z74&lt;=Params_and_stats!$B$3,1,0)</f>
        <v>#N/A</v>
      </c>
      <c r="AB74" t="str">
        <f t="shared" si="58"/>
        <v/>
      </c>
      <c r="AC74" t="str">
        <f t="shared" si="59"/>
        <v/>
      </c>
      <c r="AD74" t="e">
        <f t="shared" si="60"/>
        <v>#VALUE!</v>
      </c>
      <c r="AE74">
        <f t="shared" si="61"/>
        <v>0</v>
      </c>
      <c r="AF74" t="str">
        <f t="shared" si="62"/>
        <v/>
      </c>
      <c r="AI74">
        <f t="shared" si="63"/>
        <v>0</v>
      </c>
      <c r="AJ74">
        <f t="shared" si="64"/>
        <v>0</v>
      </c>
      <c r="AK74">
        <f t="shared" si="65"/>
        <v>0</v>
      </c>
      <c r="AL74" t="str">
        <f t="shared" si="66"/>
        <v/>
      </c>
      <c r="AM74" t="str">
        <f t="shared" si="67"/>
        <v/>
      </c>
      <c r="AN74" t="str">
        <f t="shared" si="68"/>
        <v/>
      </c>
      <c r="AO74" t="str">
        <f t="shared" si="69"/>
        <v/>
      </c>
      <c r="AP74" t="str">
        <f t="shared" si="70"/>
        <v/>
      </c>
    </row>
    <row r="75" spans="1:42" x14ac:dyDescent="0.25">
      <c r="A75" s="66"/>
      <c r="B75" s="74">
        <v>0.625</v>
      </c>
      <c r="C75" s="75"/>
      <c r="D75" s="5" t="s">
        <v>173</v>
      </c>
      <c r="E75" s="6" t="s">
        <v>147</v>
      </c>
      <c r="F75" s="7" t="s">
        <v>171</v>
      </c>
      <c r="G75" s="69" t="s">
        <v>294</v>
      </c>
      <c r="H75">
        <f t="shared" si="49"/>
        <v>1</v>
      </c>
      <c r="I75">
        <f>IF(OR(D75=Params_and_stats!$B$4, F75=Params_and_stats!$B$4), 1, 0)</f>
        <v>0</v>
      </c>
      <c r="J75">
        <f t="shared" si="50"/>
        <v>0</v>
      </c>
      <c r="K75">
        <f t="shared" si="51"/>
        <v>0</v>
      </c>
      <c r="L75">
        <f>VLOOKUP($D75,ELO_ratings!$A$2:$G$101,2,FALSE)</f>
        <v>20</v>
      </c>
      <c r="M75">
        <f>VLOOKUP($F75,ELO_ratings!$A$2:$G$101,2,FALSE)</f>
        <v>14</v>
      </c>
      <c r="N75">
        <f>VLOOKUP($D75,ELO_ratings!$A$2:$G$101,7,FALSE)</f>
        <v>22</v>
      </c>
      <c r="O75">
        <f>VLOOKUP($F75,ELO_ratings!$A$2:$G$101,7,FALSE)</f>
        <v>6</v>
      </c>
      <c r="P75">
        <f>VLOOKUP($D75,ELO_ratings!$A$2:$G$101,6,FALSE)</f>
        <v>1796</v>
      </c>
      <c r="Q75">
        <f>VLOOKUP($F75,ELO_ratings!$A$2:$G$101,6,FALSE)</f>
        <v>1879</v>
      </c>
      <c r="R75">
        <f t="shared" si="52"/>
        <v>-83</v>
      </c>
      <c r="S75">
        <f t="shared" si="53"/>
        <v>-83</v>
      </c>
      <c r="T75" s="32">
        <f t="shared" si="54"/>
        <v>0.38277496909505365</v>
      </c>
      <c r="U75" s="33">
        <f>ROUND(Params_and_stats!$B$2*(T75-0.5),0)</f>
        <v>0</v>
      </c>
      <c r="V75">
        <f t="shared" si="55"/>
        <v>0</v>
      </c>
      <c r="W75">
        <f t="shared" si="56"/>
        <v>0</v>
      </c>
      <c r="X75">
        <f>VLOOKUP($D75,Qualifying_goals!$A$2:$G$33,7,FALSE)</f>
        <v>8</v>
      </c>
      <c r="Y75">
        <f>VLOOKUP($F75,Qualifying_goals!$A$2:$G$33,7,FALSE)</f>
        <v>17</v>
      </c>
      <c r="Z75">
        <f t="shared" si="57"/>
        <v>12.5</v>
      </c>
      <c r="AA75">
        <f>IF(Z75&lt;=Params_and_stats!$B$3,1,0)</f>
        <v>1</v>
      </c>
      <c r="AB75">
        <f t="shared" si="58"/>
        <v>1</v>
      </c>
      <c r="AC75">
        <f t="shared" si="59"/>
        <v>1</v>
      </c>
      <c r="AD75">
        <f t="shared" si="60"/>
        <v>0</v>
      </c>
      <c r="AE75">
        <f t="shared" si="61"/>
        <v>0</v>
      </c>
      <c r="AF75">
        <f t="shared" si="62"/>
        <v>2</v>
      </c>
      <c r="AG75">
        <v>1</v>
      </c>
      <c r="AH75">
        <v>0</v>
      </c>
      <c r="AI75">
        <f t="shared" si="63"/>
        <v>1</v>
      </c>
      <c r="AJ75">
        <f t="shared" si="64"/>
        <v>1</v>
      </c>
      <c r="AK75">
        <f t="shared" si="65"/>
        <v>1</v>
      </c>
      <c r="AL75">
        <f t="shared" si="66"/>
        <v>1</v>
      </c>
      <c r="AM75">
        <f t="shared" si="67"/>
        <v>0</v>
      </c>
      <c r="AN75">
        <f t="shared" si="68"/>
        <v>0</v>
      </c>
      <c r="AO75">
        <f t="shared" si="69"/>
        <v>0</v>
      </c>
      <c r="AP75">
        <f t="shared" si="70"/>
        <v>0</v>
      </c>
    </row>
    <row r="76" spans="1:42" x14ac:dyDescent="0.25">
      <c r="A76" s="77"/>
      <c r="B76" s="78">
        <v>0.79166666666666663</v>
      </c>
      <c r="C76" s="79"/>
      <c r="D76" s="11" t="s">
        <v>180</v>
      </c>
      <c r="E76" s="12" t="s">
        <v>147</v>
      </c>
      <c r="F76" s="13" t="s">
        <v>178</v>
      </c>
      <c r="G76" s="77" t="s">
        <v>295</v>
      </c>
      <c r="H76">
        <f t="shared" si="49"/>
        <v>1</v>
      </c>
      <c r="I76">
        <f>IF(OR(D76=Params_and_stats!$B$4, F76=Params_and_stats!$B$4), 1, 0)</f>
        <v>1</v>
      </c>
      <c r="J76">
        <f t="shared" si="50"/>
        <v>0</v>
      </c>
      <c r="K76">
        <f t="shared" si="51"/>
        <v>0</v>
      </c>
      <c r="L76">
        <f>VLOOKUP($D76,ELO_ratings!$A$2:$G$101,2,FALSE)</f>
        <v>8</v>
      </c>
      <c r="M76">
        <f>VLOOKUP($F76,ELO_ratings!$A$2:$G$101,2,FALSE)</f>
        <v>7</v>
      </c>
      <c r="N76">
        <f>VLOOKUP($D76,ELO_ratings!$A$2:$G$101,7,FALSE)</f>
        <v>16</v>
      </c>
      <c r="O76">
        <f>VLOOKUP($F76,ELO_ratings!$A$2:$G$101,7,FALSE)</f>
        <v>13</v>
      </c>
      <c r="P76">
        <f>VLOOKUP($D76,ELO_ratings!$A$2:$G$101,6,FALSE)</f>
        <v>1935</v>
      </c>
      <c r="Q76">
        <f>VLOOKUP($F76,ELO_ratings!$A$2:$G$101,6,FALSE)</f>
        <v>1941</v>
      </c>
      <c r="R76">
        <f t="shared" si="52"/>
        <v>-6</v>
      </c>
      <c r="S76">
        <f t="shared" si="53"/>
        <v>-6</v>
      </c>
      <c r="T76" s="32">
        <f t="shared" si="54"/>
        <v>0.49136616417891738</v>
      </c>
      <c r="U76" s="33">
        <f>ROUND(Params_and_stats!$B$2*(T76-0.5),0)</f>
        <v>0</v>
      </c>
      <c r="V76">
        <f t="shared" si="55"/>
        <v>0</v>
      </c>
      <c r="W76">
        <f t="shared" si="56"/>
        <v>0</v>
      </c>
      <c r="X76">
        <f>VLOOKUP($D76,Qualifying_goals!$A$2:$G$33,7,FALSE)</f>
        <v>25</v>
      </c>
      <c r="Y76">
        <f>VLOOKUP($F76,Qualifying_goals!$A$2:$G$33,7,FALSE)</f>
        <v>27</v>
      </c>
      <c r="Z76">
        <f t="shared" si="57"/>
        <v>26</v>
      </c>
      <c r="AA76">
        <f>IF(Z76&lt;=Params_and_stats!$B$3,1,0)</f>
        <v>0</v>
      </c>
      <c r="AB76">
        <f t="shared" si="58"/>
        <v>0</v>
      </c>
      <c r="AC76">
        <f t="shared" si="59"/>
        <v>0</v>
      </c>
      <c r="AD76">
        <f t="shared" si="60"/>
        <v>0</v>
      </c>
      <c r="AE76">
        <f t="shared" si="61"/>
        <v>0</v>
      </c>
      <c r="AF76">
        <f t="shared" si="62"/>
        <v>0</v>
      </c>
      <c r="AG76">
        <v>1</v>
      </c>
      <c r="AH76">
        <v>1</v>
      </c>
      <c r="AI76">
        <f t="shared" si="63"/>
        <v>0</v>
      </c>
      <c r="AJ76">
        <f t="shared" si="64"/>
        <v>0</v>
      </c>
      <c r="AK76">
        <f t="shared" si="65"/>
        <v>0</v>
      </c>
      <c r="AL76">
        <f t="shared" si="66"/>
        <v>2</v>
      </c>
      <c r="AM76">
        <f t="shared" si="67"/>
        <v>0</v>
      </c>
      <c r="AN76">
        <f t="shared" si="68"/>
        <v>1</v>
      </c>
      <c r="AO76">
        <f t="shared" si="69"/>
        <v>1</v>
      </c>
      <c r="AP76">
        <f t="shared" si="70"/>
        <v>2</v>
      </c>
    </row>
    <row r="77" spans="1:42" ht="15" customHeight="1" x14ac:dyDescent="0.25">
      <c r="A77" s="86" t="s">
        <v>296</v>
      </c>
      <c r="B77" s="86"/>
      <c r="C77" s="86"/>
      <c r="D77" s="86"/>
      <c r="E77" s="86"/>
      <c r="F77" s="86"/>
      <c r="G77" s="86"/>
      <c r="H77">
        <f t="shared" ref="H77:H82" si="71">IF(A77="",1,0)</f>
        <v>0</v>
      </c>
      <c r="I77">
        <f>IF(OR(D77=Params_and_stats!$B$4, F77=Params_and_stats!$B$4), 1, 0)</f>
        <v>0</v>
      </c>
      <c r="J77">
        <f t="shared" ref="J77:J82" si="72">IF(D77="Russia",1,0)</f>
        <v>0</v>
      </c>
      <c r="K77">
        <f t="shared" ref="K77:K82" si="73">IF(F77="Russia",1,0)</f>
        <v>0</v>
      </c>
      <c r="L77" t="e">
        <f>VLOOKUP($D77,ELO_ratings!$A$2:$G$101,2,FALSE)</f>
        <v>#N/A</v>
      </c>
      <c r="M77" t="e">
        <f>VLOOKUP($F77,ELO_ratings!$A$2:$G$101,2,FALSE)</f>
        <v>#N/A</v>
      </c>
      <c r="N77" t="e">
        <f>VLOOKUP($D77,ELO_ratings!$A$2:$G$101,7,FALSE)</f>
        <v>#N/A</v>
      </c>
      <c r="O77" t="e">
        <f>VLOOKUP($F77,ELO_ratings!$A$2:$G$101,7,FALSE)</f>
        <v>#N/A</v>
      </c>
      <c r="P77" t="e">
        <f>VLOOKUP($D77,ELO_ratings!$A$2:$G$101,6,FALSE)</f>
        <v>#N/A</v>
      </c>
      <c r="Q77" t="e">
        <f>VLOOKUP($F77,ELO_ratings!$A$2:$G$101,6,FALSE)</f>
        <v>#N/A</v>
      </c>
      <c r="R77" t="e">
        <f t="shared" ref="R77:R82" si="74">P77-Q77</f>
        <v>#N/A</v>
      </c>
      <c r="S77" t="e">
        <f t="shared" ref="S77:S82" si="75">R77+(100*J77)-(100*K77)</f>
        <v>#N/A</v>
      </c>
      <c r="T77" s="32" t="e">
        <f t="shared" ref="T77:T82" si="76">POWER(POWER(10,-S77/400)+1,-1)</f>
        <v>#N/A</v>
      </c>
      <c r="U77" s="33" t="e">
        <f>ROUND(Params_and_stats!$B$2*(T77-0.5),0)</f>
        <v>#N/A</v>
      </c>
      <c r="V77">
        <f t="shared" ref="V77:V82" si="77">IF(H77=1,SQRT(U77^2),0)</f>
        <v>0</v>
      </c>
      <c r="W77">
        <f t="shared" ref="W77:W82" si="78">IF(V77&gt;0,1,0)</f>
        <v>0</v>
      </c>
      <c r="X77" t="e">
        <f>VLOOKUP($D77,Qualifying_goals!$A$2:$G$33,7,FALSE)</f>
        <v>#N/A</v>
      </c>
      <c r="Y77" t="e">
        <f>VLOOKUP($F77,Qualifying_goals!$A$2:$G$33,7,FALSE)</f>
        <v>#N/A</v>
      </c>
      <c r="Z77" t="e">
        <f t="shared" ref="Z77:Z82" si="79">AVERAGE(X77:Y77)</f>
        <v>#N/A</v>
      </c>
      <c r="AA77" t="e">
        <f>IF(Z77&lt;=Params_and_stats!$B$3,1,0)</f>
        <v>#N/A</v>
      </c>
      <c r="AB77" t="str">
        <f t="shared" ref="AB77:AB82" si="80">IF(H77&lt;&gt;1,"",IF(U77&gt;0,U77+(1*AA77),1*AA77))</f>
        <v/>
      </c>
      <c r="AC77" t="str">
        <f t="shared" ref="AC77:AC82" si="81">IF(H77&lt;&gt;1,"",IF(U77&gt;0,1*AA77,-U77+(1*AA77)))</f>
        <v/>
      </c>
      <c r="AD77" t="e">
        <f t="shared" ref="AD77:AD82" si="82">AB77-AC77</f>
        <v>#VALUE!</v>
      </c>
      <c r="AE77">
        <f t="shared" ref="AE77:AE82" si="83">IF(H77=1,SQRT(AD77^2),0)</f>
        <v>0</v>
      </c>
      <c r="AF77" t="str">
        <f t="shared" ref="AF77:AF82" si="84">IF(H77=1,AB77+AC77,"")</f>
        <v/>
      </c>
      <c r="AI77">
        <f t="shared" ref="AI77:AI82" si="85">AG77-AH77</f>
        <v>0</v>
      </c>
      <c r="AJ77">
        <f t="shared" ref="AJ77:AJ82" si="86">IF(H77=1,SQRT(AI77^2),0)</f>
        <v>0</v>
      </c>
      <c r="AK77">
        <f t="shared" ref="AK77:AK82" si="87">IF(AJ77&gt;0,1,0)</f>
        <v>0</v>
      </c>
      <c r="AL77" t="str">
        <f t="shared" ref="AL77:AL82" si="88">IF(AG77&amp;AH77="","",AG77+AH77)</f>
        <v/>
      </c>
      <c r="AM77" t="str">
        <f t="shared" ref="AM77:AM82" si="89">IF(AG77&amp;AH77="","",IF(AND(AB77=AG77,AC77=AH77),1,0))</f>
        <v/>
      </c>
      <c r="AN77" t="str">
        <f t="shared" ref="AN77:AN82" si="90">IF(AG77&amp;AH77="","",IF(AB77-AC77=AG77-AH77,1,0))</f>
        <v/>
      </c>
      <c r="AO77" t="str">
        <f t="shared" ref="AO77:AO82" si="91">IF(AG77&amp;AH77="","",IF(OR(AND(AI77&gt;0,AD77&gt;0),AND(AI77=0,AD77=0),AND(AI77&lt;0,AD77&lt;0)),1,0))</f>
        <v/>
      </c>
      <c r="AP77" t="str">
        <f t="shared" ref="AP77:AP82" si="92">IF(AG77&amp;AH77="","",SUM(AM77:AO77))</f>
        <v/>
      </c>
    </row>
    <row r="78" spans="1:42" x14ac:dyDescent="0.25">
      <c r="A78" s="66"/>
      <c r="B78" s="3">
        <v>0.625</v>
      </c>
      <c r="C78" s="4"/>
      <c r="D78" s="5" t="s">
        <v>151</v>
      </c>
      <c r="E78" s="6" t="s">
        <v>147</v>
      </c>
      <c r="F78" s="7" t="s">
        <v>157</v>
      </c>
      <c r="G78" s="80" t="s">
        <v>297</v>
      </c>
      <c r="H78">
        <f t="shared" si="71"/>
        <v>1</v>
      </c>
      <c r="I78">
        <f>IF(OR(D78=Params_and_stats!$B$4, F78=Params_and_stats!$B$4), 1, 0)</f>
        <v>0</v>
      </c>
      <c r="J78">
        <f t="shared" si="72"/>
        <v>0</v>
      </c>
      <c r="K78">
        <f t="shared" si="73"/>
        <v>0</v>
      </c>
      <c r="L78">
        <f>VLOOKUP($D78,ELO_ratings!$A$2:$G$101,2,FALSE)</f>
        <v>13</v>
      </c>
      <c r="M78">
        <f>VLOOKUP($F78,ELO_ratings!$A$2:$G$101,2,FALSE)</f>
        <v>4</v>
      </c>
      <c r="N78">
        <f>VLOOKUP($D78,ELO_ratings!$A$2:$G$101,7,FALSE)</f>
        <v>17</v>
      </c>
      <c r="O78">
        <f>VLOOKUP($F78,ELO_ratings!$A$2:$G$101,7,FALSE)</f>
        <v>7</v>
      </c>
      <c r="P78">
        <f>VLOOKUP($D78,ELO_ratings!$A$2:$G$101,6,FALSE)</f>
        <v>1891</v>
      </c>
      <c r="Q78">
        <f>VLOOKUP($F78,ELO_ratings!$A$2:$G$101,6,FALSE)</f>
        <v>1987</v>
      </c>
      <c r="R78">
        <f t="shared" si="74"/>
        <v>-96</v>
      </c>
      <c r="S78">
        <f t="shared" si="75"/>
        <v>-96</v>
      </c>
      <c r="T78" s="32">
        <f t="shared" si="76"/>
        <v>0.36525666494768316</v>
      </c>
      <c r="U78" s="33">
        <f>ROUND(Params_and_stats!$B$2*(T78-0.5),0)</f>
        <v>-1</v>
      </c>
      <c r="V78">
        <f t="shared" si="77"/>
        <v>1</v>
      </c>
      <c r="W78">
        <f t="shared" si="78"/>
        <v>1</v>
      </c>
      <c r="X78">
        <f>VLOOKUP($D78,Qualifying_goals!$A$2:$G$33,7,FALSE)</f>
        <v>11</v>
      </c>
      <c r="Y78">
        <f>VLOOKUP($F78,Qualifying_goals!$A$2:$G$33,7,FALSE)</f>
        <v>19</v>
      </c>
      <c r="Z78">
        <f t="shared" si="79"/>
        <v>15</v>
      </c>
      <c r="AA78">
        <f>IF(Z78&lt;=Params_and_stats!$B$3,1,0)</f>
        <v>1</v>
      </c>
      <c r="AB78">
        <f t="shared" si="80"/>
        <v>1</v>
      </c>
      <c r="AC78">
        <f t="shared" si="81"/>
        <v>2</v>
      </c>
      <c r="AD78">
        <f t="shared" si="82"/>
        <v>-1</v>
      </c>
      <c r="AE78">
        <f t="shared" si="83"/>
        <v>1</v>
      </c>
      <c r="AF78">
        <f t="shared" si="84"/>
        <v>3</v>
      </c>
      <c r="AG78">
        <v>0</v>
      </c>
      <c r="AH78">
        <v>2</v>
      </c>
      <c r="AI78">
        <f t="shared" si="85"/>
        <v>-2</v>
      </c>
      <c r="AJ78">
        <f t="shared" si="86"/>
        <v>2</v>
      </c>
      <c r="AK78">
        <f t="shared" si="87"/>
        <v>1</v>
      </c>
      <c r="AL78">
        <f t="shared" si="88"/>
        <v>2</v>
      </c>
      <c r="AM78">
        <f t="shared" si="89"/>
        <v>0</v>
      </c>
      <c r="AN78">
        <f t="shared" si="90"/>
        <v>0</v>
      </c>
      <c r="AO78">
        <f t="shared" si="91"/>
        <v>1</v>
      </c>
      <c r="AP78">
        <f t="shared" si="92"/>
        <v>1</v>
      </c>
    </row>
    <row r="79" spans="1:42" x14ac:dyDescent="0.25">
      <c r="A79" s="70"/>
      <c r="B79" s="14">
        <v>0.79166666666666663</v>
      </c>
      <c r="C79" s="15"/>
      <c r="D79" s="16" t="s">
        <v>170</v>
      </c>
      <c r="E79" s="17" t="s">
        <v>147</v>
      </c>
      <c r="F79" s="18" t="s">
        <v>175</v>
      </c>
      <c r="G79" s="81" t="s">
        <v>298</v>
      </c>
      <c r="H79">
        <f t="shared" si="71"/>
        <v>1</v>
      </c>
      <c r="I79">
        <f>IF(OR(D79=Params_and_stats!$B$4, F79=Params_and_stats!$B$4), 1, 0)</f>
        <v>0</v>
      </c>
      <c r="J79">
        <f t="shared" si="72"/>
        <v>0</v>
      </c>
      <c r="K79">
        <f t="shared" si="73"/>
        <v>0</v>
      </c>
      <c r="L79">
        <f>VLOOKUP($D79,ELO_ratings!$A$2:$G$101,2,FALSE)</f>
        <v>1</v>
      </c>
      <c r="M79">
        <f>VLOOKUP($F79,ELO_ratings!$A$2:$G$101,2,FALSE)</f>
        <v>9</v>
      </c>
      <c r="N79">
        <f>VLOOKUP($D79,ELO_ratings!$A$2:$G$101,7,FALSE)</f>
        <v>2</v>
      </c>
      <c r="O79">
        <f>VLOOKUP($F79,ELO_ratings!$A$2:$G$101,7,FALSE)</f>
        <v>3</v>
      </c>
      <c r="P79">
        <f>VLOOKUP($D79,ELO_ratings!$A$2:$G$101,6,FALSE)</f>
        <v>2131</v>
      </c>
      <c r="Q79">
        <f>VLOOKUP($F79,ELO_ratings!$A$2:$G$101,6,FALSE)</f>
        <v>1931</v>
      </c>
      <c r="R79">
        <f t="shared" si="74"/>
        <v>200</v>
      </c>
      <c r="S79">
        <f t="shared" si="75"/>
        <v>200</v>
      </c>
      <c r="T79" s="32">
        <f t="shared" si="76"/>
        <v>0.75974692664795784</v>
      </c>
      <c r="U79" s="33">
        <f>ROUND(Params_and_stats!$B$2*(T79-0.5),0)</f>
        <v>1</v>
      </c>
      <c r="V79">
        <f t="shared" si="77"/>
        <v>1</v>
      </c>
      <c r="W79">
        <f t="shared" si="78"/>
        <v>1</v>
      </c>
      <c r="X79">
        <f>VLOOKUP($D79,Qualifying_goals!$A$2:$G$33,7,FALSE)</f>
        <v>10</v>
      </c>
      <c r="Y79">
        <f>VLOOKUP($F79,Qualifying_goals!$A$2:$G$33,7,FALSE)</f>
        <v>1</v>
      </c>
      <c r="Z79">
        <f t="shared" si="79"/>
        <v>5.5</v>
      </c>
      <c r="AA79">
        <f>IF(Z79&lt;=Params_and_stats!$B$3,1,0)</f>
        <v>1</v>
      </c>
      <c r="AB79">
        <f t="shared" si="80"/>
        <v>2</v>
      </c>
      <c r="AC79">
        <f t="shared" si="81"/>
        <v>1</v>
      </c>
      <c r="AD79">
        <f t="shared" si="82"/>
        <v>1</v>
      </c>
      <c r="AE79">
        <f t="shared" si="83"/>
        <v>1</v>
      </c>
      <c r="AF79">
        <f t="shared" si="84"/>
        <v>3</v>
      </c>
      <c r="AG79" s="83">
        <v>1</v>
      </c>
      <c r="AH79" s="83">
        <v>2</v>
      </c>
      <c r="AI79">
        <f t="shared" si="85"/>
        <v>-1</v>
      </c>
      <c r="AJ79">
        <f t="shared" si="86"/>
        <v>1</v>
      </c>
      <c r="AK79">
        <f t="shared" si="87"/>
        <v>1</v>
      </c>
      <c r="AL79">
        <f t="shared" si="88"/>
        <v>3</v>
      </c>
      <c r="AM79">
        <f t="shared" si="89"/>
        <v>0</v>
      </c>
      <c r="AN79">
        <f t="shared" si="90"/>
        <v>0</v>
      </c>
      <c r="AO79">
        <f t="shared" si="91"/>
        <v>0</v>
      </c>
      <c r="AP79">
        <f t="shared" si="92"/>
        <v>0</v>
      </c>
    </row>
    <row r="80" spans="1:42" ht="15" customHeight="1" x14ac:dyDescent="0.25">
      <c r="A80" s="86" t="s">
        <v>299</v>
      </c>
      <c r="B80" s="86"/>
      <c r="C80" s="86"/>
      <c r="D80" s="86"/>
      <c r="E80" s="86"/>
      <c r="F80" s="86"/>
      <c r="G80" s="86"/>
      <c r="H80">
        <f t="shared" si="71"/>
        <v>0</v>
      </c>
      <c r="I80">
        <f>IF(OR(D80=Params_and_stats!$B$4, F80=Params_and_stats!$B$4), 1, 0)</f>
        <v>0</v>
      </c>
      <c r="J80">
        <f t="shared" si="72"/>
        <v>0</v>
      </c>
      <c r="K80">
        <f t="shared" si="73"/>
        <v>0</v>
      </c>
      <c r="L80" t="e">
        <f>VLOOKUP($D80,ELO_ratings!$A$2:$G$101,2,FALSE)</f>
        <v>#N/A</v>
      </c>
      <c r="M80" t="e">
        <f>VLOOKUP($F80,ELO_ratings!$A$2:$G$101,2,FALSE)</f>
        <v>#N/A</v>
      </c>
      <c r="N80" t="e">
        <f>VLOOKUP($D80,ELO_ratings!$A$2:$G$101,7,FALSE)</f>
        <v>#N/A</v>
      </c>
      <c r="O80" t="e">
        <f>VLOOKUP($F80,ELO_ratings!$A$2:$G$101,7,FALSE)</f>
        <v>#N/A</v>
      </c>
      <c r="P80" t="e">
        <f>VLOOKUP($D80,ELO_ratings!$A$2:$G$101,6,FALSE)</f>
        <v>#N/A</v>
      </c>
      <c r="Q80" t="e">
        <f>VLOOKUP($F80,ELO_ratings!$A$2:$G$101,6,FALSE)</f>
        <v>#N/A</v>
      </c>
      <c r="R80" t="e">
        <f t="shared" si="74"/>
        <v>#N/A</v>
      </c>
      <c r="S80" t="e">
        <f t="shared" si="75"/>
        <v>#N/A</v>
      </c>
      <c r="T80" s="32" t="e">
        <f t="shared" si="76"/>
        <v>#N/A</v>
      </c>
      <c r="U80" s="33" t="e">
        <f>ROUND(Params_and_stats!$B$2*(T80-0.5),0)</f>
        <v>#N/A</v>
      </c>
      <c r="V80">
        <f t="shared" si="77"/>
        <v>0</v>
      </c>
      <c r="W80">
        <f t="shared" si="78"/>
        <v>0</v>
      </c>
      <c r="X80" t="e">
        <f>VLOOKUP($D80,Qualifying_goals!$A$2:$G$33,7,FALSE)</f>
        <v>#N/A</v>
      </c>
      <c r="Y80" t="e">
        <f>VLOOKUP($F80,Qualifying_goals!$A$2:$G$33,7,FALSE)</f>
        <v>#N/A</v>
      </c>
      <c r="Z80" t="e">
        <f t="shared" si="79"/>
        <v>#N/A</v>
      </c>
      <c r="AA80" t="e">
        <f>IF(Z80&lt;=Params_and_stats!$B$3,1,0)</f>
        <v>#N/A</v>
      </c>
      <c r="AB80" t="str">
        <f t="shared" si="80"/>
        <v/>
      </c>
      <c r="AC80" t="str">
        <f t="shared" si="81"/>
        <v/>
      </c>
      <c r="AD80" t="e">
        <f t="shared" si="82"/>
        <v>#VALUE!</v>
      </c>
      <c r="AE80">
        <f t="shared" si="83"/>
        <v>0</v>
      </c>
      <c r="AF80" t="str">
        <f t="shared" si="84"/>
        <v/>
      </c>
      <c r="AI80">
        <f t="shared" si="85"/>
        <v>0</v>
      </c>
      <c r="AJ80">
        <f t="shared" si="86"/>
        <v>0</v>
      </c>
      <c r="AK80">
        <f t="shared" si="87"/>
        <v>0</v>
      </c>
      <c r="AL80" t="str">
        <f t="shared" si="88"/>
        <v/>
      </c>
      <c r="AM80" t="str">
        <f t="shared" si="89"/>
        <v/>
      </c>
      <c r="AN80" t="str">
        <f t="shared" si="90"/>
        <v/>
      </c>
      <c r="AO80" t="str">
        <f t="shared" si="91"/>
        <v/>
      </c>
      <c r="AP80" t="str">
        <f t="shared" si="92"/>
        <v/>
      </c>
    </row>
    <row r="81" spans="1:42" x14ac:dyDescent="0.25">
      <c r="A81" s="66"/>
      <c r="B81" s="3">
        <v>0.625</v>
      </c>
      <c r="C81" s="4"/>
      <c r="D81" s="5" t="s">
        <v>173</v>
      </c>
      <c r="E81" s="6" t="s">
        <v>147</v>
      </c>
      <c r="F81" s="7" t="s">
        <v>178</v>
      </c>
      <c r="G81" s="66">
        <v>2</v>
      </c>
      <c r="H81">
        <f t="shared" si="71"/>
        <v>1</v>
      </c>
      <c r="I81">
        <f>IF(OR(D81=Params_and_stats!$B$4, F81=Params_and_stats!$B$4), 1, 0)</f>
        <v>1</v>
      </c>
      <c r="J81">
        <f t="shared" si="72"/>
        <v>0</v>
      </c>
      <c r="K81">
        <f t="shared" si="73"/>
        <v>0</v>
      </c>
      <c r="L81">
        <f>VLOOKUP($D81,ELO_ratings!$A$2:$G$101,2,FALSE)</f>
        <v>20</v>
      </c>
      <c r="M81">
        <f>VLOOKUP($F81,ELO_ratings!$A$2:$G$101,2,FALSE)</f>
        <v>7</v>
      </c>
      <c r="N81">
        <f>VLOOKUP($D81,ELO_ratings!$A$2:$G$101,7,FALSE)</f>
        <v>22</v>
      </c>
      <c r="O81">
        <f>VLOOKUP($F81,ELO_ratings!$A$2:$G$101,7,FALSE)</f>
        <v>13</v>
      </c>
      <c r="P81">
        <f>VLOOKUP($D81,ELO_ratings!$A$2:$G$101,6,FALSE)</f>
        <v>1796</v>
      </c>
      <c r="Q81">
        <f>VLOOKUP($F81,ELO_ratings!$A$2:$G$101,6,FALSE)</f>
        <v>1941</v>
      </c>
      <c r="R81">
        <f t="shared" si="74"/>
        <v>-145</v>
      </c>
      <c r="S81">
        <f t="shared" si="75"/>
        <v>-145</v>
      </c>
      <c r="T81" s="32">
        <f t="shared" si="76"/>
        <v>0.30265492141014677</v>
      </c>
      <c r="U81" s="33">
        <f>ROUND(Params_and_stats!$B$2*(T81-0.5),0)</f>
        <v>-1</v>
      </c>
      <c r="V81">
        <f t="shared" si="77"/>
        <v>1</v>
      </c>
      <c r="W81">
        <f t="shared" si="78"/>
        <v>1</v>
      </c>
      <c r="X81">
        <f>VLOOKUP($D81,Qualifying_goals!$A$2:$G$33,7,FALSE)</f>
        <v>8</v>
      </c>
      <c r="Y81">
        <f>VLOOKUP($F81,Qualifying_goals!$A$2:$G$33,7,FALSE)</f>
        <v>27</v>
      </c>
      <c r="Z81">
        <f t="shared" si="79"/>
        <v>17.5</v>
      </c>
      <c r="AA81">
        <f>IF(Z81&lt;=Params_and_stats!$B$3,1,0)</f>
        <v>1</v>
      </c>
      <c r="AB81">
        <f t="shared" si="80"/>
        <v>1</v>
      </c>
      <c r="AC81">
        <f t="shared" si="81"/>
        <v>2</v>
      </c>
      <c r="AD81">
        <f t="shared" si="82"/>
        <v>-1</v>
      </c>
      <c r="AE81">
        <f t="shared" si="83"/>
        <v>1</v>
      </c>
      <c r="AF81">
        <f t="shared" si="84"/>
        <v>3</v>
      </c>
      <c r="AG81">
        <v>0</v>
      </c>
      <c r="AH81">
        <v>2</v>
      </c>
      <c r="AI81">
        <f t="shared" si="85"/>
        <v>-2</v>
      </c>
      <c r="AJ81">
        <f t="shared" si="86"/>
        <v>2</v>
      </c>
      <c r="AK81">
        <f t="shared" si="87"/>
        <v>1</v>
      </c>
      <c r="AL81">
        <f t="shared" si="88"/>
        <v>2</v>
      </c>
      <c r="AM81">
        <f t="shared" si="89"/>
        <v>0</v>
      </c>
      <c r="AN81">
        <f t="shared" si="90"/>
        <v>0</v>
      </c>
      <c r="AO81">
        <f t="shared" si="91"/>
        <v>1</v>
      </c>
      <c r="AP81">
        <f t="shared" si="92"/>
        <v>1</v>
      </c>
    </row>
    <row r="82" spans="1:42" x14ac:dyDescent="0.25">
      <c r="A82" s="70"/>
      <c r="B82" s="14">
        <v>0.79166666666666663</v>
      </c>
      <c r="C82" s="15"/>
      <c r="D82" s="16" t="s">
        <v>146</v>
      </c>
      <c r="E82" s="17" t="s">
        <v>147</v>
      </c>
      <c r="F82" s="18" t="s">
        <v>163</v>
      </c>
      <c r="G82" s="81" t="s">
        <v>300</v>
      </c>
      <c r="H82">
        <f t="shared" si="71"/>
        <v>1</v>
      </c>
      <c r="I82">
        <f>IF(OR(D82=Params_and_stats!$B$4, F82=Params_and_stats!$B$4), 1, 0)</f>
        <v>0</v>
      </c>
      <c r="J82">
        <f t="shared" si="72"/>
        <v>1</v>
      </c>
      <c r="K82">
        <f t="shared" si="73"/>
        <v>0</v>
      </c>
      <c r="L82">
        <f>VLOOKUP($D82,ELO_ratings!$A$2:$G$101,2,FALSE)</f>
        <v>45</v>
      </c>
      <c r="M82">
        <f>VLOOKUP($F82,ELO_ratings!$A$2:$G$101,2,FALSE)</f>
        <v>17</v>
      </c>
      <c r="N82">
        <f>VLOOKUP($D82,ELO_ratings!$A$2:$G$101,7,FALSE)</f>
        <v>66</v>
      </c>
      <c r="O82">
        <f>VLOOKUP($F82,ELO_ratings!$A$2:$G$101,7,FALSE)</f>
        <v>18</v>
      </c>
      <c r="P82">
        <f>VLOOKUP($D82,ELO_ratings!$A$2:$G$101,6,FALSE)</f>
        <v>1685</v>
      </c>
      <c r="Q82">
        <f>VLOOKUP($F82,ELO_ratings!$A$2:$G$101,6,FALSE)</f>
        <v>1853</v>
      </c>
      <c r="R82">
        <f t="shared" si="74"/>
        <v>-168</v>
      </c>
      <c r="S82">
        <f t="shared" si="75"/>
        <v>-68</v>
      </c>
      <c r="T82" s="32">
        <f t="shared" si="76"/>
        <v>0.40337082669422603</v>
      </c>
      <c r="U82" s="33">
        <f>ROUND(Params_and_stats!$B$2*(T82-0.5),0)</f>
        <v>0</v>
      </c>
      <c r="V82">
        <f t="shared" si="77"/>
        <v>0</v>
      </c>
      <c r="W82">
        <f t="shared" si="78"/>
        <v>0</v>
      </c>
      <c r="X82">
        <f>VLOOKUP($D82,Qualifying_goals!$A$2:$G$33,7,FALSE)</f>
        <v>16</v>
      </c>
      <c r="Y82">
        <f>VLOOKUP($F82,Qualifying_goals!$A$2:$G$33,7,FALSE)</f>
        <v>28</v>
      </c>
      <c r="Z82">
        <f t="shared" si="79"/>
        <v>22</v>
      </c>
      <c r="AA82">
        <f>IF(Z82&lt;=Params_and_stats!$B$3,1,0)</f>
        <v>0</v>
      </c>
      <c r="AB82">
        <f t="shared" si="80"/>
        <v>0</v>
      </c>
      <c r="AC82">
        <f t="shared" si="81"/>
        <v>0</v>
      </c>
      <c r="AD82">
        <f t="shared" si="82"/>
        <v>0</v>
      </c>
      <c r="AE82">
        <f t="shared" si="83"/>
        <v>0</v>
      </c>
      <c r="AF82">
        <f t="shared" si="84"/>
        <v>0</v>
      </c>
      <c r="AG82">
        <v>1</v>
      </c>
      <c r="AH82">
        <v>1</v>
      </c>
      <c r="AI82">
        <f t="shared" si="85"/>
        <v>0</v>
      </c>
      <c r="AJ82">
        <f t="shared" si="86"/>
        <v>0</v>
      </c>
      <c r="AK82">
        <f t="shared" si="87"/>
        <v>0</v>
      </c>
      <c r="AL82">
        <f t="shared" si="88"/>
        <v>2</v>
      </c>
      <c r="AM82">
        <f t="shared" si="89"/>
        <v>0</v>
      </c>
      <c r="AN82">
        <f t="shared" si="90"/>
        <v>1</v>
      </c>
      <c r="AO82">
        <f t="shared" si="91"/>
        <v>1</v>
      </c>
      <c r="AP82">
        <f t="shared" si="92"/>
        <v>2</v>
      </c>
    </row>
    <row r="83" spans="1:42" x14ac:dyDescent="0.25">
      <c r="A83" s="85" t="s">
        <v>301</v>
      </c>
      <c r="B83" s="85"/>
      <c r="C83" s="85"/>
      <c r="D83" s="85"/>
      <c r="E83" s="85"/>
      <c r="F83" s="85"/>
      <c r="G83" s="85"/>
      <c r="H83">
        <f t="shared" ref="H83:H86" si="93">IF(A83="",1,0)</f>
        <v>0</v>
      </c>
      <c r="I83">
        <f>IF(OR(D83=Params_and_stats!$B$4, F83=Params_and_stats!$B$4), 1, 0)</f>
        <v>0</v>
      </c>
      <c r="J83">
        <f t="shared" ref="J83:J86" si="94">IF(D83="Russia",1,0)</f>
        <v>0</v>
      </c>
      <c r="K83">
        <f t="shared" ref="K83:K86" si="95">IF(F83="Russia",1,0)</f>
        <v>0</v>
      </c>
      <c r="L83" t="e">
        <f>VLOOKUP($D83,ELO_ratings!$A$2:$G$101,2,FALSE)</f>
        <v>#N/A</v>
      </c>
      <c r="M83" t="e">
        <f>VLOOKUP($F83,ELO_ratings!$A$2:$G$101,2,FALSE)</f>
        <v>#N/A</v>
      </c>
      <c r="N83" t="e">
        <f>VLOOKUP($D83,ELO_ratings!$A$2:$G$101,7,FALSE)</f>
        <v>#N/A</v>
      </c>
      <c r="O83" t="e">
        <f>VLOOKUP($F83,ELO_ratings!$A$2:$G$101,7,FALSE)</f>
        <v>#N/A</v>
      </c>
      <c r="P83" t="e">
        <f>VLOOKUP($D83,ELO_ratings!$A$2:$G$101,6,FALSE)</f>
        <v>#N/A</v>
      </c>
      <c r="Q83" t="e">
        <f>VLOOKUP($F83,ELO_ratings!$A$2:$G$101,6,FALSE)</f>
        <v>#N/A</v>
      </c>
      <c r="R83" t="e">
        <f t="shared" ref="R83:R86" si="96">P83-Q83</f>
        <v>#N/A</v>
      </c>
      <c r="S83" t="e">
        <f t="shared" ref="S83:S86" si="97">R83+(100*J83)-(100*K83)</f>
        <v>#N/A</v>
      </c>
      <c r="T83" s="32" t="e">
        <f t="shared" ref="T83:T86" si="98">POWER(POWER(10,-S83/400)+1,-1)</f>
        <v>#N/A</v>
      </c>
      <c r="U83" s="33" t="e">
        <f>ROUND(Params_and_stats!$B$2*(T83-0.5),0)</f>
        <v>#N/A</v>
      </c>
      <c r="V83">
        <f t="shared" ref="V83:V86" si="99">IF(H83=1,SQRT(U83^2),0)</f>
        <v>0</v>
      </c>
      <c r="W83">
        <f t="shared" ref="W83:W86" si="100">IF(V83&gt;0,1,0)</f>
        <v>0</v>
      </c>
      <c r="X83" t="e">
        <f>VLOOKUP($D83,Qualifying_goals!$A$2:$G$33,7,FALSE)</f>
        <v>#N/A</v>
      </c>
      <c r="Y83" t="e">
        <f>VLOOKUP($F83,Qualifying_goals!$A$2:$G$33,7,FALSE)</f>
        <v>#N/A</v>
      </c>
      <c r="Z83" t="e">
        <f t="shared" ref="Z83:Z86" si="101">AVERAGE(X83:Y83)</f>
        <v>#N/A</v>
      </c>
      <c r="AA83" t="e">
        <f>IF(Z83&lt;=Params_and_stats!$B$3,1,0)</f>
        <v>#N/A</v>
      </c>
      <c r="AB83" t="str">
        <f t="shared" ref="AB83:AB86" si="102">IF(H83&lt;&gt;1,"",IF(U83&gt;0,U83+(1*AA83),1*AA83))</f>
        <v/>
      </c>
      <c r="AC83" t="str">
        <f t="shared" ref="AC83:AC86" si="103">IF(H83&lt;&gt;1,"",IF(U83&gt;0,1*AA83,-U83+(1*AA83)))</f>
        <v/>
      </c>
      <c r="AD83" t="e">
        <f t="shared" ref="AD83:AD86" si="104">AB83-AC83</f>
        <v>#VALUE!</v>
      </c>
      <c r="AE83">
        <f t="shared" ref="AE83:AE86" si="105">IF(H83=1,SQRT(AD83^2),0)</f>
        <v>0</v>
      </c>
      <c r="AF83" t="str">
        <f t="shared" ref="AF83:AF86" si="106">IF(H83=1,AB83+AC83,"")</f>
        <v/>
      </c>
      <c r="AI83">
        <f t="shared" ref="AI83:AI86" si="107">AG83-AH83</f>
        <v>0</v>
      </c>
      <c r="AJ83">
        <f t="shared" ref="AJ83:AJ86" si="108">IF(H83=1,SQRT(AI83^2),0)</f>
        <v>0</v>
      </c>
      <c r="AK83">
        <f t="shared" ref="AK83:AK86" si="109">IF(AJ83&gt;0,1,0)</f>
        <v>0</v>
      </c>
      <c r="AL83" t="str">
        <f t="shared" ref="AL83:AL86" si="110">IF(AG83&amp;AH83="","",AG83+AH83)</f>
        <v/>
      </c>
      <c r="AM83" t="str">
        <f t="shared" ref="AM83:AM86" si="111">IF(AG83&amp;AH83="","",IF(AND(AB83=AG83,AC83=AH83),1,0))</f>
        <v/>
      </c>
      <c r="AN83" t="str">
        <f t="shared" ref="AN83:AN86" si="112">IF(AG83&amp;AH83="","",IF(AB83-AC83=AG83-AH83,1,0))</f>
        <v/>
      </c>
      <c r="AO83" t="str">
        <f t="shared" ref="AO83:AO86" si="113">IF(AG83&amp;AH83="","",IF(OR(AND(AI83&gt;0,AD83&gt;0),AND(AI83=0,AD83=0),AND(AI83&lt;0,AD83&lt;0)),1,0))</f>
        <v/>
      </c>
      <c r="AP83" t="str">
        <f t="shared" ref="AP83:AP86" si="114">IF(AG83&amp;AH83="","",SUM(AM83:AO83))</f>
        <v/>
      </c>
    </row>
    <row r="84" spans="1:42" x14ac:dyDescent="0.25">
      <c r="A84" s="66"/>
      <c r="B84" s="74">
        <v>0.79166666666666663</v>
      </c>
      <c r="C84" s="75"/>
      <c r="D84" s="5" t="s">
        <v>157</v>
      </c>
      <c r="E84" s="6" t="s">
        <v>147</v>
      </c>
      <c r="F84" s="7" t="s">
        <v>175</v>
      </c>
      <c r="G84" s="69" t="s">
        <v>302</v>
      </c>
      <c r="H84">
        <f t="shared" si="93"/>
        <v>1</v>
      </c>
      <c r="I84">
        <f>IF(OR(D84=Params_and_stats!$B$4, F84=Params_and_stats!$B$4), 1, 0)</f>
        <v>0</v>
      </c>
      <c r="J84">
        <f t="shared" si="94"/>
        <v>0</v>
      </c>
      <c r="K84">
        <f t="shared" si="95"/>
        <v>0</v>
      </c>
      <c r="L84">
        <f>VLOOKUP($D84,ELO_ratings!$A$2:$G$101,2,FALSE)</f>
        <v>4</v>
      </c>
      <c r="M84">
        <f>VLOOKUP($F84,ELO_ratings!$A$2:$G$101,2,FALSE)</f>
        <v>9</v>
      </c>
      <c r="N84">
        <f>VLOOKUP($D84,ELO_ratings!$A$2:$G$101,7,FALSE)</f>
        <v>7</v>
      </c>
      <c r="O84">
        <f>VLOOKUP($F84,ELO_ratings!$A$2:$G$101,7,FALSE)</f>
        <v>3</v>
      </c>
      <c r="P84">
        <f>VLOOKUP($D84,ELO_ratings!$A$2:$G$101,6,FALSE)</f>
        <v>1987</v>
      </c>
      <c r="Q84">
        <f>VLOOKUP($F84,ELO_ratings!$A$2:$G$101,6,FALSE)</f>
        <v>1931</v>
      </c>
      <c r="R84">
        <f t="shared" si="96"/>
        <v>56</v>
      </c>
      <c r="S84">
        <f t="shared" si="97"/>
        <v>56</v>
      </c>
      <c r="T84" s="32">
        <f t="shared" si="98"/>
        <v>0.57989976035788149</v>
      </c>
      <c r="U84" s="33">
        <f>ROUND(Params_and_stats!$B$2*(T84-0.5),0)</f>
        <v>0</v>
      </c>
      <c r="V84">
        <f t="shared" si="99"/>
        <v>0</v>
      </c>
      <c r="W84">
        <f t="shared" si="100"/>
        <v>0</v>
      </c>
      <c r="X84">
        <f>VLOOKUP($D84,Qualifying_goals!$A$2:$G$33,7,FALSE)</f>
        <v>19</v>
      </c>
      <c r="Y84">
        <f>VLOOKUP($F84,Qualifying_goals!$A$2:$G$33,7,FALSE)</f>
        <v>1</v>
      </c>
      <c r="Z84">
        <f t="shared" si="101"/>
        <v>10</v>
      </c>
      <c r="AA84">
        <f>IF(Z84&lt;=Params_and_stats!$B$3,1,0)</f>
        <v>1</v>
      </c>
      <c r="AB84">
        <f t="shared" si="102"/>
        <v>1</v>
      </c>
      <c r="AC84">
        <f t="shared" si="103"/>
        <v>1</v>
      </c>
      <c r="AD84">
        <f t="shared" si="104"/>
        <v>0</v>
      </c>
      <c r="AE84">
        <f t="shared" si="105"/>
        <v>0</v>
      </c>
      <c r="AF84">
        <f t="shared" si="106"/>
        <v>2</v>
      </c>
      <c r="AG84">
        <v>1</v>
      </c>
      <c r="AH84">
        <v>0</v>
      </c>
      <c r="AI84">
        <f t="shared" si="107"/>
        <v>1</v>
      </c>
      <c r="AJ84">
        <f t="shared" si="108"/>
        <v>1</v>
      </c>
      <c r="AK84">
        <f t="shared" si="109"/>
        <v>1</v>
      </c>
      <c r="AL84">
        <f t="shared" si="110"/>
        <v>1</v>
      </c>
      <c r="AM84">
        <f t="shared" si="111"/>
        <v>0</v>
      </c>
      <c r="AN84">
        <f t="shared" si="112"/>
        <v>0</v>
      </c>
      <c r="AO84">
        <f t="shared" si="113"/>
        <v>0</v>
      </c>
      <c r="AP84">
        <f t="shared" si="114"/>
        <v>0</v>
      </c>
    </row>
    <row r="85" spans="1:42" x14ac:dyDescent="0.25">
      <c r="A85" s="85" t="s">
        <v>303</v>
      </c>
      <c r="B85" s="85"/>
      <c r="C85" s="85"/>
      <c r="D85" s="85"/>
      <c r="E85" s="85"/>
      <c r="F85" s="85"/>
      <c r="G85" s="85"/>
      <c r="H85">
        <f t="shared" si="93"/>
        <v>0</v>
      </c>
      <c r="I85">
        <f>IF(OR(D85=Params_and_stats!$B$4, F85=Params_and_stats!$B$4), 1, 0)</f>
        <v>0</v>
      </c>
      <c r="J85">
        <f t="shared" si="94"/>
        <v>0</v>
      </c>
      <c r="K85">
        <f t="shared" si="95"/>
        <v>0</v>
      </c>
      <c r="L85" t="e">
        <f>VLOOKUP($D85,ELO_ratings!$A$2:$G$101,2,FALSE)</f>
        <v>#N/A</v>
      </c>
      <c r="M85" t="e">
        <f>VLOOKUP($F85,ELO_ratings!$A$2:$G$101,2,FALSE)</f>
        <v>#N/A</v>
      </c>
      <c r="N85" t="e">
        <f>VLOOKUP($D85,ELO_ratings!$A$2:$G$101,7,FALSE)</f>
        <v>#N/A</v>
      </c>
      <c r="O85" t="e">
        <f>VLOOKUP($F85,ELO_ratings!$A$2:$G$101,7,FALSE)</f>
        <v>#N/A</v>
      </c>
      <c r="P85" t="e">
        <f>VLOOKUP($D85,ELO_ratings!$A$2:$G$101,6,FALSE)</f>
        <v>#N/A</v>
      </c>
      <c r="Q85" t="e">
        <f>VLOOKUP($F85,ELO_ratings!$A$2:$G$101,6,FALSE)</f>
        <v>#N/A</v>
      </c>
      <c r="R85" t="e">
        <f t="shared" si="96"/>
        <v>#N/A</v>
      </c>
      <c r="S85" t="e">
        <f t="shared" si="97"/>
        <v>#N/A</v>
      </c>
      <c r="T85" s="32" t="e">
        <f t="shared" si="98"/>
        <v>#N/A</v>
      </c>
      <c r="U85" s="33" t="e">
        <f>ROUND(Params_and_stats!$B$2*(T85-0.5),0)</f>
        <v>#N/A</v>
      </c>
      <c r="V85">
        <f t="shared" si="99"/>
        <v>0</v>
      </c>
      <c r="W85">
        <f t="shared" si="100"/>
        <v>0</v>
      </c>
      <c r="X85" t="e">
        <f>VLOOKUP($D85,Qualifying_goals!$A$2:$G$33,7,FALSE)</f>
        <v>#N/A</v>
      </c>
      <c r="Y85" t="e">
        <f>VLOOKUP($F85,Qualifying_goals!$A$2:$G$33,7,FALSE)</f>
        <v>#N/A</v>
      </c>
      <c r="Z85" t="e">
        <f t="shared" si="101"/>
        <v>#N/A</v>
      </c>
      <c r="AA85" t="e">
        <f>IF(Z85&lt;=Params_and_stats!$B$3,1,0)</f>
        <v>#N/A</v>
      </c>
      <c r="AB85" t="str">
        <f t="shared" si="102"/>
        <v/>
      </c>
      <c r="AC85" t="str">
        <f t="shared" si="103"/>
        <v/>
      </c>
      <c r="AD85" t="e">
        <f t="shared" si="104"/>
        <v>#VALUE!</v>
      </c>
      <c r="AE85">
        <f t="shared" si="105"/>
        <v>0</v>
      </c>
      <c r="AF85" t="str">
        <f t="shared" si="106"/>
        <v/>
      </c>
      <c r="AI85">
        <f t="shared" si="107"/>
        <v>0</v>
      </c>
      <c r="AJ85">
        <f t="shared" si="108"/>
        <v>0</v>
      </c>
      <c r="AK85">
        <f t="shared" si="109"/>
        <v>0</v>
      </c>
      <c r="AL85" t="str">
        <f t="shared" si="110"/>
        <v/>
      </c>
      <c r="AM85" t="str">
        <f t="shared" si="111"/>
        <v/>
      </c>
      <c r="AN85" t="str">
        <f t="shared" si="112"/>
        <v/>
      </c>
      <c r="AO85" t="str">
        <f t="shared" si="113"/>
        <v/>
      </c>
      <c r="AP85" t="str">
        <f t="shared" si="114"/>
        <v/>
      </c>
    </row>
    <row r="86" spans="1:42" x14ac:dyDescent="0.25">
      <c r="A86" s="66"/>
      <c r="B86" s="74">
        <v>0.79166666666666663</v>
      </c>
      <c r="C86" s="75"/>
      <c r="D86" s="5" t="s">
        <v>163</v>
      </c>
      <c r="E86" s="6" t="s">
        <v>147</v>
      </c>
      <c r="F86" s="7" t="s">
        <v>178</v>
      </c>
      <c r="G86" s="82"/>
      <c r="H86">
        <f t="shared" si="93"/>
        <v>1</v>
      </c>
      <c r="I86">
        <f>IF(OR(D86=Params_and_stats!$B$4, F86=Params_and_stats!$B$4), 1, 0)</f>
        <v>1</v>
      </c>
      <c r="J86">
        <f t="shared" si="94"/>
        <v>0</v>
      </c>
      <c r="K86">
        <f t="shared" si="95"/>
        <v>0</v>
      </c>
      <c r="L86">
        <f>VLOOKUP($D86,ELO_ratings!$A$2:$G$101,2,FALSE)</f>
        <v>17</v>
      </c>
      <c r="M86">
        <f>VLOOKUP($F86,ELO_ratings!$A$2:$G$101,2,FALSE)</f>
        <v>7</v>
      </c>
      <c r="N86">
        <f>VLOOKUP($D86,ELO_ratings!$A$2:$G$101,7,FALSE)</f>
        <v>18</v>
      </c>
      <c r="O86">
        <f>VLOOKUP($F86,ELO_ratings!$A$2:$G$101,7,FALSE)</f>
        <v>13</v>
      </c>
      <c r="P86">
        <f>VLOOKUP($D86,ELO_ratings!$A$2:$G$101,6,FALSE)</f>
        <v>1853</v>
      </c>
      <c r="Q86">
        <f>VLOOKUP($F86,ELO_ratings!$A$2:$G$101,6,FALSE)</f>
        <v>1941</v>
      </c>
      <c r="R86">
        <f t="shared" si="96"/>
        <v>-88</v>
      </c>
      <c r="S86">
        <f t="shared" si="97"/>
        <v>-88</v>
      </c>
      <c r="T86" s="32">
        <f t="shared" si="98"/>
        <v>0.37599824138233284</v>
      </c>
      <c r="U86" s="33">
        <f>ROUND(Params_and_stats!$B$2*(T86-0.5),0)</f>
        <v>0</v>
      </c>
      <c r="V86">
        <f t="shared" si="99"/>
        <v>0</v>
      </c>
      <c r="W86">
        <f t="shared" si="100"/>
        <v>0</v>
      </c>
      <c r="X86">
        <f>VLOOKUP($D86,Qualifying_goals!$A$2:$G$33,7,FALSE)</f>
        <v>28</v>
      </c>
      <c r="Y86">
        <f>VLOOKUP($F86,Qualifying_goals!$A$2:$G$33,7,FALSE)</f>
        <v>27</v>
      </c>
      <c r="Z86">
        <f t="shared" si="101"/>
        <v>27.5</v>
      </c>
      <c r="AA86">
        <f>IF(Z86&lt;=Params_and_stats!$B$3,1,0)</f>
        <v>0</v>
      </c>
      <c r="AB86">
        <f t="shared" si="102"/>
        <v>0</v>
      </c>
      <c r="AC86">
        <f t="shared" si="103"/>
        <v>0</v>
      </c>
      <c r="AD86">
        <f t="shared" si="104"/>
        <v>0</v>
      </c>
      <c r="AE86">
        <f t="shared" si="105"/>
        <v>0</v>
      </c>
      <c r="AF86">
        <f t="shared" si="106"/>
        <v>0</v>
      </c>
      <c r="AG86">
        <v>1</v>
      </c>
      <c r="AH86">
        <v>1</v>
      </c>
      <c r="AI86">
        <f t="shared" si="107"/>
        <v>0</v>
      </c>
      <c r="AJ86">
        <f t="shared" si="108"/>
        <v>0</v>
      </c>
      <c r="AK86">
        <f t="shared" si="109"/>
        <v>0</v>
      </c>
      <c r="AL86">
        <f t="shared" si="110"/>
        <v>2</v>
      </c>
      <c r="AM86">
        <f t="shared" si="111"/>
        <v>0</v>
      </c>
      <c r="AN86">
        <f t="shared" si="112"/>
        <v>1</v>
      </c>
      <c r="AO86">
        <f t="shared" si="113"/>
        <v>1</v>
      </c>
      <c r="AP86">
        <f t="shared" si="114"/>
        <v>2</v>
      </c>
    </row>
    <row r="87" spans="1:42" x14ac:dyDescent="0.25">
      <c r="A87" s="85" t="s">
        <v>304</v>
      </c>
      <c r="B87" s="85"/>
      <c r="C87" s="85"/>
      <c r="D87" s="85"/>
      <c r="E87" s="85"/>
      <c r="F87" s="85"/>
      <c r="G87" s="85"/>
      <c r="H87">
        <f t="shared" ref="H87:H90" si="115">IF(A87="",1,0)</f>
        <v>0</v>
      </c>
      <c r="I87">
        <f>IF(OR(D87=Params_and_stats!$B$4, F87=Params_and_stats!$B$4), 1, 0)</f>
        <v>0</v>
      </c>
      <c r="J87">
        <f t="shared" ref="J87:J90" si="116">IF(D87="Russia",1,0)</f>
        <v>0</v>
      </c>
      <c r="K87">
        <f t="shared" ref="K87:K90" si="117">IF(F87="Russia",1,0)</f>
        <v>0</v>
      </c>
      <c r="L87" t="e">
        <f>VLOOKUP($D87,ELO_ratings!$A$2:$G$101,2,FALSE)</f>
        <v>#N/A</v>
      </c>
      <c r="M87" t="e">
        <f>VLOOKUP($F87,ELO_ratings!$A$2:$G$101,2,FALSE)</f>
        <v>#N/A</v>
      </c>
      <c r="N87" t="e">
        <f>VLOOKUP($D87,ELO_ratings!$A$2:$G$101,7,FALSE)</f>
        <v>#N/A</v>
      </c>
      <c r="O87" t="e">
        <f>VLOOKUP($F87,ELO_ratings!$A$2:$G$101,7,FALSE)</f>
        <v>#N/A</v>
      </c>
      <c r="P87" t="e">
        <f>VLOOKUP($D87,ELO_ratings!$A$2:$G$101,6,FALSE)</f>
        <v>#N/A</v>
      </c>
      <c r="Q87" t="e">
        <f>VLOOKUP($F87,ELO_ratings!$A$2:$G$101,6,FALSE)</f>
        <v>#N/A</v>
      </c>
      <c r="R87" t="e">
        <f t="shared" ref="R87:R90" si="118">P87-Q87</f>
        <v>#N/A</v>
      </c>
      <c r="S87" t="e">
        <f t="shared" ref="S87:S90" si="119">R87+(100*J87)-(100*K87)</f>
        <v>#N/A</v>
      </c>
      <c r="T87" s="32" t="e">
        <f t="shared" ref="T87:T90" si="120">POWER(POWER(10,-S87/400)+1,-1)</f>
        <v>#N/A</v>
      </c>
      <c r="U87" s="33" t="e">
        <f>ROUND(Params_and_stats!$B$2*(T87-0.5),0)</f>
        <v>#N/A</v>
      </c>
      <c r="V87">
        <f t="shared" ref="V87:V90" si="121">IF(H87=1,SQRT(U87^2),0)</f>
        <v>0</v>
      </c>
      <c r="W87">
        <f t="shared" ref="W87:W90" si="122">IF(V87&gt;0,1,0)</f>
        <v>0</v>
      </c>
      <c r="X87" t="e">
        <f>VLOOKUP($D87,Qualifying_goals!$A$2:$G$33,7,FALSE)</f>
        <v>#N/A</v>
      </c>
      <c r="Y87" t="e">
        <f>VLOOKUP($F87,Qualifying_goals!$A$2:$G$33,7,FALSE)</f>
        <v>#N/A</v>
      </c>
      <c r="Z87" t="e">
        <f t="shared" ref="Z87:Z90" si="123">AVERAGE(X87:Y87)</f>
        <v>#N/A</v>
      </c>
      <c r="AA87" t="e">
        <f>IF(Z87&lt;=Params_and_stats!$B$3,1,0)</f>
        <v>#N/A</v>
      </c>
      <c r="AB87" t="str">
        <f t="shared" ref="AB87:AB90" si="124">IF(H87&lt;&gt;1,"",IF(U87&gt;0,U87+(1*AA87),1*AA87))</f>
        <v/>
      </c>
      <c r="AC87" t="str">
        <f t="shared" ref="AC87:AC90" si="125">IF(H87&lt;&gt;1,"",IF(U87&gt;0,1*AA87,-U87+(1*AA87)))</f>
        <v/>
      </c>
      <c r="AD87" t="e">
        <f t="shared" ref="AD87:AD90" si="126">AB87-AC87</f>
        <v>#VALUE!</v>
      </c>
      <c r="AE87">
        <f t="shared" ref="AE87:AE90" si="127">IF(H87=1,SQRT(AD87^2),0)</f>
        <v>0</v>
      </c>
      <c r="AF87" t="str">
        <f t="shared" ref="AF87:AF90" si="128">IF(H87=1,AB87+AC87,"")</f>
        <v/>
      </c>
      <c r="AI87">
        <f t="shared" ref="AI87:AI90" si="129">AG87-AH87</f>
        <v>0</v>
      </c>
      <c r="AJ87">
        <f t="shared" ref="AJ87:AJ90" si="130">IF(H87=1,SQRT(AI87^2),0)</f>
        <v>0</v>
      </c>
      <c r="AK87">
        <f t="shared" ref="AK87:AK90" si="131">IF(AJ87&gt;0,1,0)</f>
        <v>0</v>
      </c>
      <c r="AL87" t="str">
        <f t="shared" ref="AL87:AL90" si="132">IF(AG87&amp;AH87="","",AG87+AH87)</f>
        <v/>
      </c>
      <c r="AM87" t="str">
        <f t="shared" ref="AM87:AM90" si="133">IF(AG87&amp;AH87="","",IF(AND(AB87=AG87,AC87=AH87),1,0))</f>
        <v/>
      </c>
      <c r="AN87" t="str">
        <f t="shared" ref="AN87:AN90" si="134">IF(AG87&amp;AH87="","",IF(AB87-AC87=AG87-AH87,1,0))</f>
        <v/>
      </c>
      <c r="AO87" t="str">
        <f t="shared" ref="AO87:AO90" si="135">IF(AG87&amp;AH87="","",IF(OR(AND(AI87&gt;0,AD87&gt;0),AND(AI87=0,AD87=0),AND(AI87&lt;0,AD87&lt;0)),1,0))</f>
        <v/>
      </c>
      <c r="AP87" t="str">
        <f t="shared" ref="AP87:AP90" si="136">IF(AG87&amp;AH87="","",SUM(AM87:AO87))</f>
        <v/>
      </c>
    </row>
    <row r="88" spans="1:42" x14ac:dyDescent="0.25">
      <c r="A88" s="77"/>
      <c r="B88" s="78">
        <v>0.625</v>
      </c>
      <c r="C88" s="79"/>
      <c r="D88" s="11" t="s">
        <v>175</v>
      </c>
      <c r="E88" s="12" t="s">
        <v>147</v>
      </c>
      <c r="F88" s="13" t="s">
        <v>178</v>
      </c>
      <c r="G88" s="84"/>
      <c r="H88">
        <f t="shared" si="115"/>
        <v>1</v>
      </c>
      <c r="I88">
        <f>IF(OR(D88=Params_and_stats!$B$4, F88=Params_and_stats!$B$4), 1, 0)</f>
        <v>1</v>
      </c>
      <c r="J88">
        <f t="shared" si="116"/>
        <v>0</v>
      </c>
      <c r="K88">
        <f t="shared" si="117"/>
        <v>0</v>
      </c>
      <c r="L88">
        <f>VLOOKUP($D88,ELO_ratings!$A$2:$G$101,2,FALSE)</f>
        <v>9</v>
      </c>
      <c r="M88">
        <f>VLOOKUP($F88,ELO_ratings!$A$2:$G$101,2,FALSE)</f>
        <v>7</v>
      </c>
      <c r="N88">
        <f>VLOOKUP($D88,ELO_ratings!$A$2:$G$101,7,FALSE)</f>
        <v>3</v>
      </c>
      <c r="O88">
        <f>VLOOKUP($F88,ELO_ratings!$A$2:$G$101,7,FALSE)</f>
        <v>13</v>
      </c>
      <c r="P88">
        <f>VLOOKUP($D88,ELO_ratings!$A$2:$G$101,6,FALSE)</f>
        <v>1931</v>
      </c>
      <c r="Q88">
        <f>VLOOKUP($F88,ELO_ratings!$A$2:$G$101,6,FALSE)</f>
        <v>1941</v>
      </c>
      <c r="R88">
        <f t="shared" si="118"/>
        <v>-10</v>
      </c>
      <c r="S88">
        <f t="shared" si="119"/>
        <v>-10</v>
      </c>
      <c r="T88" s="32">
        <f t="shared" si="120"/>
        <v>0.48561281583400134</v>
      </c>
      <c r="U88" s="33">
        <f>ROUND(Params_and_stats!$B$2*(T88-0.5),0)</f>
        <v>0</v>
      </c>
      <c r="V88">
        <f t="shared" si="121"/>
        <v>0</v>
      </c>
      <c r="W88">
        <f t="shared" si="122"/>
        <v>0</v>
      </c>
      <c r="X88">
        <f>VLOOKUP($D88,Qualifying_goals!$A$2:$G$33,7,FALSE)</f>
        <v>1</v>
      </c>
      <c r="Y88">
        <f>VLOOKUP($F88,Qualifying_goals!$A$2:$G$33,7,FALSE)</f>
        <v>27</v>
      </c>
      <c r="Z88">
        <f t="shared" si="123"/>
        <v>14</v>
      </c>
      <c r="AA88">
        <f>IF(Z88&lt;=Params_and_stats!$B$3,1,0)</f>
        <v>1</v>
      </c>
      <c r="AB88">
        <f t="shared" si="124"/>
        <v>1</v>
      </c>
      <c r="AC88">
        <f t="shared" si="125"/>
        <v>1</v>
      </c>
      <c r="AD88">
        <f t="shared" si="126"/>
        <v>0</v>
      </c>
      <c r="AE88">
        <f t="shared" si="127"/>
        <v>0</v>
      </c>
      <c r="AF88">
        <f t="shared" si="128"/>
        <v>2</v>
      </c>
      <c r="AG88">
        <v>2</v>
      </c>
      <c r="AH88">
        <v>0</v>
      </c>
      <c r="AI88">
        <f t="shared" si="129"/>
        <v>2</v>
      </c>
      <c r="AJ88">
        <f t="shared" si="130"/>
        <v>2</v>
      </c>
      <c r="AK88">
        <f t="shared" si="131"/>
        <v>1</v>
      </c>
      <c r="AL88">
        <f t="shared" si="132"/>
        <v>2</v>
      </c>
      <c r="AM88">
        <f t="shared" si="133"/>
        <v>0</v>
      </c>
      <c r="AN88">
        <f t="shared" si="134"/>
        <v>0</v>
      </c>
      <c r="AO88">
        <f t="shared" si="135"/>
        <v>0</v>
      </c>
      <c r="AP88">
        <f t="shared" si="136"/>
        <v>0</v>
      </c>
    </row>
    <row r="89" spans="1:42" x14ac:dyDescent="0.25">
      <c r="A89" s="85" t="s">
        <v>305</v>
      </c>
      <c r="B89" s="85"/>
      <c r="C89" s="85"/>
      <c r="D89" s="85"/>
      <c r="E89" s="85"/>
      <c r="F89" s="85"/>
      <c r="G89" s="85"/>
      <c r="H89">
        <f t="shared" si="115"/>
        <v>0</v>
      </c>
      <c r="I89">
        <f>IF(OR(D89=Params_and_stats!$B$4, F89=Params_and_stats!$B$4), 1, 0)</f>
        <v>0</v>
      </c>
      <c r="J89">
        <f t="shared" si="116"/>
        <v>0</v>
      </c>
      <c r="K89">
        <f t="shared" si="117"/>
        <v>0</v>
      </c>
      <c r="L89" t="e">
        <f>VLOOKUP($D89,ELO_ratings!$A$2:$G$101,2,FALSE)</f>
        <v>#N/A</v>
      </c>
      <c r="M89" t="e">
        <f>VLOOKUP($F89,ELO_ratings!$A$2:$G$101,2,FALSE)</f>
        <v>#N/A</v>
      </c>
      <c r="N89" t="e">
        <f>VLOOKUP($D89,ELO_ratings!$A$2:$G$101,7,FALSE)</f>
        <v>#N/A</v>
      </c>
      <c r="O89" t="e">
        <f>VLOOKUP($F89,ELO_ratings!$A$2:$G$101,7,FALSE)</f>
        <v>#N/A</v>
      </c>
      <c r="P89" t="e">
        <f>VLOOKUP($D89,ELO_ratings!$A$2:$G$101,6,FALSE)</f>
        <v>#N/A</v>
      </c>
      <c r="Q89" t="e">
        <f>VLOOKUP($F89,ELO_ratings!$A$2:$G$101,6,FALSE)</f>
        <v>#N/A</v>
      </c>
      <c r="R89" t="e">
        <f t="shared" si="118"/>
        <v>#N/A</v>
      </c>
      <c r="S89" t="e">
        <f t="shared" si="119"/>
        <v>#N/A</v>
      </c>
      <c r="T89" s="32" t="e">
        <f t="shared" si="120"/>
        <v>#N/A</v>
      </c>
      <c r="U89" s="33" t="e">
        <f>ROUND(Params_and_stats!$B$2*(T89-0.5),0)</f>
        <v>#N/A</v>
      </c>
      <c r="V89">
        <f t="shared" si="121"/>
        <v>0</v>
      </c>
      <c r="W89">
        <f t="shared" si="122"/>
        <v>0</v>
      </c>
      <c r="X89" t="e">
        <f>VLOOKUP($D89,Qualifying_goals!$A$2:$G$33,7,FALSE)</f>
        <v>#N/A</v>
      </c>
      <c r="Y89" t="e">
        <f>VLOOKUP($F89,Qualifying_goals!$A$2:$G$33,7,FALSE)</f>
        <v>#N/A</v>
      </c>
      <c r="Z89" t="e">
        <f t="shared" si="123"/>
        <v>#N/A</v>
      </c>
      <c r="AA89" t="e">
        <f>IF(Z89&lt;=Params_and_stats!$B$3,1,0)</f>
        <v>#N/A</v>
      </c>
      <c r="AB89" t="str">
        <f t="shared" si="124"/>
        <v/>
      </c>
      <c r="AC89" t="str">
        <f t="shared" si="125"/>
        <v/>
      </c>
      <c r="AD89" t="e">
        <f t="shared" si="126"/>
        <v>#VALUE!</v>
      </c>
      <c r="AE89">
        <f t="shared" si="127"/>
        <v>0</v>
      </c>
      <c r="AF89" t="str">
        <f t="shared" si="128"/>
        <v/>
      </c>
      <c r="AI89">
        <f t="shared" si="129"/>
        <v>0</v>
      </c>
      <c r="AJ89">
        <f t="shared" si="130"/>
        <v>0</v>
      </c>
      <c r="AK89">
        <f t="shared" si="131"/>
        <v>0</v>
      </c>
      <c r="AL89" t="str">
        <f t="shared" si="132"/>
        <v/>
      </c>
      <c r="AM89" t="str">
        <f t="shared" si="133"/>
        <v/>
      </c>
      <c r="AN89" t="str">
        <f t="shared" si="134"/>
        <v/>
      </c>
      <c r="AO89" t="str">
        <f t="shared" si="135"/>
        <v/>
      </c>
      <c r="AP89" t="str">
        <f t="shared" si="136"/>
        <v/>
      </c>
    </row>
    <row r="90" spans="1:42" x14ac:dyDescent="0.25">
      <c r="A90" s="77"/>
      <c r="B90" s="78">
        <v>0.66666666666666663</v>
      </c>
      <c r="C90" s="79"/>
      <c r="D90" s="11" t="s">
        <v>157</v>
      </c>
      <c r="E90" s="12" t="s">
        <v>147</v>
      </c>
      <c r="F90" s="13" t="s">
        <v>163</v>
      </c>
      <c r="G90" s="84"/>
      <c r="H90">
        <f t="shared" si="115"/>
        <v>1</v>
      </c>
      <c r="I90">
        <f>IF(OR(D90=Params_and_stats!$B$4, F90=Params_and_stats!$B$4), 1, 0)</f>
        <v>0</v>
      </c>
      <c r="J90">
        <f t="shared" si="116"/>
        <v>0</v>
      </c>
      <c r="K90">
        <f t="shared" si="117"/>
        <v>0</v>
      </c>
      <c r="L90">
        <f>VLOOKUP($D90,ELO_ratings!$A$2:$G$101,2,FALSE)</f>
        <v>4</v>
      </c>
      <c r="M90">
        <f>VLOOKUP($F90,ELO_ratings!$A$2:$G$101,2,FALSE)</f>
        <v>17</v>
      </c>
      <c r="N90">
        <f>VLOOKUP($D90,ELO_ratings!$A$2:$G$101,7,FALSE)</f>
        <v>7</v>
      </c>
      <c r="O90">
        <f>VLOOKUP($F90,ELO_ratings!$A$2:$G$101,7,FALSE)</f>
        <v>18</v>
      </c>
      <c r="P90">
        <f>VLOOKUP($D90,ELO_ratings!$A$2:$G$101,6,FALSE)</f>
        <v>1987</v>
      </c>
      <c r="Q90">
        <f>VLOOKUP($F90,ELO_ratings!$A$2:$G$101,6,FALSE)</f>
        <v>1853</v>
      </c>
      <c r="R90">
        <f t="shared" si="118"/>
        <v>134</v>
      </c>
      <c r="S90">
        <f t="shared" si="119"/>
        <v>134</v>
      </c>
      <c r="T90" s="32">
        <f t="shared" si="120"/>
        <v>0.68381631419365863</v>
      </c>
      <c r="U90" s="33">
        <f>ROUND(Params_and_stats!$B$2*(T90-0.5),0)</f>
        <v>1</v>
      </c>
      <c r="V90">
        <f t="shared" si="121"/>
        <v>1</v>
      </c>
      <c r="W90">
        <f t="shared" si="122"/>
        <v>1</v>
      </c>
      <c r="X90">
        <f>VLOOKUP($D90,Qualifying_goals!$A$2:$G$33,7,FALSE)</f>
        <v>19</v>
      </c>
      <c r="Y90">
        <f>VLOOKUP($F90,Qualifying_goals!$A$2:$G$33,7,FALSE)</f>
        <v>28</v>
      </c>
      <c r="Z90">
        <f t="shared" si="123"/>
        <v>23.5</v>
      </c>
      <c r="AA90">
        <f>IF(Z90&lt;=Params_and_stats!$B$3,1,0)</f>
        <v>0</v>
      </c>
      <c r="AB90">
        <f t="shared" si="124"/>
        <v>1</v>
      </c>
      <c r="AC90">
        <f t="shared" si="125"/>
        <v>0</v>
      </c>
      <c r="AD90">
        <f t="shared" si="126"/>
        <v>1</v>
      </c>
      <c r="AE90">
        <f t="shared" si="127"/>
        <v>1</v>
      </c>
      <c r="AF90">
        <f t="shared" si="128"/>
        <v>1</v>
      </c>
      <c r="AG90">
        <v>4</v>
      </c>
      <c r="AH90">
        <v>2</v>
      </c>
      <c r="AI90">
        <f t="shared" si="129"/>
        <v>2</v>
      </c>
      <c r="AJ90">
        <f t="shared" si="130"/>
        <v>2</v>
      </c>
      <c r="AK90">
        <f t="shared" si="131"/>
        <v>1</v>
      </c>
      <c r="AL90">
        <f t="shared" si="132"/>
        <v>6</v>
      </c>
      <c r="AM90">
        <f t="shared" si="133"/>
        <v>0</v>
      </c>
      <c r="AN90">
        <f t="shared" si="134"/>
        <v>0</v>
      </c>
      <c r="AO90">
        <f t="shared" si="135"/>
        <v>1</v>
      </c>
      <c r="AP90">
        <f t="shared" si="136"/>
        <v>1</v>
      </c>
    </row>
  </sheetData>
  <autoFilter ref="A1:AP90"/>
  <mergeCells count="25">
    <mergeCell ref="A41:G41"/>
    <mergeCell ref="A83:G83"/>
    <mergeCell ref="A85:G85"/>
    <mergeCell ref="A77:G77"/>
    <mergeCell ref="A80:G80"/>
    <mergeCell ref="A65:G65"/>
    <mergeCell ref="A68:G68"/>
    <mergeCell ref="A71:G71"/>
    <mergeCell ref="A74:G74"/>
    <mergeCell ref="A87:G87"/>
    <mergeCell ref="A89:G89"/>
    <mergeCell ref="A2:G2"/>
    <mergeCell ref="A4:G4"/>
    <mergeCell ref="A8:G8"/>
    <mergeCell ref="A13:G13"/>
    <mergeCell ref="A17:G17"/>
    <mergeCell ref="A50:G50"/>
    <mergeCell ref="A55:G55"/>
    <mergeCell ref="A60:G60"/>
    <mergeCell ref="A45:G45"/>
    <mergeCell ref="A21:G21"/>
    <mergeCell ref="A25:G25"/>
    <mergeCell ref="A29:G29"/>
    <mergeCell ref="A33:G33"/>
    <mergeCell ref="A37:G37"/>
  </mergeCells>
  <hyperlinks>
    <hyperlink ref="D3" r:id="rId1" display="https://www.whoscored.com/Teams/326/Show/Russia-Russia"/>
    <hyperlink ref="E3" r:id="rId2" display="https://www.whoscored.com/Matches/1249942/Show/International-FIFA-World-Cup-2018-Russia-Saudi-Arabia"/>
    <hyperlink ref="F3" r:id="rId3" display="https://www.whoscored.com/Teams/494/Show/Saudi-Arabia-Saudi-Arabia"/>
    <hyperlink ref="D5" r:id="rId4" display="https://www.whoscored.com/Teams/944/Show/Egypt-Egypt"/>
    <hyperlink ref="E5" r:id="rId5" display="https://www.whoscored.com/Matches/1249926/Show/International-FIFA-World-Cup-2018-Egypt-Uruguay"/>
    <hyperlink ref="F5" r:id="rId6" display="https://www.whoscored.com/Teams/967/Show/Uruguay-Uruguay"/>
    <hyperlink ref="D6" r:id="rId7" display="https://www.whoscored.com/Teams/495/Show/Morocco-Morocco"/>
    <hyperlink ref="E6" r:id="rId8" display="https://www.whoscored.com/Matches/1249948/Show/International-FIFA-World-Cup-2018-Morocco-Iran"/>
    <hyperlink ref="F6" r:id="rId9" display="https://www.whoscored.com/Teams/1293/Show/Iran-Iran"/>
    <hyperlink ref="D7" r:id="rId10" display="https://www.whoscored.com/Teams/340/Show/Portugal-Portugal"/>
    <hyperlink ref="E7" r:id="rId11" display="https://www.whoscored.com/Matches/1249919/Show/International-FIFA-World-Cup-2018-Portugal-Spain"/>
    <hyperlink ref="F7" r:id="rId12" display="https://www.whoscored.com/Teams/338/Show/Spain-Spain"/>
    <hyperlink ref="D9" r:id="rId13" display="https://www.whoscored.com/Teams/341/Show/France-France"/>
    <hyperlink ref="E9" r:id="rId14" display="https://www.whoscored.com/Matches/1249951/Show/International-FIFA-World-Cup-2018-France-Australia"/>
    <hyperlink ref="F9" r:id="rId15" display="https://www.whoscored.com/Teams/328/Show/Australia-Australia"/>
    <hyperlink ref="D10" r:id="rId16" display="https://www.whoscored.com/Teams/346/Show/Argentina-Argentina"/>
    <hyperlink ref="E10" r:id="rId17" display="https://www.whoscored.com/Matches/1249932/Show/International-FIFA-World-Cup-2018-Argentina-Iceland"/>
    <hyperlink ref="F10" r:id="rId18" display="https://www.whoscored.com/Teams/770/Show/Iceland-Iceland"/>
    <hyperlink ref="D11" r:id="rId19" display="https://www.whoscored.com/Teams/416/Show/Peru-Peru"/>
    <hyperlink ref="E11" r:id="rId20" display="https://www.whoscored.com/Matches/1249928/Show/International-FIFA-World-Cup-2018-Peru-Denmark"/>
    <hyperlink ref="F11" r:id="rId21" display="https://www.whoscored.com/Teams/425/Show/Denmark-Denmark"/>
    <hyperlink ref="D12" r:id="rId22" display="https://www.whoscored.com/Teams/337/Show/Croatia-Croatia"/>
    <hyperlink ref="E12" r:id="rId23" display="https://www.whoscored.com/Matches/1249954/Show/International-FIFA-World-Cup-2018-Croatia-Nigeria"/>
    <hyperlink ref="F12" r:id="rId24" display="https://www.whoscored.com/Teams/977/Show/Nigeria-Nigeria"/>
    <hyperlink ref="D14" r:id="rId25" display="https://www.whoscored.com/Teams/970/Show/Costa-Rica-Costa-Rica"/>
    <hyperlink ref="E14" r:id="rId26" display="https://www.whoscored.com/Matches/1249945/Show/International-FIFA-World-Cup-2018-Costa-Rica-Serbia"/>
    <hyperlink ref="F14" r:id="rId27" display="https://www.whoscored.com/Teams/771/Show/Serbia-Serbia"/>
    <hyperlink ref="D15" r:id="rId28" display="https://www.whoscored.com/Teams/336/Show/Germany-Germany"/>
    <hyperlink ref="E15" r:id="rId29" display="https://www.whoscored.com/Matches/1249923/Show/International-FIFA-World-Cup-2018-Germany-Mexico"/>
    <hyperlink ref="F15" r:id="rId30" display="https://www.whoscored.com/Teams/972/Show/Mexico-Mexico"/>
    <hyperlink ref="D16" r:id="rId31" display="https://www.whoscored.com/Teams/409/Show/Brazil-Brazil"/>
    <hyperlink ref="E16" r:id="rId32" display="https://www.whoscored.com/Matches/1249921/Show/International-FIFA-World-Cup-2018-Brazil-Switzerland"/>
    <hyperlink ref="F16" r:id="rId33" display="https://www.whoscored.com/Teams/423/Show/Switzerland-Switzerland"/>
    <hyperlink ref="D18" r:id="rId34" display="https://www.whoscored.com/Teams/344/Show/Sweden-Sweden"/>
    <hyperlink ref="E18" r:id="rId35" display="https://www.whoscored.com/Matches/1249960/Show/International-FIFA-World-Cup-2018-Sweden-South-Korea"/>
    <hyperlink ref="F18" r:id="rId36" display="https://www.whoscored.com/Teams/1159/Show/South-Korea-South-Korea"/>
    <hyperlink ref="D19" r:id="rId37" display="https://www.whoscored.com/Teams/339/Show/Belgium-Belgium"/>
    <hyperlink ref="E19" r:id="rId38" display="https://www.whoscored.com/Matches/1249957/Show/International-FIFA-World-Cup-2018-Belgium-Panama"/>
    <hyperlink ref="F19" r:id="rId39" display="https://www.whoscored.com/Teams/2694/Show/Panama-Panama"/>
    <hyperlink ref="D20" r:id="rId40" display="https://www.whoscored.com/Teams/959/Show/Tunisia-Tunisia"/>
    <hyperlink ref="E20" r:id="rId41" display="https://www.whoscored.com/Matches/1249938/Show/International-FIFA-World-Cup-2018-Tunisia-England"/>
    <hyperlink ref="F20" r:id="rId42" display="https://www.whoscored.com/Teams/345/Show/England-England"/>
    <hyperlink ref="D22" r:id="rId43" display="https://www.whoscored.com/Teams/408/Show/Colombia-Colombia"/>
    <hyperlink ref="E22" r:id="rId44" display="https://www.whoscored.com/Matches/1249963/Show/International-FIFA-World-Cup-2018-Colombia-Japan"/>
    <hyperlink ref="F22" r:id="rId45" display="https://www.whoscored.com/Teams/986/Show/Japan-Japan"/>
    <hyperlink ref="D23" r:id="rId46" display="https://www.whoscored.com/Teams/342/Show/Poland-Poland"/>
    <hyperlink ref="E23" r:id="rId47" display="https://www.whoscored.com/Matches/1249940/Show/International-FIFA-World-Cup-2018-Poland-Senegal"/>
    <hyperlink ref="F23" r:id="rId48" display="https://www.whoscored.com/Teams/957/Show/Senegal-Senegal"/>
    <hyperlink ref="D24" r:id="rId49" display="https://www.whoscored.com/Teams/326/Show/Russia-Russia"/>
    <hyperlink ref="E24" r:id="rId50" display="https://www.whoscored.com/Matches/1249927/Show/International-FIFA-World-Cup-2018-Russia-Egypt"/>
    <hyperlink ref="F24" r:id="rId51" display="https://www.whoscored.com/Teams/944/Show/Egypt-Egypt"/>
    <hyperlink ref="D26" r:id="rId52" display="https://www.whoscored.com/Teams/340/Show/Portugal-Portugal"/>
    <hyperlink ref="E26" r:id="rId53" display="https://www.whoscored.com/Matches/1249949/Show/International-FIFA-World-Cup-2018-Portugal-Morocco"/>
    <hyperlink ref="F26" r:id="rId54" display="https://www.whoscored.com/Teams/495/Show/Morocco-Morocco"/>
    <hyperlink ref="D27" r:id="rId55" display="https://www.whoscored.com/Teams/967/Show/Uruguay-Uruguay"/>
    <hyperlink ref="E27" r:id="rId56" display="https://www.whoscored.com/Matches/1249943/Show/International-FIFA-World-Cup-2018-Uruguay-Saudi-Arabia"/>
    <hyperlink ref="F27" r:id="rId57" display="https://www.whoscored.com/Teams/494/Show/Saudi-Arabia-Saudi-Arabia"/>
    <hyperlink ref="D28" r:id="rId58" display="https://www.whoscored.com/Teams/1293/Show/Iran-Iran"/>
    <hyperlink ref="E28" r:id="rId59" display="https://www.whoscored.com/Matches/1249930/Show/International-FIFA-World-Cup-2018-Iran-Spain"/>
    <hyperlink ref="F28" r:id="rId60" display="https://www.whoscored.com/Teams/338/Show/Spain-Spain"/>
    <hyperlink ref="D30" r:id="rId61" display="https://www.whoscored.com/Teams/425/Show/Denmark-Denmark"/>
    <hyperlink ref="E30" r:id="rId62" display="https://www.whoscored.com/Matches/1249952/Show/International-FIFA-World-Cup-2018-Denmark-Australia"/>
    <hyperlink ref="F30" r:id="rId63" display="https://www.whoscored.com/Teams/328/Show/Australia-Australia"/>
    <hyperlink ref="D31" r:id="rId64" display="https://www.whoscored.com/Teams/341/Show/France-France"/>
    <hyperlink ref="E31" r:id="rId65" display="https://www.whoscored.com/Matches/1249920/Show/International-FIFA-World-Cup-2018-France-Peru"/>
    <hyperlink ref="F31" r:id="rId66" display="https://www.whoscored.com/Teams/416/Show/Peru-Peru"/>
    <hyperlink ref="D32" r:id="rId67" display="https://www.whoscored.com/Teams/346/Show/Argentina-Argentina"/>
    <hyperlink ref="E32" r:id="rId68" display="https://www.whoscored.com/Matches/1249922/Show/International-FIFA-World-Cup-2018-Argentina-Croatia"/>
    <hyperlink ref="F32" r:id="rId69" display="https://www.whoscored.com/Teams/337/Show/Croatia-Croatia"/>
    <hyperlink ref="D34" r:id="rId70" display="https://www.whoscored.com/Teams/409/Show/Brazil-Brazil"/>
    <hyperlink ref="E34" r:id="rId71" display="https://www.whoscored.com/Matches/1249934/Show/International-FIFA-World-Cup-2018-Brazil-Costa-Rica"/>
    <hyperlink ref="F34" r:id="rId72" display="https://www.whoscored.com/Teams/970/Show/Costa-Rica-Costa-Rica"/>
    <hyperlink ref="D35" r:id="rId73" display="https://www.whoscored.com/Teams/977/Show/Nigeria-Nigeria"/>
    <hyperlink ref="E35" r:id="rId74" display="https://www.whoscored.com/Matches/1249955/Show/International-FIFA-World-Cup-2018-Nigeria-Iceland"/>
    <hyperlink ref="F35" r:id="rId75" display="https://www.whoscored.com/Teams/770/Show/Iceland-Iceland"/>
    <hyperlink ref="D36" r:id="rId76" display="https://www.whoscored.com/Teams/771/Show/Serbia-Serbia"/>
    <hyperlink ref="E36" r:id="rId77" display="https://www.whoscored.com/Matches/1249946/Show/International-FIFA-World-Cup-2018-Serbia-Switzerland"/>
    <hyperlink ref="F36" r:id="rId78" display="https://www.whoscored.com/Teams/423/Show/Switzerland-Switzerland"/>
    <hyperlink ref="D38" r:id="rId79" display="https://www.whoscored.com/Teams/339/Show/Belgium-Belgium"/>
    <hyperlink ref="E38" r:id="rId80" display="https://www.whoscored.com/Matches/1249939/Show/International-FIFA-World-Cup-2018-Belgium-Tunisia"/>
    <hyperlink ref="F38" r:id="rId81" display="https://www.whoscored.com/Teams/959/Show/Tunisia-Tunisia"/>
    <hyperlink ref="D39" r:id="rId82" display="https://www.whoscored.com/Teams/1159/Show/South-Korea-South-Korea"/>
    <hyperlink ref="E39" r:id="rId83" display="https://www.whoscored.com/Matches/1249961/Show/International-FIFA-World-Cup-2018-South-Korea-Mexico"/>
    <hyperlink ref="F39" r:id="rId84" display="https://www.whoscored.com/Teams/972/Show/Mexico-Mexico"/>
    <hyperlink ref="D40" r:id="rId85" display="https://www.whoscored.com/Teams/336/Show/Germany-Germany"/>
    <hyperlink ref="E40" r:id="rId86" display="https://www.whoscored.com/Matches/1249936/Show/International-FIFA-World-Cup-2018-Germany-Sweden"/>
    <hyperlink ref="F40" r:id="rId87" display="https://www.whoscored.com/Teams/344/Show/Sweden-Sweden"/>
    <hyperlink ref="D42" r:id="rId88" display="https://www.whoscored.com/Teams/345/Show/England-England"/>
    <hyperlink ref="E42" r:id="rId89" display="https://www.whoscored.com/Matches/1249958/Show/International-FIFA-World-Cup-2018-England-Panama"/>
    <hyperlink ref="F42" r:id="rId90" display="https://www.whoscored.com/Teams/2694/Show/Panama-Panama"/>
    <hyperlink ref="D43" r:id="rId91" display="https://www.whoscored.com/Teams/986/Show/Japan-Japan"/>
    <hyperlink ref="E43" r:id="rId92" display="https://www.whoscored.com/Matches/1249964/Show/International-FIFA-World-Cup-2018-Japan-Senegal"/>
    <hyperlink ref="F43" r:id="rId93" display="https://www.whoscored.com/Teams/957/Show/Senegal-Senegal"/>
    <hyperlink ref="D44" r:id="rId94" display="https://www.whoscored.com/Teams/342/Show/Poland-Poland"/>
    <hyperlink ref="E44" r:id="rId95" display="https://www.whoscored.com/Matches/1249925/Show/International-FIFA-World-Cup-2018-Poland-Colombia"/>
    <hyperlink ref="F44" r:id="rId96" display="https://www.whoscored.com/Teams/408/Show/Colombia-Colombia"/>
    <hyperlink ref="D46" r:id="rId97" display="https://www.whoscored.com/Teams/494/Show/Saudi-Arabia-Saudi-Arabia"/>
    <hyperlink ref="E46" r:id="rId98" display="https://www.whoscored.com/Matches/1249944/Show/International-FIFA-World-Cup-2018-Saudi-Arabia-Egypt"/>
    <hyperlink ref="F46" r:id="rId99" display="https://www.whoscored.com/Teams/944/Show/Egypt-Egypt"/>
    <hyperlink ref="D47" r:id="rId100" display="https://www.whoscored.com/Teams/967/Show/Uruguay-Uruguay"/>
    <hyperlink ref="E47" r:id="rId101" display="https://www.whoscored.com/Matches/1249918/Show/International-FIFA-World-Cup-2018-Uruguay-Russia"/>
    <hyperlink ref="F47" r:id="rId102" display="https://www.whoscored.com/Teams/326/Show/Russia-Russia"/>
    <hyperlink ref="D48" r:id="rId103" display="https://www.whoscored.com/Teams/338/Show/Spain-Spain"/>
    <hyperlink ref="E48" r:id="rId104" display="https://www.whoscored.com/Matches/1249950/Show/International-FIFA-World-Cup-2018-Spain-Morocco"/>
    <hyperlink ref="F48" r:id="rId105" display="https://www.whoscored.com/Teams/495/Show/Morocco-Morocco"/>
    <hyperlink ref="D49" r:id="rId106" display="https://www.whoscored.com/Teams/1293/Show/Iran-Iran"/>
    <hyperlink ref="E49" r:id="rId107" display="https://www.whoscored.com/Matches/1249931/Show/International-FIFA-World-Cup-2018-Iran-Portugal"/>
    <hyperlink ref="F49" r:id="rId108" display="https://www.whoscored.com/Teams/340/Show/Portugal-Portugal"/>
    <hyperlink ref="D51" r:id="rId109" display="https://www.whoscored.com/Teams/328/Show/Australia-Australia"/>
    <hyperlink ref="E51" r:id="rId110" display="https://www.whoscored.com/Matches/1249953/Show/International-FIFA-World-Cup-2018-Australia-Peru"/>
    <hyperlink ref="F51" r:id="rId111" display="https://www.whoscored.com/Teams/416/Show/Peru-Peru"/>
    <hyperlink ref="D52" r:id="rId112" display="https://www.whoscored.com/Teams/425/Show/Denmark-Denmark"/>
    <hyperlink ref="E52" r:id="rId113" display="https://www.whoscored.com/Matches/1249929/Show/International-FIFA-World-Cup-2018-Denmark-France"/>
    <hyperlink ref="F52" r:id="rId114" display="https://www.whoscored.com/Teams/341/Show/France-France"/>
    <hyperlink ref="D53" r:id="rId115" display="https://www.whoscored.com/Teams/977/Show/Nigeria-Nigeria"/>
    <hyperlink ref="E53" r:id="rId116" display="https://www.whoscored.com/Matches/1249956/Show/International-FIFA-World-Cup-2018-Nigeria-Argentina"/>
    <hyperlink ref="F53" r:id="rId117" display="https://www.whoscored.com/Teams/346/Show/Argentina-Argentina"/>
    <hyperlink ref="D54" r:id="rId118" display="https://www.whoscored.com/Teams/770/Show/Iceland-Iceland"/>
    <hyperlink ref="E54" r:id="rId119" display="https://www.whoscored.com/Matches/1249933/Show/International-FIFA-World-Cup-2018-Iceland-Croatia"/>
    <hyperlink ref="F54" r:id="rId120" display="https://www.whoscored.com/Teams/337/Show/Croatia-Croatia"/>
    <hyperlink ref="D56" r:id="rId121" display="https://www.whoscored.com/Teams/1159/Show/South-Korea-South-Korea"/>
    <hyperlink ref="E56" r:id="rId122" display="https://www.whoscored.com/Matches/1249962/Show/International-FIFA-World-Cup-2018-South-Korea-Germany"/>
    <hyperlink ref="F56" r:id="rId123" display="https://www.whoscored.com/Teams/336/Show/Germany-Germany"/>
    <hyperlink ref="D57" r:id="rId124" display="https://www.whoscored.com/Teams/972/Show/Mexico-Mexico"/>
    <hyperlink ref="E57" r:id="rId125" display="https://www.whoscored.com/Matches/1249937/Show/International-FIFA-World-Cup-2018-Mexico-Sweden"/>
    <hyperlink ref="F57" r:id="rId126" display="https://www.whoscored.com/Teams/344/Show/Sweden-Sweden"/>
    <hyperlink ref="D58" r:id="rId127" display="https://www.whoscored.com/Teams/771/Show/Serbia-Serbia"/>
    <hyperlink ref="E58" r:id="rId128" display="https://www.whoscored.com/Matches/1249947/Show/International-FIFA-World-Cup-2018-Serbia-Brazil"/>
    <hyperlink ref="F58" r:id="rId129" display="https://www.whoscored.com/Teams/409/Show/Brazil-Brazil"/>
    <hyperlink ref="D59" r:id="rId130" display="https://www.whoscored.com/Teams/423/Show/Switzerland-Switzerland"/>
    <hyperlink ref="E59" r:id="rId131" display="https://www.whoscored.com/Matches/1249935/Show/International-FIFA-World-Cup-2018-Switzerland-Costa-Rica"/>
    <hyperlink ref="F59" r:id="rId132" display="https://www.whoscored.com/Teams/970/Show/Costa-Rica-Costa-Rica"/>
    <hyperlink ref="D61" r:id="rId133" display="https://www.whoscored.com/Teams/986/Show/Japan-Japan"/>
    <hyperlink ref="E61" r:id="rId134" display="https://www.whoscored.com/Matches/1249965/Show/International-FIFA-World-Cup-2018-Japan-Poland"/>
    <hyperlink ref="F61" r:id="rId135" display="https://www.whoscored.com/Teams/342/Show/Poland-Poland"/>
    <hyperlink ref="D62" r:id="rId136" display="https://www.whoscored.com/Teams/957/Show/Senegal-Senegal"/>
    <hyperlink ref="E62" r:id="rId137" display="https://www.whoscored.com/Matches/1249941/Show/International-FIFA-World-Cup-2018-Senegal-Colombia"/>
    <hyperlink ref="F62" r:id="rId138" display="https://www.whoscored.com/Teams/408/Show/Colombia-Colombia"/>
    <hyperlink ref="D63" r:id="rId139" display="https://www.whoscored.com/Teams/2694/Show/Panama-Panama"/>
    <hyperlink ref="E63" r:id="rId140" display="https://www.whoscored.com/Matches/1249959/Show/International-FIFA-World-Cup-2018-Panama-Tunisia"/>
    <hyperlink ref="F63" r:id="rId141" display="https://www.whoscored.com/Teams/959/Show/Tunisia-Tunisia"/>
    <hyperlink ref="D64" r:id="rId142" display="https://www.whoscored.com/Teams/345/Show/England-England"/>
    <hyperlink ref="E64" r:id="rId143" display="https://www.whoscored.com/Matches/1249924/Show/International-FIFA-World-Cup-2018-England-Belgium"/>
    <hyperlink ref="F64" r:id="rId144" display="https://www.whoscored.com/Teams/339/Show/Belgium-Belgium"/>
    <hyperlink ref="A66" r:id="rId145" tooltip="Highlight teams in tables below" display="https://www.whoscored.com/Regions/247/Tournaments/36/International-FIFA-World-Cup"/>
    <hyperlink ref="D66" r:id="rId146" display="https://www.whoscored.com/Teams/341/Show/France-France"/>
    <hyperlink ref="E66" r:id="rId147" display="https://www.whoscored.com/Matches/1293265/Show/International-FIFA-World-Cup-2018-France-Argentina"/>
    <hyperlink ref="F66" r:id="rId148" display="https://www.whoscored.com/Teams/346/Show/Argentina-Argentina"/>
    <hyperlink ref="A67" r:id="rId149" tooltip="Highlight teams in tables below" display="https://www.whoscored.com/Regions/247/Tournaments/36/International-FIFA-World-Cup"/>
    <hyperlink ref="D67" r:id="rId150" display="https://www.whoscored.com/Teams/967/Show/Uruguay-Uruguay"/>
    <hyperlink ref="E67" r:id="rId151" display="https://www.whoscored.com/Matches/1292946/Show/International-FIFA-World-Cup-2018-Uruguay-Portugal"/>
    <hyperlink ref="F67" r:id="rId152" display="https://www.whoscored.com/Teams/340/Show/Portugal-Portugal"/>
    <hyperlink ref="A69" r:id="rId153" tooltip="Highlight teams in tables below" display="https://www.whoscored.com/Regions/247/Tournaments/36/International-FIFA-World-Cup"/>
    <hyperlink ref="D69" r:id="rId154" display="https://www.whoscored.com/Teams/338/Show/Spain-Spain"/>
    <hyperlink ref="E69" r:id="rId155" display="https://www.whoscored.com/Matches/1292947/Show/International-FIFA-World-Cup-2018-Spain-Russia"/>
    <hyperlink ref="F69" r:id="rId156" display="https://www.whoscored.com/Teams/326/Show/Russia-Russia"/>
    <hyperlink ref="A70" r:id="rId157" tooltip="Highlight teams in tables below" display="https://www.whoscored.com/Regions/247/Tournaments/36/International-FIFA-World-Cup"/>
    <hyperlink ref="D70" r:id="rId158" display="https://www.whoscored.com/Teams/337/Show/Croatia-Croatia"/>
    <hyperlink ref="E70" r:id="rId159" display="https://www.whoscored.com/Matches/1293264/Show/International-FIFA-World-Cup-2018-Croatia-Denmark"/>
    <hyperlink ref="F70" r:id="rId160" display="https://www.whoscored.com/Teams/425/Show/Denmark-Denmark"/>
    <hyperlink ref="A72" r:id="rId161" tooltip="Highlight teams in tables below" display="https://www.whoscored.com/Regions/247/Tournaments/36/International-FIFA-World-Cup"/>
    <hyperlink ref="D72" r:id="rId162" display="https://www.whoscored.com/Teams/409/Show/Brazil-Brazil"/>
    <hyperlink ref="E72" r:id="rId163" display="https://www.whoscored.com/Matches/1293605/Show/International-FIFA-World-Cup-2018-Brazil-Mexico"/>
    <hyperlink ref="F72" r:id="rId164" display="https://www.whoscored.com/Teams/972/Show/Mexico-Mexico"/>
    <hyperlink ref="G72" r:id="rId165" display="https://www.whoscored.com/Matches/1293605/Preview/International-FIFA-World-Cup-2018-Brazil-Mexico"/>
    <hyperlink ref="A73" r:id="rId166" tooltip="Highlight teams in tables below" display="https://www.whoscored.com/Regions/247/Tournaments/36/International-FIFA-World-Cup"/>
    <hyperlink ref="D73" r:id="rId167" display="https://www.whoscored.com/Teams/339/Show/Belgium-Belgium"/>
    <hyperlink ref="E73" r:id="rId168" display="https://www.whoscored.com/Matches/1294524/Show/International-FIFA-World-Cup-2018-Belgium-Japan"/>
    <hyperlink ref="F73" r:id="rId169" display="https://www.whoscored.com/Teams/986/Show/Japan-Japan"/>
    <hyperlink ref="G73" r:id="rId170" display="https://www.whoscored.com/Matches/1294524/Preview/International-FIFA-World-Cup-2018-Belgium-Japan"/>
    <hyperlink ref="A75" r:id="rId171" tooltip="Highlight teams in tables below" display="https://www.whoscored.com/Regions/247/Tournaments/36/International-FIFA-World-Cup"/>
    <hyperlink ref="D75" r:id="rId172" display="https://www.whoscored.com/Teams/344/Show/Sweden-Sweden"/>
    <hyperlink ref="E75" r:id="rId173" display="https://www.whoscored.com/Matches/1293606/Show/International-FIFA-World-Cup-2018-Sweden-Switzerland"/>
    <hyperlink ref="F75" r:id="rId174" display="https://www.whoscored.com/Teams/423/Show/Switzerland-Switzerland"/>
    <hyperlink ref="A76" r:id="rId175" tooltip="Highlight teams in tables below" display="https://www.whoscored.com/Regions/247/Tournaments/36/International-FIFA-World-Cup"/>
    <hyperlink ref="D76" r:id="rId176" display="https://www.whoscored.com/Teams/408/Show/Colombia-Colombia"/>
    <hyperlink ref="E76" r:id="rId177" display="https://www.whoscored.com/Matches/1294525/Show/International-FIFA-World-Cup-2018-Colombia-England"/>
    <hyperlink ref="F76" r:id="rId178" display="https://www.whoscored.com/Teams/345/Show/England-England"/>
    <hyperlink ref="G76" r:id="rId179" display="https://www.whoscored.com/Matches/1294525/Preview/International-FIFA-World-Cup-2018-Colombia-England"/>
    <hyperlink ref="A78" r:id="rId180" tooltip="Highlight teams in tables below" display="https://www.whoscored.com/Regions/247/Tournaments/36/Seasons/5967/Stages/12760/Show/International-FIFA-World-Cup-2018"/>
    <hyperlink ref="D78" r:id="rId181" display="https://www.whoscored.com/Teams/967/Show/Uruguay-Uruguay"/>
    <hyperlink ref="E78" r:id="rId182" display="https://www.whoscored.com/Matches/1296185/Show/International-FIFA-World-Cup-2018-Uruguay-France"/>
    <hyperlink ref="F78" r:id="rId183" display="https://www.whoscored.com/Teams/341/Show/France-France"/>
    <hyperlink ref="A79" r:id="rId184" tooltip="Highlight teams in tables below" display="https://www.whoscored.com/Regions/247/Tournaments/36/Seasons/5967/Stages/12760/Show/International-FIFA-World-Cup-2018"/>
    <hyperlink ref="D79" r:id="rId185" display="https://www.whoscored.com/Teams/409/Show/Brazil-Brazil"/>
    <hyperlink ref="E79" r:id="rId186" display="https://www.whoscored.com/Matches/1296533/Show/International-FIFA-World-Cup-2018-Brazil-Belgium"/>
    <hyperlink ref="F79" r:id="rId187" display="https://www.whoscored.com/Teams/339/Show/Belgium-Belgium"/>
    <hyperlink ref="A81" r:id="rId188" tooltip="Highlight teams in tables below" display="https://www.whoscored.com/Regions/247/Tournaments/36/Seasons/5967/Stages/12760/Show/International-FIFA-World-Cup-2018"/>
    <hyperlink ref="D81" r:id="rId189" display="https://www.whoscored.com/Teams/344/Show/Sweden-Sweden"/>
    <hyperlink ref="E81" r:id="rId190" display="https://www.whoscored.com/Matches/1297396/Show/International-FIFA-World-Cup-2018-Sweden-England"/>
    <hyperlink ref="F81" r:id="rId191" display="https://www.whoscored.com/Teams/345/Show/England-England"/>
    <hyperlink ref="G81" r:id="rId192" tooltip="Comments" display="https://www.whoscored.com/Matches/1297396/Show/International-FIFA-World-Cup-2018-Sweden-England"/>
    <hyperlink ref="A82" r:id="rId193" tooltip="Highlight teams in tables below" display="https://www.whoscored.com/Regions/247/Tournaments/36/Seasons/5967/Stages/12760/Show/International-FIFA-World-Cup-2018"/>
    <hyperlink ref="D82" r:id="rId194" display="https://www.whoscored.com/Teams/326/Show/Russia-Russia"/>
    <hyperlink ref="E82" r:id="rId195" display="https://www.whoscored.com/Matches/1296532/Show/International-FIFA-World-Cup-2018-Russia-Croatia"/>
    <hyperlink ref="F82" r:id="rId196" display="https://www.whoscored.com/Teams/337/Show/Croatia-Croatia"/>
    <hyperlink ref="A84" r:id="rId197" tooltip="Highlight teams in tables below" display="https://www.whoscored.com/Regions/247/Tournaments/36/International-FIFA-World-Cup"/>
    <hyperlink ref="D84" r:id="rId198" display="https://www.whoscored.com/Teams/341/Show/France-France"/>
    <hyperlink ref="E84" r:id="rId199" display="https://www.whoscored.com/Matches/1301293/Show/International-FIFA-World-Cup-2018-France-Belgium"/>
    <hyperlink ref="F84" r:id="rId200" display="https://www.whoscored.com/Teams/339/Show/Belgium-Belgium"/>
    <hyperlink ref="A86" r:id="rId201" tooltip="Highlight teams in tables below" display="https://www.whoscored.com/Regions/247/Tournaments/36/International-FIFA-World-Cup"/>
    <hyperlink ref="D86" r:id="rId202" display="https://www.whoscored.com/Teams/337/Show/Croatia-Croatia"/>
    <hyperlink ref="E86" r:id="rId203" display="https://www.whoscored.com/Matches/1302108/Show/International-FIFA-World-Cup-2018-Croatia-England"/>
    <hyperlink ref="F86" r:id="rId204" display="https://www.whoscored.com/Teams/345/Show/England-England"/>
    <hyperlink ref="A88" r:id="rId205" tooltip="Highlight teams in tables below" display="https://www.whoscored.com/Regions/247/Tournaments/36/Seasons/5967/Stages/12762/Show/International-FIFA-World-Cup-2018"/>
    <hyperlink ref="D88" r:id="rId206" display="https://www.whoscored.com/Teams/339/Show/Belgium-Belgium"/>
    <hyperlink ref="E88" r:id="rId207" display="https://www.whoscored.com/Matches/1307191/Show/International-FIFA-World-Cup-2018-Belgium-England"/>
    <hyperlink ref="F88" r:id="rId208" display="https://www.whoscored.com/Teams/345/Show/England-England"/>
    <hyperlink ref="A90" r:id="rId209" tooltip="Highlight teams in tables below" display="https://www.whoscored.com/Regions/247/Tournaments/36/Seasons/5967/Stages/12763/Show/International-FIFA-World-Cup-2018"/>
    <hyperlink ref="D90" r:id="rId210" display="https://www.whoscored.com/Teams/341/Show/France-France"/>
    <hyperlink ref="E90" r:id="rId211" display="https://www.whoscored.com/Matches/1307192/Show/International-FIFA-World-Cup-2018-France-Croatia"/>
    <hyperlink ref="F90" r:id="rId212" display="https://www.whoscored.com/Teams/337/Show/Croatia-Croatia"/>
  </hyperlinks>
  <pageMargins left="0.7" right="0.7" top="0.75" bottom="0.75" header="0.3" footer="0.3"/>
  <pageSetup paperSize="9"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ELO_ratings</vt:lpstr>
      <vt:lpstr>World_Cup_goals</vt:lpstr>
      <vt:lpstr>Poisson_goals_home_away</vt:lpstr>
      <vt:lpstr>Poisson_goals_World_Cup</vt:lpstr>
      <vt:lpstr>Qualifying_goals</vt:lpstr>
      <vt:lpstr>Params_and_stats</vt:lpstr>
      <vt:lpstr>Fixtures_and_calcs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Deacon</dc:creator>
  <cp:lastModifiedBy>Adam Deacon</cp:lastModifiedBy>
  <dcterms:created xsi:type="dcterms:W3CDTF">2018-05-29T11:26:40Z</dcterms:created>
  <dcterms:modified xsi:type="dcterms:W3CDTF">2018-08-24T16:15:26Z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7c25b5e5-4ea2-460a-b1f1-d2bd38506558</vt:lpwstr>
  </property>
</Properties>
</file>