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120\"/>
    </mc:Choice>
  </mc:AlternateContent>
  <xr:revisionPtr revIDLastSave="0" documentId="13_ncr:1_{B6D13E90-5BC0-48AA-96E0-56362C7487FD}" xr6:coauthVersionLast="45" xr6:coauthVersionMax="45" xr10:uidLastSave="{00000000-0000-0000-0000-000000000000}"/>
  <bookViews>
    <workbookView xWindow="-108" yWindow="-108" windowWidth="23256" windowHeight="12576" firstSheet="5" activeTab="9" xr2:uid="{4DBCDC5B-27C3-4F30-BF8B-96A646517314}"/>
  </bookViews>
  <sheets>
    <sheet name="motor A regression" sheetId="2" r:id="rId1"/>
    <sheet name="Motor B regression" sheetId="3" r:id="rId2"/>
    <sheet name="Motor A pwm=f(w)" sheetId="11" r:id="rId3"/>
    <sheet name="Motor B pwm=f(w)" sheetId="12" r:id="rId4"/>
    <sheet name="Motor A PWM (battery)" sheetId="13" r:id="rId5"/>
    <sheet name="all data" sheetId="1" r:id="rId6"/>
    <sheet name="usb data" sheetId="16" r:id="rId7"/>
    <sheet name="usb data 2" sheetId="18" r:id="rId8"/>
    <sheet name="battery data" sheetId="15" r:id="rId9"/>
    <sheet name="battery data 2" sheetId="17" r:id="rId10"/>
  </sheets>
  <definedNames>
    <definedName name="_xlnm.Print_Area" localSheetId="8">'battery data'!$A$1:$G$26</definedName>
    <definedName name="_xlnm.Print_Area" localSheetId="9">'battery data 2'!$A:$G</definedName>
    <definedName name="_xlnm.Print_Area" localSheetId="6">'usb data'!$A$1:$G$26</definedName>
    <definedName name="_xlnm.Print_Area" localSheetId="7">'usb data 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7" l="1"/>
  <c r="E6" i="17"/>
  <c r="E7" i="17"/>
  <c r="E8" i="17"/>
  <c r="E9" i="17"/>
  <c r="E5" i="15"/>
  <c r="E6" i="15"/>
  <c r="E7" i="15"/>
  <c r="E8" i="15"/>
  <c r="E9" i="15"/>
  <c r="E5" i="18"/>
  <c r="E6" i="18"/>
  <c r="E7" i="18"/>
  <c r="E8" i="18"/>
  <c r="E9" i="18"/>
  <c r="E5" i="16"/>
  <c r="E6" i="16"/>
  <c r="E7" i="16"/>
  <c r="E8" i="16"/>
  <c r="E9" i="16"/>
  <c r="F5" i="17"/>
  <c r="F6" i="17"/>
  <c r="F7" i="17"/>
  <c r="F8" i="17"/>
  <c r="F9" i="17"/>
  <c r="F9" i="18"/>
  <c r="F8" i="18"/>
  <c r="F7" i="18"/>
  <c r="F6" i="18"/>
  <c r="F5" i="18"/>
  <c r="M9" i="16" l="1"/>
  <c r="F9" i="16"/>
  <c r="M8" i="16"/>
  <c r="F8" i="16"/>
  <c r="M7" i="16"/>
  <c r="F7" i="16"/>
  <c r="M6" i="16"/>
  <c r="F6" i="16"/>
  <c r="M5" i="16"/>
  <c r="F5" i="16"/>
  <c r="M9" i="15"/>
  <c r="F9" i="15"/>
  <c r="M8" i="15"/>
  <c r="F8" i="15"/>
  <c r="M7" i="15"/>
  <c r="F7" i="15"/>
  <c r="M6" i="15"/>
  <c r="F6" i="15"/>
  <c r="M5" i="15"/>
  <c r="F5" i="15"/>
  <c r="K5" i="1"/>
  <c r="K6" i="1"/>
  <c r="K7" i="1"/>
  <c r="K8" i="1"/>
  <c r="K9" i="1"/>
  <c r="E5" i="1"/>
  <c r="E6" i="1"/>
  <c r="E7" i="1"/>
  <c r="E8" i="1"/>
  <c r="E9" i="1"/>
  <c r="C20" i="1" l="1"/>
  <c r="I20" i="1"/>
  <c r="C21" i="1"/>
  <c r="I21" i="1"/>
  <c r="C22" i="1"/>
  <c r="I22" i="1"/>
  <c r="C23" i="1"/>
  <c r="I23" i="1"/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I34" i="1" l="1"/>
  <c r="I33" i="1"/>
  <c r="I32" i="1"/>
  <c r="I31" i="1"/>
  <c r="I30" i="1"/>
  <c r="I29" i="1"/>
  <c r="I28" i="1"/>
  <c r="I27" i="1"/>
  <c r="I26" i="1"/>
  <c r="I25" i="1"/>
  <c r="I24" i="1"/>
  <c r="C24" i="1"/>
  <c r="C25" i="1"/>
  <c r="C26" i="1"/>
  <c r="C27" i="1"/>
  <c r="C28" i="1"/>
  <c r="C29" i="1"/>
  <c r="C30" i="1"/>
  <c r="C31" i="1"/>
  <c r="C32" i="1"/>
  <c r="C33" i="1"/>
  <c r="C34" i="1"/>
</calcChain>
</file>

<file path=xl/sharedStrings.xml><?xml version="1.0" encoding="utf-8"?>
<sst xmlns="http://schemas.openxmlformats.org/spreadsheetml/2006/main" count="218" uniqueCount="48">
  <si>
    <t>PWM</t>
  </si>
  <si>
    <t># Turns (1)</t>
  </si>
  <si>
    <t># Turns (2)</t>
  </si>
  <si>
    <t># Turns (3)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</si>
  <si>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</si>
  <si>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</si>
  <si>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</si>
  <si>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</si>
  <si>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</si>
  <si>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</si>
  <si>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</si>
  <si>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</si>
  <si>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</si>
  <si>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</si>
  <si>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</si>
  <si>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</si>
  <si>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</si>
  <si>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</si>
  <si>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</si>
  <si>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</si>
  <si>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</si>
  <si>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</si>
  <si>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</si>
  <si>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</si>
  <si>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</si>
  <si>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</si>
  <si>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</si>
  <si>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</si>
  <si>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</si>
  <si>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pwm</t>
  </si>
  <si>
    <t>rotations</t>
  </si>
  <si>
    <t>rad/s</t>
  </si>
  <si>
    <t>Motor A w/ battery</t>
  </si>
  <si>
    <t>Motor A USB</t>
  </si>
  <si>
    <t>Motor B USB</t>
  </si>
  <si>
    <t>Motor A Battery</t>
  </si>
  <si>
    <t>Motor B Battery</t>
  </si>
  <si>
    <t>Omega (rad/s)</t>
  </si>
  <si>
    <t>Sean Lai, ME120 Section 001, PWM Calibration</t>
  </si>
  <si>
    <t>Homework #5 Problem 1, due 11/25/19.</t>
  </si>
  <si>
    <t>Sean Lai, ME120 Section 001, PWM Calibration (Battery Power)</t>
  </si>
  <si>
    <t>Equation of fit line:</t>
  </si>
  <si>
    <t>y = -0.045x^2 + 9.379x + 1.547</t>
  </si>
  <si>
    <t>y = -0.008x^2 + 8.681x + 6.571</t>
  </si>
  <si>
    <t>Sean Lai, ME120 Section 001, PWM Calibration (USB Power)</t>
  </si>
  <si>
    <t>y = -0.107x^2 + 13.105x + 18.545</t>
  </si>
  <si>
    <t>y = -0.112x^2 + 13.415x + 5.378</t>
  </si>
  <si>
    <t>Avg.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</si>
</sst>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3"/>
    </font>
    <font>
      <b/>
      <sz val="12"/>
      <color theme="0"/>
      <name val="Inconsolata"/>
      <family val="3"/>
    </font>
    <font>
      <i/>
      <sz val="11"/>
      <color theme="1"/>
      <name val="Calibri"/>
      <family val="2"/>
      <scheme val="minor"/>
    </font>
    <font>
      <b/>
      <sz val="11"/>
      <color theme="1"/>
      <name val="Inconsolata"/>
      <family val="3"/>
    </font>
    <font>
      <b/>
      <sz val="12"/>
      <color theme="1"/>
      <name val="Inconsolata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5" fillId="3" borderId="0" xfId="0" applyFont="1" applyFill="1"/>
    <xf numFmtId="0" fontId="5" fillId="3" borderId="0" xfId="0" applyFont="1" applyFill="1" applyAlignment="1">
      <alignment vertical="top"/>
    </xf>
    <xf numFmtId="0" fontId="1" fillId="0" borderId="0" xfId="0" applyFont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 applyAlignment="1">
      <alignment horizontal="center" wrapText="1"/>
    </xf>
    <xf numFmtId="0" fontId="1" fillId="0" borderId="7" xfId="0" applyFont="1" applyBorder="1"/>
    <xf numFmtId="0" fontId="1" fillId="0" borderId="9" xfId="0" applyFont="1" applyBorder="1"/>
    <xf numFmtId="164" fontId="1" fillId="0" borderId="7" xfId="0" applyNumberFormat="1" applyFont="1" applyFill="1" applyBorder="1"/>
    <xf numFmtId="164" fontId="1" fillId="0" borderId="9" xfId="0" applyNumberFormat="1" applyFont="1" applyFill="1" applyBorder="1"/>
    <xf numFmtId="164" fontId="1" fillId="0" borderId="7" xfId="0" applyNumberFormat="1" applyFont="1" applyBorder="1"/>
    <xf numFmtId="164" fontId="1" fillId="0" borderId="9" xfId="0" applyNumberFormat="1" applyFont="1" applyBorder="1"/>
    <xf numFmtId="164" fontId="1" fillId="0" borderId="0" xfId="0" applyNumberFormat="1" applyFont="1" applyBorder="1"/>
    <xf numFmtId="164" fontId="1" fillId="0" borderId="1" xfId="0" applyNumberFormat="1" applyFont="1" applyBorder="1"/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/>
  </cellXfs>
  <cellStyles count="1">
    <cellStyle name="Normal" xfId="0" builtinId="0"/>
  </cellStyles>
  <dxfs count="60">
    <dxf>
      <font>
        <strike val="0"/>
        <outline val="0"/>
        <shadow val="0"/>
        <u val="none"/>
        <vertAlign val="baseline"/>
        <name val="Inconsolata"/>
        <family val="3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numFmt numFmtId="164" formatCode="0.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</dxf>
    <dxf>
      <font>
        <strike val="0"/>
        <outline val="0"/>
        <shadow val="0"/>
        <u val="none"/>
        <vertAlign val="baseline"/>
        <name val="Inconsolata"/>
        <family val="3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Inconsolata" panose="00000509000000000000" pitchFamily="49" charset="0"/>
              </a:rPr>
              <a:t>Motor A</a:t>
            </a:r>
            <a:r>
              <a:rPr lang="en-US" baseline="0">
                <a:latin typeface="Inconsolata" panose="00000509000000000000" pitchFamily="49" charset="0"/>
              </a:rPr>
              <a:t> </a:t>
            </a:r>
            <a:r>
              <a:rPr lang="en-US">
                <a:latin typeface="Inconsolata" panose="00000509000000000000" pitchFamily="49" charset="0"/>
              </a:rPr>
              <a:t>PWM vs.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data'!$A$4</c:f>
              <c:strCache>
                <c:ptCount val="1"/>
                <c:pt idx="0">
                  <c:v>PWM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'usb data'!$F$5:$F$9</c:f>
              <c:numCache>
                <c:formatCode>0.0</c:formatCode>
                <c:ptCount val="5"/>
                <c:pt idx="0">
                  <c:v>2.9321531433504737</c:v>
                </c:pt>
                <c:pt idx="1">
                  <c:v>4.7019170048727243</c:v>
                </c:pt>
                <c:pt idx="2">
                  <c:v>7.0999993971129314</c:v>
                </c:pt>
                <c:pt idx="3">
                  <c:v>9.2258104260420257</c:v>
                </c:pt>
                <c:pt idx="4">
                  <c:v>11.45634121009078</c:v>
                </c:pt>
              </c:numCache>
            </c:numRef>
          </c:xVal>
          <c:yVal>
            <c:numRef>
              <c:f>'usb data'!$A$5:$A$9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105</c:v>
                </c:pt>
                <c:pt idx="3">
                  <c:v>130</c:v>
                </c:pt>
                <c:pt idx="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F-4A96-AEAB-D9C8839D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51055"/>
        <c:axId val="18748375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'battery data'!$A$5</c15:sqref>
                        </c15:formulaRef>
                      </c:ext>
                    </c:extLst>
                    <c:strCache>
                      <c:ptCount val="1"/>
                      <c:pt idx="0">
                        <c:v>55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'battery data'!$A$6:$A$9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</c:v>
                      </c:pt>
                      <c:pt idx="1">
                        <c:v>105</c:v>
                      </c:pt>
                      <c:pt idx="2">
                        <c:v>130</c:v>
                      </c:pt>
                      <c:pt idx="3">
                        <c:v>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75F-4A96-AEAB-D9C8839D3CDA}"/>
                  </c:ext>
                </c:extLst>
              </c15:ser>
            </c15:filteredScatterSeries>
          </c:ext>
        </c:extLst>
      </c:scatterChart>
      <c:valAx>
        <c:axId val="19949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Omega</a:t>
                </a:r>
                <a:r>
                  <a:rPr lang="en-US" baseline="0">
                    <a:latin typeface="Inconsolata" panose="00000509000000000000" pitchFamily="49" charset="0"/>
                  </a:rPr>
                  <a:t> (rad/s)</a:t>
                </a:r>
                <a:endParaRPr lang="en-US">
                  <a:latin typeface="Inconsolata" panose="00000509000000000000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37519"/>
        <c:crosses val="autoZero"/>
        <c:crossBetween val="midCat"/>
      </c:valAx>
      <c:valAx>
        <c:axId val="1874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Inconsolata" panose="00000509000000000000" pitchFamily="49" charset="0"/>
              </a:rPr>
              <a:t>Motor B</a:t>
            </a:r>
            <a:r>
              <a:rPr lang="en-US" baseline="0">
                <a:latin typeface="Inconsolata" panose="00000509000000000000" pitchFamily="49" charset="0"/>
              </a:rPr>
              <a:t> </a:t>
            </a:r>
            <a:r>
              <a:rPr lang="en-US">
                <a:latin typeface="Inconsolata" panose="00000509000000000000" pitchFamily="49" charset="0"/>
              </a:rPr>
              <a:t>PWM vs.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data'!$A$4</c:f>
              <c:strCache>
                <c:ptCount val="1"/>
                <c:pt idx="0">
                  <c:v>PWM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'usb data'!$M$5:$M$9</c:f>
              <c:numCache>
                <c:formatCode>0.0</c:formatCode>
                <c:ptCount val="5"/>
                <c:pt idx="0">
                  <c:v>3.8117990863556153</c:v>
                </c:pt>
                <c:pt idx="1">
                  <c:v>5.8957222132368452</c:v>
                </c:pt>
                <c:pt idx="2">
                  <c:v>7.8749255849984152</c:v>
                </c:pt>
                <c:pt idx="3">
                  <c:v>10.210176124166827</c:v>
                </c:pt>
                <c:pt idx="4">
                  <c:v>12.430234932703614</c:v>
                </c:pt>
              </c:numCache>
            </c:numRef>
          </c:xVal>
          <c:yVal>
            <c:numRef>
              <c:f>'battery data'!$I$5:$I$9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105</c:v>
                </c:pt>
                <c:pt idx="3">
                  <c:v>130</c:v>
                </c:pt>
                <c:pt idx="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A-4B65-B942-E7208D1E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51055"/>
        <c:axId val="18748375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'battery data'!$A$5</c15:sqref>
                        </c15:formulaRef>
                      </c:ext>
                    </c:extLst>
                    <c:strCache>
                      <c:ptCount val="1"/>
                      <c:pt idx="0">
                        <c:v>55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'battery data'!$A$6:$A$9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</c:v>
                      </c:pt>
                      <c:pt idx="1">
                        <c:v>105</c:v>
                      </c:pt>
                      <c:pt idx="2">
                        <c:v>130</c:v>
                      </c:pt>
                      <c:pt idx="3">
                        <c:v>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6AA-4B65-B942-E7208D1EEC37}"/>
                  </c:ext>
                </c:extLst>
              </c15:ser>
            </c15:filteredScatterSeries>
          </c:ext>
        </c:extLst>
      </c:scatterChart>
      <c:valAx>
        <c:axId val="19949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Omega</a:t>
                </a:r>
                <a:r>
                  <a:rPr lang="en-US" baseline="0">
                    <a:latin typeface="Inconsolata" panose="00000509000000000000" pitchFamily="49" charset="0"/>
                  </a:rPr>
                  <a:t> (rad/s)</a:t>
                </a:r>
                <a:endParaRPr lang="en-US">
                  <a:latin typeface="Inconsolata" panose="00000509000000000000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37519"/>
        <c:crosses val="autoZero"/>
        <c:crossBetween val="midCat"/>
      </c:valAx>
      <c:valAx>
        <c:axId val="1874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Inconsolata" panose="00000509000000000000" pitchFamily="49" charset="0"/>
              </a:rPr>
              <a:t>Motor B</a:t>
            </a:r>
            <a:r>
              <a:rPr lang="en-US" baseline="0">
                <a:latin typeface="Inconsolata" panose="00000509000000000000" pitchFamily="49" charset="0"/>
              </a:rPr>
              <a:t> </a:t>
            </a:r>
            <a:r>
              <a:rPr lang="en-US">
                <a:latin typeface="Inconsolata" panose="00000509000000000000" pitchFamily="49" charset="0"/>
              </a:rPr>
              <a:t>PWM vs.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data'!$A$4</c:f>
              <c:strCache>
                <c:ptCount val="1"/>
                <c:pt idx="0">
                  <c:v>PWM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'usb data'!$M$5:$M$9</c:f>
              <c:numCache>
                <c:formatCode>0.0</c:formatCode>
                <c:ptCount val="5"/>
                <c:pt idx="0">
                  <c:v>3.8117990863556153</c:v>
                </c:pt>
                <c:pt idx="1">
                  <c:v>5.8957222132368452</c:v>
                </c:pt>
                <c:pt idx="2">
                  <c:v>7.8749255849984152</c:v>
                </c:pt>
                <c:pt idx="3">
                  <c:v>10.210176124166827</c:v>
                </c:pt>
                <c:pt idx="4">
                  <c:v>12.430234932703614</c:v>
                </c:pt>
              </c:numCache>
            </c:numRef>
          </c:xVal>
          <c:yVal>
            <c:numRef>
              <c:f>'battery data'!$I$5:$I$9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105</c:v>
                </c:pt>
                <c:pt idx="3">
                  <c:v>130</c:v>
                </c:pt>
                <c:pt idx="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7-4830-A752-55FCE16C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51055"/>
        <c:axId val="18748375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'battery data'!$A$5</c15:sqref>
                        </c15:formulaRef>
                      </c:ext>
                    </c:extLst>
                    <c:strCache>
                      <c:ptCount val="1"/>
                      <c:pt idx="0">
                        <c:v>55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'battery data'!$A$6:$A$9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</c:v>
                      </c:pt>
                      <c:pt idx="1">
                        <c:v>105</c:v>
                      </c:pt>
                      <c:pt idx="2">
                        <c:v>130</c:v>
                      </c:pt>
                      <c:pt idx="3">
                        <c:v>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667-4830-A752-55FCE16C9796}"/>
                  </c:ext>
                </c:extLst>
              </c15:ser>
            </c15:filteredScatterSeries>
          </c:ext>
        </c:extLst>
      </c:scatterChart>
      <c:valAx>
        <c:axId val="19949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Omega</a:t>
                </a:r>
                <a:r>
                  <a:rPr lang="en-US" baseline="0">
                    <a:latin typeface="Inconsolata" panose="00000509000000000000" pitchFamily="49" charset="0"/>
                  </a:rPr>
                  <a:t> (rad/s)</a:t>
                </a:r>
                <a:endParaRPr lang="en-US">
                  <a:latin typeface="Inconsolata" panose="00000509000000000000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37519"/>
        <c:crosses val="autoZero"/>
        <c:crossBetween val="midCat"/>
      </c:valAx>
      <c:valAx>
        <c:axId val="1874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Inconsolata" panose="00000509000000000000" pitchFamily="49" charset="0"/>
              </a:rPr>
              <a:t>Motor A</a:t>
            </a:r>
            <a:r>
              <a:rPr lang="en-US" baseline="0">
                <a:latin typeface="Inconsolata" panose="00000509000000000000" pitchFamily="49" charset="0"/>
              </a:rPr>
              <a:t> </a:t>
            </a:r>
            <a:r>
              <a:rPr lang="en-US">
                <a:latin typeface="Inconsolata" panose="00000509000000000000" pitchFamily="49" charset="0"/>
              </a:rPr>
              <a:t>PWM vs.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data'!$A$4</c:f>
              <c:strCache>
                <c:ptCount val="1"/>
                <c:pt idx="0">
                  <c:v>PWM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'battery data'!$F$5:$F$9</c:f>
              <c:numCache>
                <c:formatCode>0.0</c:formatCode>
                <c:ptCount val="5"/>
                <c:pt idx="0">
                  <c:v>5.8328903601650488</c:v>
                </c:pt>
                <c:pt idx="1">
                  <c:v>8.8383473320992856</c:v>
                </c:pt>
                <c:pt idx="2">
                  <c:v>11.561060965210437</c:v>
                </c:pt>
                <c:pt idx="3">
                  <c:v>14.786429422895958</c:v>
                </c:pt>
                <c:pt idx="4">
                  <c:v>17.886134174437892</c:v>
                </c:pt>
              </c:numCache>
            </c:numRef>
          </c:xVal>
          <c:yVal>
            <c:numRef>
              <c:f>'battery data'!$A$5:$A$9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105</c:v>
                </c:pt>
                <c:pt idx="3">
                  <c:v>130</c:v>
                </c:pt>
                <c:pt idx="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3-41F4-9FCF-56DD95CF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51055"/>
        <c:axId val="18748375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'battery data'!$A$5</c15:sqref>
                        </c15:formulaRef>
                      </c:ext>
                    </c:extLst>
                    <c:strCache>
                      <c:ptCount val="1"/>
                      <c:pt idx="0">
                        <c:v>55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'battery data'!$A$6:$A$9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</c:v>
                      </c:pt>
                      <c:pt idx="1">
                        <c:v>105</c:v>
                      </c:pt>
                      <c:pt idx="2">
                        <c:v>130</c:v>
                      </c:pt>
                      <c:pt idx="3">
                        <c:v>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973-41F4-9FCF-56DD95CFB321}"/>
                  </c:ext>
                </c:extLst>
              </c15:ser>
            </c15:filteredScatterSeries>
          </c:ext>
        </c:extLst>
      </c:scatterChart>
      <c:valAx>
        <c:axId val="19949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Omega</a:t>
                </a:r>
                <a:r>
                  <a:rPr lang="en-US" baseline="0">
                    <a:latin typeface="Inconsolata" panose="00000509000000000000" pitchFamily="49" charset="0"/>
                  </a:rPr>
                  <a:t> (rad/s)</a:t>
                </a:r>
                <a:endParaRPr lang="en-US">
                  <a:latin typeface="Inconsolata" panose="00000509000000000000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37519"/>
        <c:crosses val="autoZero"/>
        <c:crossBetween val="midCat"/>
      </c:valAx>
      <c:valAx>
        <c:axId val="1874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Inconsolata" panose="00000509000000000000" pitchFamily="49" charset="0"/>
              </a:rPr>
              <a:t>Motor B</a:t>
            </a:r>
            <a:r>
              <a:rPr lang="en-US" baseline="0">
                <a:latin typeface="Inconsolata" panose="00000509000000000000" pitchFamily="49" charset="0"/>
              </a:rPr>
              <a:t> </a:t>
            </a:r>
            <a:r>
              <a:rPr lang="en-US">
                <a:latin typeface="Inconsolata" panose="00000509000000000000" pitchFamily="49" charset="0"/>
              </a:rPr>
              <a:t>PWM vs.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data'!$A$4</c:f>
              <c:strCache>
                <c:ptCount val="1"/>
                <c:pt idx="0">
                  <c:v>PWM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'battery data'!$M$5:$M$9</c:f>
              <c:numCache>
                <c:formatCode>0.0</c:formatCode>
                <c:ptCount val="5"/>
                <c:pt idx="0">
                  <c:v>5.6129788744137645</c:v>
                </c:pt>
                <c:pt idx="1">
                  <c:v>8.4823001646924414</c:v>
                </c:pt>
                <c:pt idx="2">
                  <c:v>11.540117014186507</c:v>
                </c:pt>
                <c:pt idx="3">
                  <c:v>14.325662500369457</c:v>
                </c:pt>
                <c:pt idx="4">
                  <c:v>17.383479349863524</c:v>
                </c:pt>
              </c:numCache>
            </c:numRef>
          </c:xVal>
          <c:yVal>
            <c:numRef>
              <c:f>'battery data'!$I$5:$I$9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105</c:v>
                </c:pt>
                <c:pt idx="3">
                  <c:v>130</c:v>
                </c:pt>
                <c:pt idx="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3-4DC9-9676-F755A622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51055"/>
        <c:axId val="18748375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'battery data'!$A$5</c15:sqref>
                        </c15:formulaRef>
                      </c:ext>
                    </c:extLst>
                    <c:strCache>
                      <c:ptCount val="1"/>
                      <c:pt idx="0">
                        <c:v>55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'battery data'!$A$6:$A$9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</c:v>
                      </c:pt>
                      <c:pt idx="1">
                        <c:v>105</c:v>
                      </c:pt>
                      <c:pt idx="2">
                        <c:v>130</c:v>
                      </c:pt>
                      <c:pt idx="3">
                        <c:v>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203-4DC9-9676-F755A622BDCA}"/>
                  </c:ext>
                </c:extLst>
              </c15:ser>
            </c15:filteredScatterSeries>
          </c:ext>
        </c:extLst>
      </c:scatterChart>
      <c:valAx>
        <c:axId val="19949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Omega</a:t>
                </a:r>
                <a:r>
                  <a:rPr lang="en-US" baseline="0">
                    <a:latin typeface="Inconsolata" panose="00000509000000000000" pitchFamily="49" charset="0"/>
                  </a:rPr>
                  <a:t> (rad/s)</a:t>
                </a:r>
                <a:endParaRPr lang="en-US">
                  <a:latin typeface="Inconsolata" panose="00000509000000000000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37519"/>
        <c:crosses val="autoZero"/>
        <c:crossBetween val="midCat"/>
      </c:valAx>
      <c:valAx>
        <c:axId val="1874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Inconsolata" panose="00000509000000000000" pitchFamily="49" charset="0"/>
              </a:rPr>
              <a:t>Motor B</a:t>
            </a:r>
            <a:r>
              <a:rPr lang="en-US" baseline="0">
                <a:latin typeface="Inconsolata" panose="00000509000000000000" pitchFamily="49" charset="0"/>
              </a:rPr>
              <a:t> </a:t>
            </a:r>
            <a:r>
              <a:rPr lang="en-US">
                <a:latin typeface="Inconsolata" panose="00000509000000000000" pitchFamily="49" charset="0"/>
              </a:rPr>
              <a:t>PWM vs.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data'!$A$4</c:f>
              <c:strCache>
                <c:ptCount val="1"/>
                <c:pt idx="0">
                  <c:v>PWM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'battery data'!$M$5:$M$9</c:f>
              <c:numCache>
                <c:formatCode>0.0</c:formatCode>
                <c:ptCount val="5"/>
                <c:pt idx="0">
                  <c:v>5.6129788744137645</c:v>
                </c:pt>
                <c:pt idx="1">
                  <c:v>8.4823001646924414</c:v>
                </c:pt>
                <c:pt idx="2">
                  <c:v>11.540117014186507</c:v>
                </c:pt>
                <c:pt idx="3">
                  <c:v>14.325662500369457</c:v>
                </c:pt>
                <c:pt idx="4">
                  <c:v>17.383479349863524</c:v>
                </c:pt>
              </c:numCache>
            </c:numRef>
          </c:xVal>
          <c:yVal>
            <c:numRef>
              <c:f>'battery data'!$I$5:$I$9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105</c:v>
                </c:pt>
                <c:pt idx="3">
                  <c:v>130</c:v>
                </c:pt>
                <c:pt idx="4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9-4799-BA70-8C595648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51055"/>
        <c:axId val="18748375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'battery data'!$A$5</c15:sqref>
                        </c15:formulaRef>
                      </c:ext>
                    </c:extLst>
                    <c:strCache>
                      <c:ptCount val="1"/>
                      <c:pt idx="0">
                        <c:v>55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'battery data'!$A$6:$A$9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80</c:v>
                      </c:pt>
                      <c:pt idx="1">
                        <c:v>105</c:v>
                      </c:pt>
                      <c:pt idx="2">
                        <c:v>130</c:v>
                      </c:pt>
                      <c:pt idx="3">
                        <c:v>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E29-4799-BA70-8C59564893B3}"/>
                  </c:ext>
                </c:extLst>
              </c15:ser>
            </c15:filteredScatterSeries>
          </c:ext>
        </c:extLst>
      </c:scatterChart>
      <c:valAx>
        <c:axId val="199495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Omega</a:t>
                </a:r>
                <a:r>
                  <a:rPr lang="en-US" baseline="0">
                    <a:latin typeface="Inconsolata" panose="00000509000000000000" pitchFamily="49" charset="0"/>
                  </a:rPr>
                  <a:t> (rad/s)</a:t>
                </a:r>
                <a:endParaRPr lang="en-US">
                  <a:latin typeface="Inconsolata" panose="00000509000000000000" pitchFamily="49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37519"/>
        <c:crosses val="autoZero"/>
        <c:crossBetween val="midCat"/>
      </c:valAx>
      <c:valAx>
        <c:axId val="18748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Inconsolata" panose="00000509000000000000" pitchFamily="49" charset="0"/>
                  </a:rPr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5</xdr:col>
      <xdr:colOff>754380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0BA75-B5F7-4106-B32B-ED80910E8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12</xdr:col>
      <xdr:colOff>754380</xdr:colOff>
      <xdr:row>22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1499E-3388-4CE6-BFE0-30DF28A2D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754380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E592C-7475-427C-A592-CA624158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5</xdr:col>
      <xdr:colOff>754380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0498B-E3E0-4DC5-9536-BD964A59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12</xdr:col>
      <xdr:colOff>754380</xdr:colOff>
      <xdr:row>22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98651-6F12-46FF-ABED-003F6D858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754380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E769-091C-4103-B871-48C0C147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99027-864D-4F8B-93D9-9F8345C0C470}" name="Table1" displayName="Table1" ref="A4:E9" totalsRowShown="0" headerRowDxfId="59" dataDxfId="58" headerRowCellStyle="Normal" dataCellStyle="Normal">
  <tableColumns count="5">
    <tableColumn id="1" xr3:uid="{2AF0153D-36DD-4889-8591-1435AA696109}" name="PWM" dataDxfId="57" dataCellStyle="Normal"/>
    <tableColumn id="2" xr3:uid="{6872CDC5-7835-4858-B079-7E912FBA65AE}" name="# Turns (1)" dataDxfId="56" dataCellStyle="Normal"/>
    <tableColumn id="3" xr3:uid="{4B945BE3-CD62-46A3-9A09-DA7543F62B93}" name="# Turns (2)" dataDxfId="55" dataCellStyle="Normal"/>
    <tableColumn id="4" xr3:uid="{E3593497-01AC-499B-8D5C-784085A6472A}" name="# Turns (3)" dataDxfId="54" dataCellStyle="Normal"/>
    <tableColumn id="5" xr3:uid="{F953872F-FDAE-4D01-A7CE-D1DC9C339094}" name="Omega (rad/s)" dataDxfId="53" dataCellStyle="Normal">
      <calculatedColumnFormula>AVERAGE(Table1[[#This Row],['# Turns (1)]:['# Turns (3)]])*2*PI()/10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6A8FE-5B9B-4E1A-8876-459328A3C285}" name="Table2" displayName="Table2" ref="G4:K9" totalsRowShown="0" headerRowDxfId="52" dataDxfId="51" headerRowCellStyle="Normal" dataCellStyle="Normal">
  <tableColumns count="5">
    <tableColumn id="1" xr3:uid="{28433095-BA82-4D39-B66F-25AE6AF9DFD8}" name="PWM" dataDxfId="50" dataCellStyle="Normal"/>
    <tableColumn id="2" xr3:uid="{CF4F3E13-86A5-46F6-9D8E-2FCB00E10F01}" name="# Turns (1)" dataDxfId="49" dataCellStyle="Normal"/>
    <tableColumn id="3" xr3:uid="{2CD0F68F-B66E-428B-8769-C902CAAB5DDF}" name="# Turns (2)" dataDxfId="48" dataCellStyle="Normal"/>
    <tableColumn id="4" xr3:uid="{38B83529-CF73-4728-B1B6-47631BD9D9C1}" name="# Turns (3)" dataDxfId="47" dataCellStyle="Normal"/>
    <tableColumn id="5" xr3:uid="{809FEC0C-C2D1-42D8-BB41-25BD6E5ADEAC}" name="Omega (rad/s)" dataDxfId="46" dataCellStyle="Normal">
      <calculatedColumnFormula>AVERAGE(Table2[[#This Row],['# Turns (1)]:['# Turns (3)]])*2*PI()/10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1C49D2-430B-4C4B-8E31-510F977BD6B1}" name="Table146" displayName="Table146" ref="A4:F9" totalsRowShown="0" headerRowDxfId="7" dataDxfId="6" headerRowCellStyle="Normal" dataCellStyle="Normal">
  <tableColumns count="6">
    <tableColumn id="1" xr3:uid="{F19735BF-A0EB-447C-B2C6-B2C3F66C30AE}" name="PWM" dataDxfId="5" dataCellStyle="Normal"/>
    <tableColumn id="2" xr3:uid="{2E0276F5-AA32-49CB-B164-4B319F5BFD0C}" name="# Turns (1)" dataDxfId="4" dataCellStyle="Normal"/>
    <tableColumn id="3" xr3:uid="{D24404D1-4717-4E92-BC78-1673BBC698BE}" name="# Turns (2)" dataDxfId="3" dataCellStyle="Normal"/>
    <tableColumn id="4" xr3:uid="{B7AFAB9E-00B4-447D-AB28-EBA3C3926F22}" name="# Turns (3)" dataDxfId="2" dataCellStyle="Normal"/>
    <tableColumn id="7" xr3:uid="{727CB73F-C0E7-4163-BC49-0E76ADEC97A5}" name="Avg. Turns" dataDxfId="1">
      <calculatedColumnFormula>AVERAGE(Table146[[#This Row],['# Turns (1)]:['# Turns (3)]])</calculatedColumnFormula>
    </tableColumn>
    <tableColumn id="5" xr3:uid="{4A1BE3C7-8886-4E02-9C96-CC80B64CC64C}" name="Omega (rad/s)" dataDxfId="0" dataCellStyle="Normal">
      <calculatedColumnFormula>AVERAGE(Table146[[#This Row],['# Turns (1)]:['# Turns (3)]])*2*PI()/10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2D0B5B-4D60-4430-9618-69639A4AC262}" name="Table257" displayName="Table257" ref="I4:M9" totalsRowShown="0" headerRowDxfId="45" dataDxfId="44" headerRowCellStyle="Normal" dataCellStyle="Normal">
  <tableColumns count="5">
    <tableColumn id="1" xr3:uid="{6F69CF56-838A-458E-ABCE-023ABB1DB92F}" name="PWM" dataDxfId="43" dataCellStyle="Normal"/>
    <tableColumn id="2" xr3:uid="{3A038615-F4AB-44E7-9CA8-339729647FEB}" name="# Turns (1)" dataDxfId="42" dataCellStyle="Normal"/>
    <tableColumn id="3" xr3:uid="{07717C7E-DDC6-4803-9E82-B6980C31DEC2}" name="# Turns (2)" dataDxfId="41" dataCellStyle="Normal"/>
    <tableColumn id="4" xr3:uid="{08B83EFD-75FA-4840-8E18-D7F2B99A9CD0}" name="# Turns (3)" dataDxfId="40" dataCellStyle="Normal"/>
    <tableColumn id="5" xr3:uid="{CF022DCF-E3ED-41CF-9587-6419ED76EB9E}" name="Omega (rad/s)" dataDxfId="39" dataCellStyle="Normal">
      <calculatedColumnFormula>AVERAGE(Table257[[#This Row],['# Turns (1)]:['# Turns (3)]])*2*PI()/10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002ED8-3034-428A-B3FD-7A0775C040B9}" name="Table2578" displayName="Table2578" ref="A4:F9" totalsRowShown="0" headerRowDxfId="26" dataDxfId="25" headerRowCellStyle="Normal" dataCellStyle="Normal">
  <tableColumns count="6">
    <tableColumn id="1" xr3:uid="{911C7C8A-69A8-455F-B279-BBFEC1204AA0}" name="PWM" dataDxfId="24" dataCellStyle="Normal"/>
    <tableColumn id="2" xr3:uid="{90F32B2C-5D35-4CD8-B790-B6DC19E276E4}" name="# Turns (1)" dataDxfId="23" dataCellStyle="Normal"/>
    <tableColumn id="3" xr3:uid="{F1EA5D69-0186-4C14-980E-FB82A1007C0C}" name="# Turns (2)" dataDxfId="22" dataCellStyle="Normal"/>
    <tableColumn id="4" xr3:uid="{1C489D03-F37C-43CF-B66B-6083CF681C06}" name="# Turns (3)" dataDxfId="16" dataCellStyle="Normal"/>
    <tableColumn id="6" xr3:uid="{84941BF0-1BDB-4DCB-B4CF-0CB62F6E3013}" name="Avg. Turns" dataDxfId="14">
      <calculatedColumnFormula>AVERAGE(Table2578[[#This Row],['# Turns (1)]:['# Turns (3)]])</calculatedColumnFormula>
    </tableColumn>
    <tableColumn id="5" xr3:uid="{37B4B278-DC6A-4F1E-AB24-DC228A0F9B7D}" name="Omega (rad/s)" dataDxfId="15" dataCellStyle="Normal">
      <calculatedColumnFormula>AVERAGE(Table2578[[#This Row],['# Turns (1)]:['# Turns (3)]])*2*PI()/10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2DEDE7-517D-4AD0-8957-5C9DB475F0BC}" name="Table14" displayName="Table14" ref="A4:F9" totalsRowShown="0" headerRowDxfId="38" dataDxfId="37" headerRowCellStyle="Normal" dataCellStyle="Normal">
  <tableColumns count="6">
    <tableColumn id="1" xr3:uid="{65B1F4F5-0943-458C-A47C-AC0E8AFAF485}" name="PWM" dataDxfId="36" dataCellStyle="Normal"/>
    <tableColumn id="2" xr3:uid="{DF9B8FB8-414F-403F-9248-F3B043F4CFC6}" name="# Turns (1)" dataDxfId="35" dataCellStyle="Normal"/>
    <tableColumn id="3" xr3:uid="{68FA7D2F-700B-49F4-BD1B-0B02BF0B9D9C}" name="# Turns (2)" dataDxfId="34" dataCellStyle="Normal"/>
    <tableColumn id="4" xr3:uid="{7BAF6933-303B-4A5E-A889-442E22B59332}" name="# Turns (3)" dataDxfId="13" dataCellStyle="Normal"/>
    <tableColumn id="6" xr3:uid="{50377392-3CD3-4727-A472-8240B3E3DEFF}" name="Avg. Turns" dataDxfId="11">
      <calculatedColumnFormula>AVERAGE(Table14[[#This Row],['# Turns (1)]:['# Turns (3)]])</calculatedColumnFormula>
    </tableColumn>
    <tableColumn id="5" xr3:uid="{9ED0FF98-E837-4280-BB5E-551C4F28772D}" name="Omega (rad/s)" dataDxfId="12" dataCellStyle="Normal">
      <calculatedColumnFormula>AVERAGE(Table14[[#This Row],['# Turns (1)]:['# Turns (3)]])*2*PI()/10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3B288D-4722-490B-9C71-8EFBC1D1BA54}" name="Table25" displayName="Table25" ref="I4:M9" totalsRowShown="0" headerRowDxfId="33" dataDxfId="32" headerRowCellStyle="Normal" dataCellStyle="Normal">
  <tableColumns count="5">
    <tableColumn id="1" xr3:uid="{B454614E-3C9D-480E-9B01-62D858E37AB2}" name="PWM" dataDxfId="31" dataCellStyle="Normal"/>
    <tableColumn id="2" xr3:uid="{488B0D4C-AEA7-4118-86F3-BAC2BB2AB20D}" name="# Turns (1)" dataDxfId="30" dataCellStyle="Normal"/>
    <tableColumn id="3" xr3:uid="{211467B8-59BD-434B-9772-84642FEDC836}" name="# Turns (2)" dataDxfId="29" dataCellStyle="Normal"/>
    <tableColumn id="4" xr3:uid="{EE31505A-0DA3-42B8-8768-4FEB08471049}" name="# Turns (3)" dataDxfId="28" dataCellStyle="Normal"/>
    <tableColumn id="5" xr3:uid="{36EC4D24-6C4F-4FB0-92F1-94F42EBF7904}" name="Omega (rad/s)" dataDxfId="27" dataCellStyle="Normal">
      <calculatedColumnFormula>AVERAGE(Table25[[#This Row],['# Turns (1)]:['# Turns (3)]])*2*PI()/10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A90AB0-A098-4FCB-9D62-AF064896AD49}" name="Table259" displayName="Table259" ref="A4:F9" totalsRowShown="0" headerRowDxfId="21" dataDxfId="20" headerRowCellStyle="Normal" dataCellStyle="Normal">
  <tableColumns count="6">
    <tableColumn id="1" xr3:uid="{ED9EA278-C5B4-43CD-A4B9-36105C9BCB06}" name="PWM" dataDxfId="19" dataCellStyle="Normal"/>
    <tableColumn id="2" xr3:uid="{523A24F6-96C8-4841-BCDA-2F615C76B4C5}" name="# Turns (1)" dataDxfId="18" dataCellStyle="Normal"/>
    <tableColumn id="3" xr3:uid="{A8ABC0AD-55C4-4E11-8154-A23A3C0FBC01}" name="# Turns (2)" dataDxfId="17" dataCellStyle="Normal"/>
    <tableColumn id="4" xr3:uid="{3CFC466A-980B-4A89-9E18-611AE5B66851}" name="# Turns (3)" dataDxfId="10" dataCellStyle="Normal"/>
    <tableColumn id="6" xr3:uid="{2DBFF31A-6DE2-4B7A-BF3B-D134EB990B69}" name="Avg. Turns" dataDxfId="8">
      <calculatedColumnFormula>AVERAGE(Table259[[#This Row],['# Turns (1)]:['# Turns (3)]])</calculatedColumnFormula>
    </tableColumn>
    <tableColumn id="5" xr3:uid="{A0716ADC-1806-435D-9292-2EEA86F4B72F}" name="Omega (rad/s)" dataDxfId="9" dataCellStyle="Normal">
      <calculatedColumnFormula>AVERAGE(Table259[[#This Row],['# Turns (1)]:['# Turns (3)]])*2*PI()/10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CBD0-B4A6-4751-9B8E-8565E4D1B550}">
  <dimension ref="A1:I18"/>
  <sheetViews>
    <sheetView workbookViewId="0">
      <selection activeCell="C4" sqref="C4"/>
    </sheetView>
  </sheetViews>
  <sheetFormatPr defaultRowHeight="14.4" x14ac:dyDescent="0.3"/>
  <cols>
    <col min="1" max="1" width="15.5546875" customWidth="1"/>
    <col min="2" max="2" width="13.88671875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0.9986299298489939</v>
      </c>
    </row>
    <row r="5" spans="1:9" x14ac:dyDescent="0.3">
      <c r="A5" s="3" t="s">
        <v>7</v>
      </c>
      <c r="B5" s="3">
        <v>0.99726173679020658</v>
      </c>
    </row>
    <row r="6" spans="1:9" x14ac:dyDescent="0.3">
      <c r="A6" s="3" t="s">
        <v>8</v>
      </c>
      <c r="B6" s="3">
        <v>0.99705110115868401</v>
      </c>
    </row>
    <row r="7" spans="1:9" x14ac:dyDescent="0.3">
      <c r="A7" s="3" t="s">
        <v>9</v>
      </c>
      <c r="B7" s="3">
        <v>0.27329893467100747</v>
      </c>
    </row>
    <row r="8" spans="1:9" ht="15" thickBot="1" x14ac:dyDescent="0.35">
      <c r="A8" s="4" t="s">
        <v>10</v>
      </c>
      <c r="B8" s="4">
        <v>15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353.63333333333333</v>
      </c>
      <c r="D12" s="3">
        <v>353.63333333333333</v>
      </c>
      <c r="E12" s="3">
        <v>4734.5348438036444</v>
      </c>
      <c r="F12" s="3">
        <v>4.7943468087838399E-18</v>
      </c>
    </row>
    <row r="13" spans="1:9" x14ac:dyDescent="0.3">
      <c r="A13" s="3" t="s">
        <v>13</v>
      </c>
      <c r="B13" s="3">
        <v>13</v>
      </c>
      <c r="C13" s="3">
        <v>0.97099999999999886</v>
      </c>
      <c r="D13" s="3">
        <v>7.46923076923076E-2</v>
      </c>
      <c r="E13" s="3"/>
      <c r="F13" s="3"/>
    </row>
    <row r="14" spans="1:9" ht="15" thickBot="1" x14ac:dyDescent="0.35">
      <c r="A14" s="4" t="s">
        <v>14</v>
      </c>
      <c r="B14" s="4">
        <v>14</v>
      </c>
      <c r="C14" s="4">
        <v>354.60433333333333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-3.1466666666666718</v>
      </c>
      <c r="C17" s="3">
        <v>0.22113019717479576</v>
      </c>
      <c r="D17" s="3">
        <v>-14.229927467478992</v>
      </c>
      <c r="E17" s="3">
        <v>2.6402134266328977E-9</v>
      </c>
      <c r="F17" s="3">
        <v>-3.6243894136405377</v>
      </c>
      <c r="G17" s="3">
        <v>-2.668943919692806</v>
      </c>
      <c r="H17" s="3">
        <v>-3.6243894136405377</v>
      </c>
      <c r="I17" s="3">
        <v>-2.668943919692806</v>
      </c>
    </row>
    <row r="18" spans="1:9" ht="15" thickBot="1" x14ac:dyDescent="0.35">
      <c r="A18" s="4" t="s">
        <v>28</v>
      </c>
      <c r="B18" s="4">
        <v>0.13733333333333336</v>
      </c>
      <c r="C18" s="4">
        <v>1.9958932194858868E-3</v>
      </c>
      <c r="D18" s="4">
        <v>68.807956253645898</v>
      </c>
      <c r="E18" s="4">
        <v>4.794346808783806E-18</v>
      </c>
      <c r="F18" s="4">
        <v>0.13302146818030944</v>
      </c>
      <c r="G18" s="4">
        <v>0.14164519848635729</v>
      </c>
      <c r="H18" s="4">
        <v>0.13302146818030944</v>
      </c>
      <c r="I18" s="4">
        <v>0.14164519848635729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E65F8-BADB-4205-95E3-A24FB6D6AC74}">
  <dimension ref="A1:L26"/>
  <sheetViews>
    <sheetView tabSelected="1" workbookViewId="0">
      <selection activeCell="A2" sqref="A2:XFD2"/>
    </sheetView>
  </sheetViews>
  <sheetFormatPr defaultRowHeight="14.4" x14ac:dyDescent="0.3"/>
  <cols>
    <col min="1" max="7" width="12.21875" customWidth="1"/>
  </cols>
  <sheetData>
    <row r="1" spans="1:12" ht="16.2" x14ac:dyDescent="0.35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0" customHeight="1" thickBot="1" x14ac:dyDescent="0.4">
      <c r="A2" s="37" t="s">
        <v>39</v>
      </c>
      <c r="B2" s="3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 x14ac:dyDescent="0.35">
      <c r="A3" s="11" t="s">
        <v>36</v>
      </c>
      <c r="B3" s="23"/>
      <c r="C3" s="23"/>
      <c r="D3" s="23"/>
      <c r="E3" s="23"/>
      <c r="F3" s="24"/>
    </row>
    <row r="4" spans="1:12" ht="30" x14ac:dyDescent="0.35">
      <c r="A4" s="14" t="s">
        <v>0</v>
      </c>
      <c r="B4" s="15" t="s">
        <v>1</v>
      </c>
      <c r="C4" s="15" t="s">
        <v>2</v>
      </c>
      <c r="D4" s="15" t="s">
        <v>3</v>
      </c>
      <c r="E4" s="15" t="s">
        <v>47</v>
      </c>
      <c r="F4" s="25" t="s">
        <v>37</v>
      </c>
    </row>
    <row r="5" spans="1:12" ht="15" x14ac:dyDescent="0.35">
      <c r="A5" s="17">
        <v>55</v>
      </c>
      <c r="B5" s="18">
        <v>8.9</v>
      </c>
      <c r="C5" s="18">
        <v>8.9</v>
      </c>
      <c r="D5" s="18">
        <v>9</v>
      </c>
      <c r="E5" s="32">
        <f>AVERAGE(Table259[[#This Row],['# Turns (1)]:['# Turns (3)]])</f>
        <v>8.9333333333333336</v>
      </c>
      <c r="F5" s="30">
        <f>AVERAGE(Table259[[#This Row],['# Turns (1)]:['# Turns (3)]])*2*PI()/10</f>
        <v>5.6129788744137645</v>
      </c>
    </row>
    <row r="6" spans="1:12" ht="15" x14ac:dyDescent="0.35">
      <c r="A6" s="17">
        <v>80</v>
      </c>
      <c r="B6" s="18">
        <v>13.4</v>
      </c>
      <c r="C6" s="18">
        <v>13.5</v>
      </c>
      <c r="D6" s="18">
        <v>13.6</v>
      </c>
      <c r="E6" s="32">
        <f>AVERAGE(Table259[[#This Row],['# Turns (1)]:['# Turns (3)]])</f>
        <v>13.5</v>
      </c>
      <c r="F6" s="30">
        <f>AVERAGE(Table259[[#This Row],['# Turns (1)]:['# Turns (3)]])*2*PI()/10</f>
        <v>8.4823001646924414</v>
      </c>
    </row>
    <row r="7" spans="1:12" ht="15" x14ac:dyDescent="0.35">
      <c r="A7" s="17">
        <v>105</v>
      </c>
      <c r="B7" s="18">
        <v>18.399999999999999</v>
      </c>
      <c r="C7" s="18">
        <v>18.3</v>
      </c>
      <c r="D7" s="18">
        <v>18.399999999999999</v>
      </c>
      <c r="E7" s="32">
        <f>AVERAGE(Table259[[#This Row],['# Turns (1)]:['# Turns (3)]])</f>
        <v>18.366666666666667</v>
      </c>
      <c r="F7" s="30">
        <f>AVERAGE(Table259[[#This Row],['# Turns (1)]:['# Turns (3)]])*2*PI()/10</f>
        <v>11.540117014186507</v>
      </c>
    </row>
    <row r="8" spans="1:12" ht="15" x14ac:dyDescent="0.35">
      <c r="A8" s="17">
        <v>130</v>
      </c>
      <c r="B8" s="18">
        <v>22.8</v>
      </c>
      <c r="C8" s="18">
        <v>22.8</v>
      </c>
      <c r="D8" s="18">
        <v>22.8</v>
      </c>
      <c r="E8" s="32">
        <f>AVERAGE(Table259[[#This Row],['# Turns (1)]:['# Turns (3)]])</f>
        <v>22.8</v>
      </c>
      <c r="F8" s="30">
        <f>AVERAGE(Table259[[#This Row],['# Turns (1)]:['# Turns (3)]])*2*PI()/10</f>
        <v>14.325662500369457</v>
      </c>
    </row>
    <row r="9" spans="1:12" ht="15.6" thickBot="1" x14ac:dyDescent="0.4">
      <c r="A9" s="20">
        <v>155</v>
      </c>
      <c r="B9" s="21">
        <v>27.7</v>
      </c>
      <c r="C9" s="21">
        <v>27.6</v>
      </c>
      <c r="D9" s="21">
        <v>27.7</v>
      </c>
      <c r="E9" s="33">
        <f>AVERAGE(Table259[[#This Row],['# Turns (1)]:['# Turns (3)]])</f>
        <v>27.666666666666668</v>
      </c>
      <c r="F9" s="31">
        <f>AVERAGE(Table259[[#This Row],['# Turns (1)]:['# Turns (3)]])*2*PI()/10</f>
        <v>17.383479349863524</v>
      </c>
    </row>
    <row r="10" spans="1:12" ht="15" x14ac:dyDescent="0.35">
      <c r="A10" s="1"/>
      <c r="B10" s="1"/>
      <c r="C10" s="1"/>
      <c r="D10" s="1"/>
      <c r="E10" s="1"/>
      <c r="F10" s="1"/>
    </row>
    <row r="11" spans="1:12" ht="15" x14ac:dyDescent="0.35">
      <c r="A11" s="1"/>
      <c r="B11" s="1"/>
      <c r="C11" s="1"/>
      <c r="D11" s="1"/>
      <c r="E11" s="1"/>
      <c r="F11" s="1"/>
    </row>
    <row r="12" spans="1:12" ht="15" x14ac:dyDescent="0.35">
      <c r="A12" s="1"/>
      <c r="B12" s="1"/>
      <c r="C12" s="1"/>
      <c r="D12" s="1"/>
      <c r="E12" s="1"/>
      <c r="F12" s="1"/>
    </row>
    <row r="13" spans="1:12" ht="15" x14ac:dyDescent="0.35">
      <c r="A13" s="1"/>
      <c r="B13" s="1"/>
      <c r="C13" s="1"/>
      <c r="D13" s="1"/>
      <c r="E13" s="1"/>
      <c r="F13" s="1"/>
    </row>
    <row r="14" spans="1:12" ht="15" x14ac:dyDescent="0.35">
      <c r="A14" s="1"/>
      <c r="B14" s="1"/>
      <c r="C14" s="1"/>
      <c r="D14" s="1"/>
      <c r="E14" s="1"/>
      <c r="F14" s="1"/>
    </row>
    <row r="15" spans="1:12" ht="15" x14ac:dyDescent="0.35">
      <c r="A15" s="1"/>
      <c r="B15" s="1"/>
      <c r="C15" s="1"/>
      <c r="D15" s="1"/>
      <c r="E15" s="1"/>
      <c r="F15" s="1"/>
    </row>
    <row r="16" spans="1:12" ht="15" x14ac:dyDescent="0.35">
      <c r="A16" s="1"/>
      <c r="B16" s="1"/>
      <c r="C16" s="1"/>
      <c r="D16" s="1"/>
      <c r="E16" s="1"/>
      <c r="F16" s="1"/>
    </row>
    <row r="17" spans="1:6" ht="15" x14ac:dyDescent="0.35">
      <c r="A17" s="1"/>
      <c r="B17" s="1"/>
      <c r="C17" s="1"/>
      <c r="D17" s="1"/>
      <c r="E17" s="1"/>
      <c r="F17" s="1"/>
    </row>
    <row r="18" spans="1:6" ht="15" x14ac:dyDescent="0.35">
      <c r="A18" s="1"/>
      <c r="B18" s="1"/>
      <c r="C18" s="1"/>
      <c r="D18" s="1"/>
      <c r="E18" s="1"/>
      <c r="F18" s="1"/>
    </row>
    <row r="19" spans="1:6" ht="15" x14ac:dyDescent="0.35">
      <c r="A19" s="1"/>
      <c r="B19" s="1"/>
      <c r="C19" s="1"/>
      <c r="D19" s="1"/>
      <c r="E19" s="1"/>
      <c r="F19" s="1"/>
    </row>
    <row r="20" spans="1:6" ht="15" x14ac:dyDescent="0.35">
      <c r="A20" s="1"/>
      <c r="B20" s="1"/>
      <c r="C20" s="1"/>
      <c r="D20" s="1"/>
      <c r="E20" s="1"/>
      <c r="F20" s="1"/>
    </row>
    <row r="21" spans="1:6" ht="15" x14ac:dyDescent="0.35">
      <c r="A21" s="1"/>
      <c r="B21" s="1"/>
      <c r="C21" s="1"/>
      <c r="D21" s="1"/>
      <c r="E21" s="1"/>
      <c r="F21" s="1"/>
    </row>
    <row r="22" spans="1:6" ht="15" x14ac:dyDescent="0.35">
      <c r="A22" s="1"/>
      <c r="B22" s="1"/>
      <c r="C22" s="1"/>
      <c r="D22" s="1"/>
      <c r="E22" s="1"/>
      <c r="F22" s="1"/>
    </row>
    <row r="23" spans="1:6" ht="15" x14ac:dyDescent="0.35">
      <c r="A23" s="1"/>
      <c r="B23" s="1"/>
      <c r="C23" s="1"/>
      <c r="D23" s="1"/>
      <c r="E23" s="1"/>
      <c r="F23" s="1"/>
    </row>
    <row r="24" spans="1:6" ht="15" x14ac:dyDescent="0.35">
      <c r="A24" s="1"/>
      <c r="B24" s="1"/>
      <c r="C24" s="1"/>
      <c r="D24" s="1"/>
      <c r="E24" s="1"/>
      <c r="F24" s="1"/>
    </row>
    <row r="25" spans="1:6" ht="15" x14ac:dyDescent="0.35">
      <c r="A25" s="7" t="s">
        <v>41</v>
      </c>
      <c r="B25" s="1"/>
      <c r="C25" s="1"/>
      <c r="D25" s="1"/>
      <c r="E25" s="1"/>
      <c r="F25" s="1"/>
    </row>
    <row r="26" spans="1:6" ht="15" x14ac:dyDescent="0.35">
      <c r="A26" s="1" t="s">
        <v>43</v>
      </c>
      <c r="B26" s="1"/>
      <c r="C26" s="1"/>
      <c r="D26" s="1"/>
      <c r="E26" s="1"/>
      <c r="F26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A8D9-ED52-454D-9B9B-D565BE47BD0A}">
  <dimension ref="A1:I18"/>
  <sheetViews>
    <sheetView workbookViewId="0">
      <selection activeCell="K17" sqref="K17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0.99938385786839001</v>
      </c>
    </row>
    <row r="5" spans="1:9" x14ac:dyDescent="0.3">
      <c r="A5" s="3" t="s">
        <v>7</v>
      </c>
      <c r="B5" s="3">
        <v>0.99876809536790645</v>
      </c>
    </row>
    <row r="6" spans="1:9" x14ac:dyDescent="0.3">
      <c r="A6" s="3" t="s">
        <v>8</v>
      </c>
      <c r="B6" s="3">
        <v>0.99867333347313003</v>
      </c>
    </row>
    <row r="7" spans="1:9" x14ac:dyDescent="0.3">
      <c r="A7" s="3" t="s">
        <v>9</v>
      </c>
      <c r="B7" s="3">
        <v>0.1829950258536539</v>
      </c>
    </row>
    <row r="8" spans="1:9" ht="15" thickBot="1" x14ac:dyDescent="0.35">
      <c r="A8" s="4" t="s">
        <v>10</v>
      </c>
      <c r="B8" s="4">
        <v>15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352.947</v>
      </c>
      <c r="D12" s="3">
        <v>352.947</v>
      </c>
      <c r="E12" s="3">
        <v>10539.764931087297</v>
      </c>
      <c r="F12" s="3">
        <v>2.6644512920115965E-20</v>
      </c>
    </row>
    <row r="13" spans="1:9" x14ac:dyDescent="0.3">
      <c r="A13" s="3" t="s">
        <v>13</v>
      </c>
      <c r="B13" s="3">
        <v>13</v>
      </c>
      <c r="C13" s="3">
        <v>0.43533333333333302</v>
      </c>
      <c r="D13" s="3">
        <v>3.3487179487179462E-2</v>
      </c>
      <c r="E13" s="3"/>
      <c r="F13" s="3"/>
    </row>
    <row r="14" spans="1:9" ht="15" thickBot="1" x14ac:dyDescent="0.35">
      <c r="A14" s="4" t="s">
        <v>14</v>
      </c>
      <c r="B14" s="4">
        <v>14</v>
      </c>
      <c r="C14" s="4">
        <v>353.38233333333335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-1.6026666666666642</v>
      </c>
      <c r="C17" s="3">
        <v>0.14806397323771964</v>
      </c>
      <c r="D17" s="3">
        <v>-10.824150072574044</v>
      </c>
      <c r="E17" s="3">
        <v>7.1250850751637164E-8</v>
      </c>
      <c r="F17" s="3">
        <v>-1.9225394336007795</v>
      </c>
      <c r="G17" s="3">
        <v>-1.282793899732549</v>
      </c>
      <c r="H17" s="3">
        <v>-1.9225394336007795</v>
      </c>
      <c r="I17" s="3">
        <v>-1.282793899732549</v>
      </c>
    </row>
    <row r="18" spans="1:9" ht="15" thickBot="1" x14ac:dyDescent="0.35">
      <c r="A18" s="4" t="s">
        <v>28</v>
      </c>
      <c r="B18" s="4">
        <v>0.13719999999999999</v>
      </c>
      <c r="C18" s="4">
        <v>1.3364067142838309E-3</v>
      </c>
      <c r="D18" s="4">
        <v>102.66335729503149</v>
      </c>
      <c r="E18" s="4">
        <v>2.6644512920115965E-20</v>
      </c>
      <c r="F18" s="4">
        <v>0.13431286882217477</v>
      </c>
      <c r="G18" s="4">
        <v>0.1400871311778252</v>
      </c>
      <c r="H18" s="4">
        <v>0.13431286882217477</v>
      </c>
      <c r="I18" s="4">
        <v>0.1400871311778252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741B-BDE2-4D84-85B0-600038A3A2AF}">
  <dimension ref="A1:I18"/>
  <sheetViews>
    <sheetView workbookViewId="0">
      <selection activeCell="C20" sqref="C20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0.99862992984899401</v>
      </c>
    </row>
    <row r="5" spans="1:9" x14ac:dyDescent="0.3">
      <c r="A5" s="3" t="s">
        <v>7</v>
      </c>
      <c r="B5" s="3">
        <v>0.99726173679020669</v>
      </c>
    </row>
    <row r="6" spans="1:9" x14ac:dyDescent="0.3">
      <c r="A6" s="3" t="s">
        <v>8</v>
      </c>
      <c r="B6" s="3">
        <v>0.99705110115868412</v>
      </c>
    </row>
    <row r="7" spans="1:9" x14ac:dyDescent="0.3">
      <c r="A7" s="3" t="s">
        <v>9</v>
      </c>
      <c r="B7" s="3">
        <v>1.9873142909585888</v>
      </c>
    </row>
    <row r="8" spans="1:9" ht="15" thickBot="1" x14ac:dyDescent="0.35">
      <c r="A8" s="4" t="s">
        <v>10</v>
      </c>
      <c r="B8" s="4">
        <v>15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18698.657564816374</v>
      </c>
      <c r="D12" s="3">
        <v>18698.657564816374</v>
      </c>
      <c r="E12" s="3">
        <v>4734.5348438036481</v>
      </c>
      <c r="F12" s="3">
        <v>4.794346808783806E-18</v>
      </c>
    </row>
    <row r="13" spans="1:9" x14ac:dyDescent="0.3">
      <c r="A13" s="3" t="s">
        <v>13</v>
      </c>
      <c r="B13" s="3">
        <v>13</v>
      </c>
      <c r="C13" s="3">
        <v>51.342435183627103</v>
      </c>
      <c r="D13" s="3">
        <v>3.9494180910482388</v>
      </c>
      <c r="E13" s="3"/>
      <c r="F13" s="3"/>
    </row>
    <row r="14" spans="1:9" ht="15" thickBot="1" x14ac:dyDescent="0.35">
      <c r="A14" s="4" t="s">
        <v>14</v>
      </c>
      <c r="B14" s="4">
        <v>14</v>
      </c>
      <c r="C14" s="4">
        <v>18750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23.137398208143722</v>
      </c>
      <c r="C17" s="3">
        <v>1.295662785172208</v>
      </c>
      <c r="D17" s="3">
        <v>17.857577197502437</v>
      </c>
      <c r="E17" s="3">
        <v>1.5785977060468332E-10</v>
      </c>
      <c r="F17" s="3">
        <v>20.338288937712399</v>
      </c>
      <c r="G17" s="3">
        <v>25.936507478575045</v>
      </c>
      <c r="H17" s="3">
        <v>20.338288937712399</v>
      </c>
      <c r="I17" s="3">
        <v>25.936507478575045</v>
      </c>
    </row>
    <row r="18" spans="1:9" ht="15" thickBot="1" x14ac:dyDescent="0.35">
      <c r="A18" s="4" t="s">
        <v>28</v>
      </c>
      <c r="B18" s="4">
        <v>11.557218565526947</v>
      </c>
      <c r="C18" s="4">
        <v>0.16796340415814295</v>
      </c>
      <c r="D18" s="4">
        <v>68.807956253645898</v>
      </c>
      <c r="E18" s="4">
        <v>4.794346808783806E-18</v>
      </c>
      <c r="F18" s="4">
        <v>11.194355691750902</v>
      </c>
      <c r="G18" s="4">
        <v>11.920081439302992</v>
      </c>
      <c r="H18" s="4">
        <v>11.194355691750902</v>
      </c>
      <c r="I18" s="4">
        <v>11.920081439302992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BBF8-A1A9-4702-85E8-F9C35C11E90F}">
  <dimension ref="A1:I18"/>
  <sheetViews>
    <sheetView workbookViewId="0">
      <selection activeCell="J18" sqref="J18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0.99938385786839001</v>
      </c>
    </row>
    <row r="5" spans="1:9" x14ac:dyDescent="0.3">
      <c r="A5" s="3" t="s">
        <v>7</v>
      </c>
      <c r="B5" s="3">
        <v>0.99876809536790645</v>
      </c>
    </row>
    <row r="6" spans="1:9" x14ac:dyDescent="0.3">
      <c r="A6" s="3" t="s">
        <v>8</v>
      </c>
      <c r="B6" s="3">
        <v>0.99867333347313003</v>
      </c>
    </row>
    <row r="7" spans="1:9" x14ac:dyDescent="0.3">
      <c r="A7" s="3" t="s">
        <v>9</v>
      </c>
      <c r="B7" s="3">
        <v>1.3329611873786471</v>
      </c>
    </row>
    <row r="8" spans="1:9" ht="15" thickBot="1" x14ac:dyDescent="0.35">
      <c r="A8" s="4" t="s">
        <v>10</v>
      </c>
      <c r="B8" s="4">
        <v>15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18726.901788148247</v>
      </c>
      <c r="D12" s="3">
        <v>18726.901788148247</v>
      </c>
      <c r="E12" s="3">
        <v>10539.764931087304</v>
      </c>
      <c r="F12" s="3">
        <v>2.6644512920115775E-20</v>
      </c>
    </row>
    <row r="13" spans="1:9" x14ac:dyDescent="0.3">
      <c r="A13" s="3" t="s">
        <v>13</v>
      </c>
      <c r="B13" s="3">
        <v>13</v>
      </c>
      <c r="C13" s="3">
        <v>23.098211851752602</v>
      </c>
      <c r="D13" s="3">
        <v>1.7767855270578925</v>
      </c>
      <c r="E13" s="3"/>
      <c r="F13" s="3"/>
    </row>
    <row r="14" spans="1:9" ht="15" thickBot="1" x14ac:dyDescent="0.35">
      <c r="A14" s="4" t="s">
        <v>14</v>
      </c>
      <c r="B14" s="4">
        <v>14</v>
      </c>
      <c r="C14" s="4">
        <v>18750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11.796203734010504</v>
      </c>
      <c r="C17" s="3">
        <v>0.9709064480591908</v>
      </c>
      <c r="D17" s="3">
        <v>12.149681112521929</v>
      </c>
      <c r="E17" s="3">
        <v>1.8007802854344868E-8</v>
      </c>
      <c r="F17" s="3">
        <v>9.6986878752658079</v>
      </c>
      <c r="G17" s="3">
        <v>13.8937195927552</v>
      </c>
      <c r="H17" s="3">
        <v>9.6986878752658079</v>
      </c>
      <c r="I17" s="3">
        <v>13.8937195927552</v>
      </c>
    </row>
    <row r="18" spans="1:9" ht="15" thickBot="1" x14ac:dyDescent="0.35">
      <c r="A18" s="4" t="s">
        <v>28</v>
      </c>
      <c r="B18" s="4">
        <v>11.585924153081621</v>
      </c>
      <c r="C18" s="4">
        <v>0.11285354831896123</v>
      </c>
      <c r="D18" s="4">
        <v>102.66335729503152</v>
      </c>
      <c r="E18" s="4">
        <v>2.6644512920115775E-20</v>
      </c>
      <c r="F18" s="4">
        <v>11.342118884522728</v>
      </c>
      <c r="G18" s="4">
        <v>11.829729421640513</v>
      </c>
      <c r="H18" s="4">
        <v>11.342118884522728</v>
      </c>
      <c r="I18" s="4">
        <v>11.829729421640513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840D-9D49-4F40-8F3F-DB1011700136}">
  <dimension ref="A1:I18"/>
  <sheetViews>
    <sheetView workbookViewId="0">
      <selection activeCell="K7" sqref="K7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0.99960930531297421</v>
      </c>
    </row>
    <row r="5" spans="1:9" x14ac:dyDescent="0.3">
      <c r="A5" s="3" t="s">
        <v>7</v>
      </c>
      <c r="B5" s="3">
        <v>0.99921876326828696</v>
      </c>
    </row>
    <row r="6" spans="1:9" x14ac:dyDescent="0.3">
      <c r="A6" s="3" t="s">
        <v>8</v>
      </c>
      <c r="B6" s="3">
        <v>0.99915866813507825</v>
      </c>
    </row>
    <row r="7" spans="1:9" x14ac:dyDescent="0.3">
      <c r="A7" s="3" t="s">
        <v>9</v>
      </c>
      <c r="B7" s="3">
        <v>1.0615007054463754</v>
      </c>
    </row>
    <row r="8" spans="1:9" ht="15" thickBot="1" x14ac:dyDescent="0.35">
      <c r="A8" s="4" t="s">
        <v>10</v>
      </c>
      <c r="B8" s="4">
        <v>15</v>
      </c>
    </row>
    <row r="10" spans="1:9" ht="1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18735.351811280379</v>
      </c>
      <c r="D12" s="3">
        <v>18735.351811280379</v>
      </c>
      <c r="E12" s="3">
        <v>16627.28260869559</v>
      </c>
      <c r="F12" s="3">
        <v>1.3799364203109817E-21</v>
      </c>
    </row>
    <row r="13" spans="1:9" x14ac:dyDescent="0.3">
      <c r="A13" s="3" t="s">
        <v>13</v>
      </c>
      <c r="B13" s="3">
        <v>13</v>
      </c>
      <c r="C13" s="3">
        <v>14.648188719620986</v>
      </c>
      <c r="D13" s="3">
        <v>1.1267837476631528</v>
      </c>
      <c r="E13" s="3"/>
      <c r="F13" s="3"/>
    </row>
    <row r="14" spans="1:9" ht="15" thickBot="1" x14ac:dyDescent="0.35">
      <c r="A14" s="4" t="s">
        <v>14</v>
      </c>
      <c r="B14" s="4">
        <v>14</v>
      </c>
      <c r="C14" s="4">
        <v>18750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7.0800427981861844</v>
      </c>
      <c r="C17" s="3">
        <v>0.80732934693430725</v>
      </c>
      <c r="D17" s="3">
        <v>8.7697082052961601</v>
      </c>
      <c r="E17" s="3">
        <v>8.0669114304432343E-7</v>
      </c>
      <c r="F17" s="3">
        <v>5.335913781626731</v>
      </c>
      <c r="G17" s="3">
        <v>8.8241718147456378</v>
      </c>
      <c r="H17" s="3">
        <v>5.335913781626731</v>
      </c>
      <c r="I17" s="3">
        <v>8.8241718147456378</v>
      </c>
    </row>
    <row r="18" spans="1:9" ht="15" thickBot="1" x14ac:dyDescent="0.35">
      <c r="A18" s="4" t="s">
        <v>28</v>
      </c>
      <c r="B18" s="4">
        <v>8.3117041152082702</v>
      </c>
      <c r="C18" s="4">
        <v>6.4458387264418951E-2</v>
      </c>
      <c r="D18" s="4">
        <v>128.94682085532619</v>
      </c>
      <c r="E18" s="4">
        <v>1.3799364203109917E-21</v>
      </c>
      <c r="F18" s="4">
        <v>8.1724502357160791</v>
      </c>
      <c r="G18" s="4">
        <v>8.4509579947004614</v>
      </c>
      <c r="H18" s="4">
        <v>8.1724502357160791</v>
      </c>
      <c r="I18" s="4">
        <v>8.4509579947004614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E839-F5EF-49A3-A41A-A2CAC5BA0FC1}">
  <dimension ref="A1:K53"/>
  <sheetViews>
    <sheetView workbookViewId="0">
      <selection activeCell="J5" sqref="J5:J9"/>
    </sheetView>
  </sheetViews>
  <sheetFormatPr defaultRowHeight="15" x14ac:dyDescent="0.35"/>
  <cols>
    <col min="1" max="11" width="11.21875" style="1" customWidth="1"/>
    <col min="12" max="16384" width="8.88671875" style="1"/>
  </cols>
  <sheetData>
    <row r="1" spans="1:11" s="2" customFormat="1" ht="16.2" x14ac:dyDescent="0.35">
      <c r="A1" s="2" t="s">
        <v>38</v>
      </c>
    </row>
    <row r="2" spans="1:11" s="8" customFormat="1" ht="30" customHeight="1" thickBot="1" x14ac:dyDescent="0.4">
      <c r="A2" s="9" t="s">
        <v>39</v>
      </c>
    </row>
    <row r="3" spans="1:11" x14ac:dyDescent="0.35">
      <c r="A3" s="11" t="s">
        <v>33</v>
      </c>
      <c r="B3" s="12"/>
      <c r="C3" s="12"/>
      <c r="D3" s="12"/>
      <c r="E3" s="13"/>
      <c r="F3" s="7"/>
      <c r="G3" s="11" t="s">
        <v>34</v>
      </c>
      <c r="H3" s="23"/>
      <c r="I3" s="23"/>
      <c r="J3" s="23"/>
      <c r="K3" s="24"/>
    </row>
    <row r="4" spans="1:11" s="10" customFormat="1" ht="29.4" customHeight="1" x14ac:dyDescent="0.35">
      <c r="A4" s="14" t="s">
        <v>0</v>
      </c>
      <c r="B4" s="15" t="s">
        <v>1</v>
      </c>
      <c r="C4" s="15" t="s">
        <v>2</v>
      </c>
      <c r="D4" s="15" t="s">
        <v>3</v>
      </c>
      <c r="E4" s="16" t="s">
        <v>37</v>
      </c>
      <c r="G4" s="14" t="s">
        <v>0</v>
      </c>
      <c r="H4" s="15" t="s">
        <v>1</v>
      </c>
      <c r="I4" s="15" t="s">
        <v>2</v>
      </c>
      <c r="J4" s="15" t="s">
        <v>3</v>
      </c>
      <c r="K4" s="25" t="s">
        <v>37</v>
      </c>
    </row>
    <row r="5" spans="1:11" x14ac:dyDescent="0.35">
      <c r="A5" s="17">
        <v>55</v>
      </c>
      <c r="B5" s="18">
        <v>5</v>
      </c>
      <c r="C5" s="18">
        <v>4.5</v>
      </c>
      <c r="D5" s="18">
        <v>4.5</v>
      </c>
      <c r="E5" s="19">
        <f>AVERAGE(Table1[[#This Row],['# Turns (1)]:['# Turns (3)]])*2*PI()/10</f>
        <v>2.9321531433504737</v>
      </c>
      <c r="G5" s="17">
        <v>55</v>
      </c>
      <c r="H5" s="18">
        <v>6.1</v>
      </c>
      <c r="I5" s="18">
        <v>6</v>
      </c>
      <c r="J5" s="18">
        <v>6.1</v>
      </c>
      <c r="K5" s="26">
        <f>AVERAGE(Table2[[#This Row],['# Turns (1)]:['# Turns (3)]])*2*PI()/10</f>
        <v>3.8117990863556153</v>
      </c>
    </row>
    <row r="6" spans="1:11" x14ac:dyDescent="0.35">
      <c r="A6" s="17">
        <v>80</v>
      </c>
      <c r="B6" s="18">
        <v>7.4</v>
      </c>
      <c r="C6" s="18">
        <v>7.25</v>
      </c>
      <c r="D6" s="18">
        <v>7.8</v>
      </c>
      <c r="E6" s="19">
        <f>AVERAGE(Table1[[#This Row],['# Turns (1)]:['# Turns (3)]])*2*PI()/10</f>
        <v>4.7019170048727243</v>
      </c>
      <c r="G6" s="17">
        <v>80</v>
      </c>
      <c r="H6" s="18">
        <v>9.25</v>
      </c>
      <c r="I6" s="18">
        <v>9.4</v>
      </c>
      <c r="J6" s="18">
        <v>9.5</v>
      </c>
      <c r="K6" s="26">
        <f>AVERAGE(Table2[[#This Row],['# Turns (1)]:['# Turns (3)]])*2*PI()/10</f>
        <v>5.8957222132368452</v>
      </c>
    </row>
    <row r="7" spans="1:11" x14ac:dyDescent="0.35">
      <c r="A7" s="17">
        <v>105</v>
      </c>
      <c r="B7" s="18">
        <v>11.25</v>
      </c>
      <c r="C7" s="18">
        <v>11.25</v>
      </c>
      <c r="D7" s="18">
        <v>11.4</v>
      </c>
      <c r="E7" s="19">
        <f>AVERAGE(Table1[[#This Row],['# Turns (1)]:['# Turns (3)]])*2*PI()/10</f>
        <v>7.0999993971129314</v>
      </c>
      <c r="G7" s="17">
        <v>105</v>
      </c>
      <c r="H7" s="18">
        <v>12.3</v>
      </c>
      <c r="I7" s="18">
        <v>12.7</v>
      </c>
      <c r="J7" s="18">
        <v>12.6</v>
      </c>
      <c r="K7" s="26">
        <f>AVERAGE(Table2[[#This Row],['# Turns (1)]:['# Turns (3)]])*2*PI()/10</f>
        <v>7.8749255849984152</v>
      </c>
    </row>
    <row r="8" spans="1:11" x14ac:dyDescent="0.35">
      <c r="A8" s="17">
        <v>130</v>
      </c>
      <c r="B8" s="18">
        <v>14.7</v>
      </c>
      <c r="C8" s="18">
        <v>14.75</v>
      </c>
      <c r="D8" s="18">
        <v>14.6</v>
      </c>
      <c r="E8" s="19">
        <f>AVERAGE(Table1[[#This Row],['# Turns (1)]:['# Turns (3)]])*2*PI()/10</f>
        <v>9.2258104260420257</v>
      </c>
      <c r="G8" s="17">
        <v>130</v>
      </c>
      <c r="H8" s="18">
        <v>16.25</v>
      </c>
      <c r="I8" s="18">
        <v>16.25</v>
      </c>
      <c r="J8" s="18">
        <v>16.25</v>
      </c>
      <c r="K8" s="26">
        <f>AVERAGE(Table2[[#This Row],['# Turns (1)]:['# Turns (3)]])*2*PI()/10</f>
        <v>10.210176124166827</v>
      </c>
    </row>
    <row r="9" spans="1:11" ht="15.6" thickBot="1" x14ac:dyDescent="0.4">
      <c r="A9" s="20">
        <v>155</v>
      </c>
      <c r="B9" s="21">
        <v>18.25</v>
      </c>
      <c r="C9" s="21">
        <v>18.25</v>
      </c>
      <c r="D9" s="21">
        <v>18.2</v>
      </c>
      <c r="E9" s="22">
        <f>AVERAGE(Table1[[#This Row],['# Turns (1)]:['# Turns (3)]])*2*PI()/10</f>
        <v>11.45634121009078</v>
      </c>
      <c r="G9" s="20">
        <v>155</v>
      </c>
      <c r="H9" s="21">
        <v>19.75</v>
      </c>
      <c r="I9" s="21">
        <v>19.8</v>
      </c>
      <c r="J9" s="21">
        <v>19.8</v>
      </c>
      <c r="K9" s="27">
        <f>AVERAGE(Table2[[#This Row],['# Turns (1)]:['# Turns (3)]])*2*PI()/10</f>
        <v>12.430234932703614</v>
      </c>
    </row>
    <row r="10" spans="1:11" ht="50.4" customHeight="1" x14ac:dyDescent="0.35"/>
    <row r="18" spans="1:9" ht="86.4" customHeight="1" x14ac:dyDescent="0.35"/>
    <row r="19" spans="1:9" x14ac:dyDescent="0.35">
      <c r="A19" s="1" t="s">
        <v>29</v>
      </c>
      <c r="B19" s="1" t="s">
        <v>30</v>
      </c>
      <c r="C19" s="1" t="s">
        <v>31</v>
      </c>
      <c r="G19" s="1" t="s">
        <v>29</v>
      </c>
      <c r="H19" s="1" t="s">
        <v>30</v>
      </c>
      <c r="I19" s="1" t="s">
        <v>31</v>
      </c>
    </row>
    <row r="20" spans="1:9" x14ac:dyDescent="0.35">
      <c r="A20" s="1">
        <v>55</v>
      </c>
      <c r="B20" s="1">
        <v>5</v>
      </c>
      <c r="C20" s="1">
        <f>B20*2*PI()/10</f>
        <v>3.1415926535897931</v>
      </c>
      <c r="G20" s="1">
        <v>55</v>
      </c>
      <c r="H20" s="1">
        <v>6.1</v>
      </c>
      <c r="I20" s="1">
        <f>H20*2*PI()/10</f>
        <v>3.8327430373795472</v>
      </c>
    </row>
    <row r="21" spans="1:9" x14ac:dyDescent="0.35">
      <c r="A21" s="1">
        <v>80</v>
      </c>
      <c r="B21" s="1">
        <v>7.4</v>
      </c>
      <c r="C21" s="1">
        <f t="shared" ref="C21:C34" si="0">B21*2*PI()/10</f>
        <v>4.6495571273128942</v>
      </c>
      <c r="G21" s="1">
        <v>80</v>
      </c>
      <c r="H21" s="1">
        <v>9.25</v>
      </c>
      <c r="I21" s="1">
        <f t="shared" ref="I21:I34" si="1">H21*2*PI()/10</f>
        <v>5.8119464091411173</v>
      </c>
    </row>
    <row r="22" spans="1:9" x14ac:dyDescent="0.35">
      <c r="A22" s="1">
        <v>105</v>
      </c>
      <c r="B22" s="1">
        <v>11.25</v>
      </c>
      <c r="C22" s="1">
        <f t="shared" si="0"/>
        <v>7.0685834705770345</v>
      </c>
      <c r="G22" s="1">
        <v>105</v>
      </c>
      <c r="H22" s="1">
        <v>12.3</v>
      </c>
      <c r="I22" s="1">
        <f t="shared" si="1"/>
        <v>7.7283179278308918</v>
      </c>
    </row>
    <row r="23" spans="1:9" x14ac:dyDescent="0.35">
      <c r="A23" s="1">
        <v>130</v>
      </c>
      <c r="B23" s="1">
        <v>14.7</v>
      </c>
      <c r="C23" s="1">
        <f t="shared" si="0"/>
        <v>9.2362824015539911</v>
      </c>
      <c r="G23" s="1">
        <v>130</v>
      </c>
      <c r="H23" s="1">
        <v>16.25</v>
      </c>
      <c r="I23" s="1">
        <f t="shared" si="1"/>
        <v>10.210176124166827</v>
      </c>
    </row>
    <row r="24" spans="1:9" x14ac:dyDescent="0.35">
      <c r="A24" s="1">
        <v>155</v>
      </c>
      <c r="B24" s="1">
        <v>18.25</v>
      </c>
      <c r="C24" s="1">
        <f t="shared" si="0"/>
        <v>11.466813185602744</v>
      </c>
      <c r="G24" s="1">
        <v>155</v>
      </c>
      <c r="H24" s="1">
        <v>19.75</v>
      </c>
      <c r="I24" s="1">
        <f t="shared" si="1"/>
        <v>12.409290981679684</v>
      </c>
    </row>
    <row r="25" spans="1:9" x14ac:dyDescent="0.35">
      <c r="A25" s="1">
        <v>55</v>
      </c>
      <c r="B25" s="1">
        <v>4.5</v>
      </c>
      <c r="C25" s="1">
        <f t="shared" si="0"/>
        <v>2.8274333882308138</v>
      </c>
      <c r="G25" s="1">
        <v>55</v>
      </c>
      <c r="H25" s="1">
        <v>6</v>
      </c>
      <c r="I25" s="1">
        <f t="shared" si="1"/>
        <v>3.7699111843077517</v>
      </c>
    </row>
    <row r="26" spans="1:9" x14ac:dyDescent="0.35">
      <c r="A26" s="1">
        <v>80</v>
      </c>
      <c r="B26" s="1">
        <v>7.25</v>
      </c>
      <c r="C26" s="1">
        <f t="shared" si="0"/>
        <v>4.5553093477052</v>
      </c>
      <c r="G26" s="1">
        <v>80</v>
      </c>
      <c r="H26" s="1">
        <v>9.4</v>
      </c>
      <c r="I26" s="1">
        <f t="shared" si="1"/>
        <v>5.9061941887488114</v>
      </c>
    </row>
    <row r="27" spans="1:9" x14ac:dyDescent="0.35">
      <c r="A27" s="1">
        <v>105</v>
      </c>
      <c r="B27" s="1">
        <v>11.25</v>
      </c>
      <c r="C27" s="1">
        <f t="shared" si="0"/>
        <v>7.0685834705770345</v>
      </c>
      <c r="G27" s="1">
        <v>105</v>
      </c>
      <c r="H27" s="1">
        <v>12.7</v>
      </c>
      <c r="I27" s="1">
        <f t="shared" si="1"/>
        <v>7.9796453401180738</v>
      </c>
    </row>
    <row r="28" spans="1:9" x14ac:dyDescent="0.35">
      <c r="A28" s="1">
        <v>130</v>
      </c>
      <c r="B28" s="1">
        <v>14.75</v>
      </c>
      <c r="C28" s="1">
        <f t="shared" si="0"/>
        <v>9.2676983280898888</v>
      </c>
      <c r="G28" s="1">
        <v>130</v>
      </c>
      <c r="H28" s="1">
        <v>16.25</v>
      </c>
      <c r="I28" s="1">
        <f t="shared" si="1"/>
        <v>10.210176124166827</v>
      </c>
    </row>
    <row r="29" spans="1:9" x14ac:dyDescent="0.35">
      <c r="A29" s="1">
        <v>155</v>
      </c>
      <c r="B29" s="1">
        <v>18.25</v>
      </c>
      <c r="C29" s="1">
        <f t="shared" si="0"/>
        <v>11.466813185602744</v>
      </c>
      <c r="G29" s="1">
        <v>155</v>
      </c>
      <c r="H29" s="1">
        <v>19.8</v>
      </c>
      <c r="I29" s="1">
        <f t="shared" si="1"/>
        <v>12.440706908215581</v>
      </c>
    </row>
    <row r="30" spans="1:9" x14ac:dyDescent="0.35">
      <c r="A30" s="1">
        <v>55</v>
      </c>
      <c r="B30" s="1">
        <v>4.5</v>
      </c>
      <c r="C30" s="1">
        <f t="shared" si="0"/>
        <v>2.8274333882308138</v>
      </c>
      <c r="G30" s="1">
        <v>55</v>
      </c>
      <c r="H30" s="1">
        <v>6.1</v>
      </c>
      <c r="I30" s="1">
        <f t="shared" si="1"/>
        <v>3.8327430373795472</v>
      </c>
    </row>
    <row r="31" spans="1:9" x14ac:dyDescent="0.35">
      <c r="A31" s="1">
        <v>80</v>
      </c>
      <c r="B31" s="1">
        <v>7.8</v>
      </c>
      <c r="C31" s="1">
        <f t="shared" si="0"/>
        <v>4.9008845396000771</v>
      </c>
      <c r="G31" s="1">
        <v>80</v>
      </c>
      <c r="H31" s="1">
        <v>9.5</v>
      </c>
      <c r="I31" s="1">
        <f t="shared" si="1"/>
        <v>5.9690260418206069</v>
      </c>
    </row>
    <row r="32" spans="1:9" x14ac:dyDescent="0.35">
      <c r="A32" s="1">
        <v>105</v>
      </c>
      <c r="B32" s="1">
        <v>11.4</v>
      </c>
      <c r="C32" s="1">
        <f t="shared" si="0"/>
        <v>7.1628312501847287</v>
      </c>
      <c r="G32" s="1">
        <v>105</v>
      </c>
      <c r="H32" s="1">
        <v>12.6</v>
      </c>
      <c r="I32" s="1">
        <f t="shared" si="1"/>
        <v>7.9168134870462783</v>
      </c>
    </row>
    <row r="33" spans="1:9" x14ac:dyDescent="0.35">
      <c r="A33" s="1">
        <v>130</v>
      </c>
      <c r="B33" s="1">
        <v>14.6</v>
      </c>
      <c r="C33" s="1">
        <f t="shared" si="0"/>
        <v>9.1734505484821955</v>
      </c>
      <c r="G33" s="1">
        <v>130</v>
      </c>
      <c r="H33" s="1">
        <v>16.25</v>
      </c>
      <c r="I33" s="1">
        <f t="shared" si="1"/>
        <v>10.210176124166827</v>
      </c>
    </row>
    <row r="34" spans="1:9" x14ac:dyDescent="0.35">
      <c r="A34" s="1">
        <v>155</v>
      </c>
      <c r="B34" s="1">
        <v>18.2</v>
      </c>
      <c r="C34" s="1">
        <f t="shared" si="0"/>
        <v>11.435397259066846</v>
      </c>
      <c r="G34" s="1">
        <v>155</v>
      </c>
      <c r="H34" s="1">
        <v>19.8</v>
      </c>
      <c r="I34" s="1">
        <f t="shared" si="1"/>
        <v>12.440706908215581</v>
      </c>
    </row>
    <row r="37" spans="1:9" x14ac:dyDescent="0.35">
      <c r="A37" s="1" t="s">
        <v>32</v>
      </c>
      <c r="G37" s="1" t="s">
        <v>32</v>
      </c>
    </row>
    <row r="38" spans="1:9" x14ac:dyDescent="0.35">
      <c r="A38" s="1" t="s">
        <v>29</v>
      </c>
      <c r="B38" s="1" t="s">
        <v>30</v>
      </c>
      <c r="C38" s="1" t="s">
        <v>31</v>
      </c>
      <c r="G38" s="1" t="s">
        <v>29</v>
      </c>
      <c r="H38" s="1" t="s">
        <v>30</v>
      </c>
      <c r="I38" s="1" t="s">
        <v>31</v>
      </c>
    </row>
    <row r="39" spans="1:9" x14ac:dyDescent="0.35">
      <c r="A39" s="1">
        <v>55</v>
      </c>
      <c r="B39" s="1">
        <v>9.4</v>
      </c>
      <c r="C39" s="1">
        <f>B39*2*PI()/10</f>
        <v>5.9061941887488114</v>
      </c>
      <c r="G39" s="1">
        <v>55</v>
      </c>
      <c r="H39" s="1">
        <v>8.9</v>
      </c>
      <c r="I39" s="1">
        <f>H39*2*PI()/10</f>
        <v>5.5920349233898321</v>
      </c>
    </row>
    <row r="40" spans="1:9" x14ac:dyDescent="0.35">
      <c r="A40" s="1">
        <v>80</v>
      </c>
      <c r="B40" s="1">
        <v>14.1</v>
      </c>
      <c r="C40" s="1">
        <f t="shared" ref="C40:C53" si="2">B40*2*PI()/10</f>
        <v>8.8592912831232162</v>
      </c>
      <c r="G40" s="1">
        <v>80</v>
      </c>
      <c r="H40" s="1">
        <v>13.4</v>
      </c>
      <c r="I40" s="1">
        <f t="shared" ref="I40:I53" si="3">H40*2*PI()/10</f>
        <v>8.4194683116206459</v>
      </c>
    </row>
    <row r="41" spans="1:9" x14ac:dyDescent="0.35">
      <c r="A41" s="1">
        <v>105</v>
      </c>
      <c r="B41" s="1">
        <v>18.399999999999999</v>
      </c>
      <c r="C41" s="1">
        <f t="shared" si="2"/>
        <v>11.561060965210437</v>
      </c>
      <c r="G41" s="1">
        <v>105</v>
      </c>
      <c r="H41" s="1">
        <v>18.399999999999999</v>
      </c>
      <c r="I41" s="1">
        <f t="shared" si="3"/>
        <v>11.561060965210437</v>
      </c>
    </row>
    <row r="42" spans="1:9" x14ac:dyDescent="0.35">
      <c r="A42" s="1">
        <v>130</v>
      </c>
      <c r="B42" s="1">
        <v>23.5</v>
      </c>
      <c r="C42" s="1">
        <f t="shared" si="2"/>
        <v>14.765485471872029</v>
      </c>
      <c r="G42" s="1">
        <v>130</v>
      </c>
      <c r="H42" s="1">
        <v>22.8</v>
      </c>
      <c r="I42" s="1">
        <f t="shared" si="3"/>
        <v>14.325662500369457</v>
      </c>
    </row>
    <row r="43" spans="1:9" x14ac:dyDescent="0.35">
      <c r="A43" s="1">
        <v>155</v>
      </c>
      <c r="B43" s="1">
        <v>28.5</v>
      </c>
      <c r="C43" s="1">
        <f t="shared" si="2"/>
        <v>17.907078125461819</v>
      </c>
      <c r="G43" s="1">
        <v>155</v>
      </c>
      <c r="H43" s="1">
        <v>27.7</v>
      </c>
      <c r="I43" s="1">
        <f t="shared" si="3"/>
        <v>17.404423300887451</v>
      </c>
    </row>
    <row r="44" spans="1:9" x14ac:dyDescent="0.35">
      <c r="A44" s="1">
        <v>55</v>
      </c>
      <c r="B44" s="1">
        <v>9.25</v>
      </c>
      <c r="C44" s="1">
        <f t="shared" si="2"/>
        <v>5.8119464091411173</v>
      </c>
      <c r="G44" s="1">
        <v>55</v>
      </c>
      <c r="H44" s="1">
        <v>8.9</v>
      </c>
      <c r="I44" s="1">
        <f t="shared" si="3"/>
        <v>5.5920349233898321</v>
      </c>
    </row>
    <row r="45" spans="1:9" x14ac:dyDescent="0.35">
      <c r="A45" s="1">
        <v>80</v>
      </c>
      <c r="B45" s="1">
        <v>14.1</v>
      </c>
      <c r="C45" s="1">
        <f t="shared" si="2"/>
        <v>8.8592912831232162</v>
      </c>
      <c r="G45" s="1">
        <v>80</v>
      </c>
      <c r="H45" s="1">
        <v>13.5</v>
      </c>
      <c r="I45" s="1">
        <f t="shared" si="3"/>
        <v>8.4823001646924414</v>
      </c>
    </row>
    <row r="46" spans="1:9" x14ac:dyDescent="0.35">
      <c r="A46" s="1">
        <v>105</v>
      </c>
      <c r="B46" s="1">
        <v>18.399999999999999</v>
      </c>
      <c r="C46" s="1">
        <f t="shared" si="2"/>
        <v>11.561060965210437</v>
      </c>
      <c r="G46" s="1">
        <v>105</v>
      </c>
      <c r="H46" s="1">
        <v>18.3</v>
      </c>
      <c r="I46" s="1">
        <f t="shared" si="3"/>
        <v>11.498229112138644</v>
      </c>
    </row>
    <row r="47" spans="1:9" x14ac:dyDescent="0.35">
      <c r="A47" s="1">
        <v>130</v>
      </c>
      <c r="B47" s="1">
        <v>23.6</v>
      </c>
      <c r="C47" s="1">
        <f t="shared" si="2"/>
        <v>14.828317324943825</v>
      </c>
      <c r="G47" s="1">
        <v>130</v>
      </c>
      <c r="H47" s="1">
        <v>22.8</v>
      </c>
      <c r="I47" s="1">
        <f t="shared" si="3"/>
        <v>14.325662500369457</v>
      </c>
    </row>
    <row r="48" spans="1:9" x14ac:dyDescent="0.35">
      <c r="A48" s="1">
        <v>155</v>
      </c>
      <c r="B48" s="1">
        <v>28.4</v>
      </c>
      <c r="C48" s="1">
        <f t="shared" si="2"/>
        <v>17.844246272390023</v>
      </c>
      <c r="G48" s="1">
        <v>155</v>
      </c>
      <c r="H48" s="1">
        <v>27.6</v>
      </c>
      <c r="I48" s="1">
        <f t="shared" si="3"/>
        <v>17.341591447815659</v>
      </c>
    </row>
    <row r="49" spans="1:9" x14ac:dyDescent="0.35">
      <c r="A49" s="1">
        <v>55</v>
      </c>
      <c r="B49" s="1">
        <v>9.1999999999999993</v>
      </c>
      <c r="C49" s="1">
        <f t="shared" si="2"/>
        <v>5.7805304826052186</v>
      </c>
      <c r="G49" s="1">
        <v>55</v>
      </c>
      <c r="H49" s="1">
        <v>9</v>
      </c>
      <c r="I49" s="1">
        <f t="shared" si="3"/>
        <v>5.6548667764616276</v>
      </c>
    </row>
    <row r="50" spans="1:9" x14ac:dyDescent="0.35">
      <c r="A50" s="1">
        <v>80</v>
      </c>
      <c r="B50" s="1">
        <v>14</v>
      </c>
      <c r="C50" s="1">
        <f t="shared" si="2"/>
        <v>8.7964594300514207</v>
      </c>
      <c r="G50" s="1">
        <v>80</v>
      </c>
      <c r="H50" s="1">
        <v>13.6</v>
      </c>
      <c r="I50" s="1">
        <f t="shared" si="3"/>
        <v>8.5451320177642369</v>
      </c>
    </row>
    <row r="51" spans="1:9" x14ac:dyDescent="0.35">
      <c r="A51" s="1">
        <v>105</v>
      </c>
      <c r="B51" s="1">
        <v>18.399999999999999</v>
      </c>
      <c r="C51" s="1">
        <f t="shared" si="2"/>
        <v>11.561060965210437</v>
      </c>
      <c r="G51" s="1">
        <v>105</v>
      </c>
      <c r="H51" s="1">
        <v>18.399999999999999</v>
      </c>
      <c r="I51" s="1">
        <f t="shared" si="3"/>
        <v>11.561060965210437</v>
      </c>
    </row>
    <row r="52" spans="1:9" x14ac:dyDescent="0.35">
      <c r="A52" s="1">
        <v>130</v>
      </c>
      <c r="B52" s="1">
        <v>23.5</v>
      </c>
      <c r="C52" s="1">
        <f t="shared" si="2"/>
        <v>14.765485471872029</v>
      </c>
      <c r="G52" s="1">
        <v>130</v>
      </c>
      <c r="H52" s="1">
        <v>22.8</v>
      </c>
      <c r="I52" s="1">
        <f t="shared" si="3"/>
        <v>14.325662500369457</v>
      </c>
    </row>
    <row r="53" spans="1:9" x14ac:dyDescent="0.35">
      <c r="A53" s="1">
        <v>155</v>
      </c>
      <c r="B53" s="1">
        <v>28.5</v>
      </c>
      <c r="C53" s="1">
        <f t="shared" si="2"/>
        <v>17.907078125461819</v>
      </c>
      <c r="G53" s="1">
        <v>155</v>
      </c>
      <c r="H53" s="1">
        <v>27.7</v>
      </c>
      <c r="I53" s="1">
        <f t="shared" si="3"/>
        <v>17.404423300887451</v>
      </c>
    </row>
  </sheetData>
  <pageMargins left="0.7" right="0.7" top="0.75" bottom="0.75" header="0.3" footer="0.3"/>
  <pageSetup orientation="portrait" r:id="rId1"/>
  <rowBreaks count="1" manualBreakCount="1">
    <brk id="9" max="16383" man="1"/>
  </rowBreaks>
  <colBreaks count="1" manualBreakCount="1">
    <brk id="5" max="1048575" man="1"/>
  </colBreak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C54C-C105-4297-AF7C-C4921AE371A2}">
  <dimension ref="A1:M26"/>
  <sheetViews>
    <sheetView workbookViewId="0">
      <selection activeCell="G17" sqref="G17"/>
    </sheetView>
  </sheetViews>
  <sheetFormatPr defaultRowHeight="14.4" x14ac:dyDescent="0.3"/>
  <cols>
    <col min="1" max="7" width="12.21875" customWidth="1"/>
    <col min="8" max="12" width="11.109375" customWidth="1"/>
  </cols>
  <sheetData>
    <row r="1" spans="1:13" ht="16.2" x14ac:dyDescent="0.35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s="36" customFormat="1" ht="30" customHeight="1" thickBot="1" x14ac:dyDescent="0.35">
      <c r="A2" s="34" t="s">
        <v>39</v>
      </c>
      <c r="B2" s="34"/>
      <c r="C2" s="34"/>
      <c r="D2" s="35"/>
      <c r="E2" s="35"/>
      <c r="F2" s="35"/>
      <c r="I2" s="9"/>
      <c r="J2" s="9"/>
      <c r="K2" s="9"/>
      <c r="L2" s="9"/>
      <c r="M2" s="9"/>
    </row>
    <row r="3" spans="1:13" ht="15" x14ac:dyDescent="0.35">
      <c r="A3" s="11" t="s">
        <v>33</v>
      </c>
      <c r="B3" s="12"/>
      <c r="C3" s="12"/>
      <c r="D3" s="12"/>
      <c r="E3" s="12"/>
      <c r="F3" s="13"/>
      <c r="G3" s="7"/>
      <c r="I3" s="11" t="s">
        <v>34</v>
      </c>
      <c r="J3" s="23"/>
      <c r="K3" s="23"/>
      <c r="L3" s="23"/>
      <c r="M3" s="24"/>
    </row>
    <row r="4" spans="1:13" ht="30" x14ac:dyDescent="0.35">
      <c r="A4" s="14" t="s">
        <v>0</v>
      </c>
      <c r="B4" s="15" t="s">
        <v>1</v>
      </c>
      <c r="C4" s="15" t="s">
        <v>2</v>
      </c>
      <c r="D4" s="15" t="s">
        <v>3</v>
      </c>
      <c r="E4" s="15" t="s">
        <v>47</v>
      </c>
      <c r="F4" s="16" t="s">
        <v>37</v>
      </c>
      <c r="G4" s="10"/>
      <c r="I4" s="14" t="s">
        <v>0</v>
      </c>
      <c r="J4" s="15" t="s">
        <v>1</v>
      </c>
      <c r="K4" s="15" t="s">
        <v>2</v>
      </c>
      <c r="L4" s="15" t="s">
        <v>3</v>
      </c>
      <c r="M4" s="25" t="s">
        <v>37</v>
      </c>
    </row>
    <row r="5" spans="1:13" ht="15" x14ac:dyDescent="0.35">
      <c r="A5" s="17">
        <v>55</v>
      </c>
      <c r="B5" s="18">
        <v>5</v>
      </c>
      <c r="C5" s="18">
        <v>4.5</v>
      </c>
      <c r="D5" s="18">
        <v>4.5</v>
      </c>
      <c r="E5" s="32">
        <f>AVERAGE(Table146[[#This Row],['# Turns (1)]:['# Turns (3)]])</f>
        <v>4.666666666666667</v>
      </c>
      <c r="F5" s="28">
        <f>AVERAGE(Table146[[#This Row],['# Turns (1)]:['# Turns (3)]])*2*PI()/10</f>
        <v>2.9321531433504737</v>
      </c>
      <c r="G5" s="1"/>
      <c r="I5" s="17">
        <v>55</v>
      </c>
      <c r="J5" s="18">
        <v>6.1</v>
      </c>
      <c r="K5" s="18">
        <v>6</v>
      </c>
      <c r="L5" s="18">
        <v>6.1</v>
      </c>
      <c r="M5" s="30">
        <f>AVERAGE(Table257[[#This Row],['# Turns (1)]:['# Turns (3)]])*2*PI()/10</f>
        <v>3.8117990863556153</v>
      </c>
    </row>
    <row r="6" spans="1:13" ht="15" x14ac:dyDescent="0.35">
      <c r="A6" s="17">
        <v>80</v>
      </c>
      <c r="B6" s="18">
        <v>7.4</v>
      </c>
      <c r="C6" s="18">
        <v>7.25</v>
      </c>
      <c r="D6" s="18">
        <v>7.8</v>
      </c>
      <c r="E6" s="32">
        <f>AVERAGE(Table146[[#This Row],['# Turns (1)]:['# Turns (3)]])</f>
        <v>7.4833333333333334</v>
      </c>
      <c r="F6" s="28">
        <f>AVERAGE(Table146[[#This Row],['# Turns (1)]:['# Turns (3)]])*2*PI()/10</f>
        <v>4.7019170048727243</v>
      </c>
      <c r="G6" s="1"/>
      <c r="I6" s="17">
        <v>80</v>
      </c>
      <c r="J6" s="18">
        <v>9.25</v>
      </c>
      <c r="K6" s="18">
        <v>9.4</v>
      </c>
      <c r="L6" s="18">
        <v>9.5</v>
      </c>
      <c r="M6" s="30">
        <f>AVERAGE(Table257[[#This Row],['# Turns (1)]:['# Turns (3)]])*2*PI()/10</f>
        <v>5.8957222132368452</v>
      </c>
    </row>
    <row r="7" spans="1:13" ht="15" x14ac:dyDescent="0.35">
      <c r="A7" s="17">
        <v>105</v>
      </c>
      <c r="B7" s="18">
        <v>11.25</v>
      </c>
      <c r="C7" s="18">
        <v>11.25</v>
      </c>
      <c r="D7" s="18">
        <v>11.4</v>
      </c>
      <c r="E7" s="32">
        <f>AVERAGE(Table146[[#This Row],['# Turns (1)]:['# Turns (3)]])</f>
        <v>11.299999999999999</v>
      </c>
      <c r="F7" s="28">
        <f>AVERAGE(Table146[[#This Row],['# Turns (1)]:['# Turns (3)]])*2*PI()/10</f>
        <v>7.0999993971129314</v>
      </c>
      <c r="G7" s="1"/>
      <c r="I7" s="17">
        <v>105</v>
      </c>
      <c r="J7" s="18">
        <v>12.3</v>
      </c>
      <c r="K7" s="18">
        <v>12.7</v>
      </c>
      <c r="L7" s="18">
        <v>12.6</v>
      </c>
      <c r="M7" s="30">
        <f>AVERAGE(Table257[[#This Row],['# Turns (1)]:['# Turns (3)]])*2*PI()/10</f>
        <v>7.8749255849984152</v>
      </c>
    </row>
    <row r="8" spans="1:13" ht="15" x14ac:dyDescent="0.35">
      <c r="A8" s="17">
        <v>130</v>
      </c>
      <c r="B8" s="18">
        <v>14.7</v>
      </c>
      <c r="C8" s="18">
        <v>14.75</v>
      </c>
      <c r="D8" s="18">
        <v>14.6</v>
      </c>
      <c r="E8" s="32">
        <f>AVERAGE(Table146[[#This Row],['# Turns (1)]:['# Turns (3)]])</f>
        <v>14.683333333333332</v>
      </c>
      <c r="F8" s="28">
        <f>AVERAGE(Table146[[#This Row],['# Turns (1)]:['# Turns (3)]])*2*PI()/10</f>
        <v>9.2258104260420257</v>
      </c>
      <c r="G8" s="1"/>
      <c r="I8" s="17">
        <v>130</v>
      </c>
      <c r="J8" s="18">
        <v>16.25</v>
      </c>
      <c r="K8" s="18">
        <v>16.25</v>
      </c>
      <c r="L8" s="18">
        <v>16.25</v>
      </c>
      <c r="M8" s="30">
        <f>AVERAGE(Table257[[#This Row],['# Turns (1)]:['# Turns (3)]])*2*PI()/10</f>
        <v>10.210176124166827</v>
      </c>
    </row>
    <row r="9" spans="1:13" ht="15.6" thickBot="1" x14ac:dyDescent="0.4">
      <c r="A9" s="20">
        <v>155</v>
      </c>
      <c r="B9" s="21">
        <v>18.25</v>
      </c>
      <c r="C9" s="21">
        <v>18.25</v>
      </c>
      <c r="D9" s="21">
        <v>18.2</v>
      </c>
      <c r="E9" s="33">
        <f>AVERAGE(Table146[[#This Row],['# Turns (1)]:['# Turns (3)]])</f>
        <v>18.233333333333334</v>
      </c>
      <c r="F9" s="29">
        <f>AVERAGE(Table146[[#This Row],['# Turns (1)]:['# Turns (3)]])*2*PI()/10</f>
        <v>11.45634121009078</v>
      </c>
      <c r="G9" s="1"/>
      <c r="I9" s="20">
        <v>155</v>
      </c>
      <c r="J9" s="21">
        <v>19.75</v>
      </c>
      <c r="K9" s="21">
        <v>19.8</v>
      </c>
      <c r="L9" s="21">
        <v>19.8</v>
      </c>
      <c r="M9" s="31">
        <f>AVERAGE(Table257[[#This Row],['# Turns (1)]:['# Turns (3)]])*2*PI()/10</f>
        <v>12.430234932703614</v>
      </c>
    </row>
    <row r="10" spans="1:13" ht="15" x14ac:dyDescent="0.35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</row>
    <row r="11" spans="1:13" ht="15" x14ac:dyDescent="0.35">
      <c r="A11" s="1"/>
      <c r="B11" s="1"/>
      <c r="C11" s="1"/>
      <c r="D11" s="1"/>
      <c r="E11" s="1"/>
      <c r="F11" s="1"/>
      <c r="G11" s="1"/>
      <c r="I11" s="1"/>
      <c r="J11" s="1"/>
      <c r="K11" s="1"/>
      <c r="L11" s="1"/>
      <c r="M11" s="1"/>
    </row>
    <row r="12" spans="1:13" ht="15" x14ac:dyDescent="0.35">
      <c r="A12" s="1"/>
      <c r="B12" s="1"/>
      <c r="C12" s="1"/>
      <c r="D12" s="1"/>
      <c r="E12" s="1"/>
      <c r="F12" s="1"/>
      <c r="G12" s="1"/>
      <c r="I12" s="1"/>
      <c r="J12" s="1"/>
      <c r="K12" s="1"/>
      <c r="L12" s="1"/>
      <c r="M12" s="1"/>
    </row>
    <row r="13" spans="1:13" ht="15" x14ac:dyDescent="0.35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M13" s="1"/>
    </row>
    <row r="14" spans="1:13" ht="15" x14ac:dyDescent="0.35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</row>
    <row r="15" spans="1:13" ht="15" x14ac:dyDescent="0.35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</row>
    <row r="16" spans="1:13" ht="15" x14ac:dyDescent="0.35">
      <c r="A16" s="1"/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</row>
    <row r="17" spans="1:13" ht="15" x14ac:dyDescent="0.35">
      <c r="A17" s="1"/>
      <c r="B17" s="1"/>
      <c r="C17" s="1"/>
      <c r="D17" s="1"/>
      <c r="E17" s="1"/>
      <c r="F17" s="1"/>
      <c r="G17" s="1"/>
      <c r="I17" s="1"/>
      <c r="J17" s="1"/>
      <c r="K17" s="1"/>
      <c r="L17" s="1"/>
      <c r="M17" s="1"/>
    </row>
    <row r="18" spans="1:13" ht="15" x14ac:dyDescent="0.35">
      <c r="A18" s="1"/>
      <c r="B18" s="1"/>
      <c r="C18" s="1"/>
      <c r="D18" s="1"/>
      <c r="E18" s="1"/>
      <c r="F18" s="1"/>
      <c r="G18" s="1"/>
      <c r="I18" s="1"/>
      <c r="J18" s="1"/>
      <c r="K18" s="1"/>
      <c r="L18" s="1"/>
      <c r="M18" s="1"/>
    </row>
    <row r="19" spans="1:13" ht="15" x14ac:dyDescent="0.35">
      <c r="A19" s="1"/>
      <c r="B19" s="1"/>
      <c r="C19" s="1"/>
      <c r="D19" s="1"/>
      <c r="E19" s="1"/>
      <c r="F19" s="1"/>
      <c r="G19" s="1"/>
      <c r="I19" s="1"/>
      <c r="J19" s="1"/>
      <c r="K19" s="1"/>
      <c r="L19" s="1"/>
      <c r="M19" s="1"/>
    </row>
    <row r="20" spans="1:13" ht="15" x14ac:dyDescent="0.35">
      <c r="A20" s="1"/>
      <c r="B20" s="1"/>
      <c r="C20" s="1"/>
      <c r="D20" s="1"/>
      <c r="E20" s="1"/>
      <c r="F20" s="1"/>
      <c r="G20" s="1"/>
      <c r="I20" s="1"/>
      <c r="J20" s="1"/>
      <c r="K20" s="1"/>
      <c r="L20" s="1"/>
      <c r="M20" s="1"/>
    </row>
    <row r="21" spans="1:13" ht="15" x14ac:dyDescent="0.35">
      <c r="A21" s="1"/>
      <c r="B21" s="1"/>
      <c r="C21" s="1"/>
      <c r="D21" s="1"/>
      <c r="E21" s="1"/>
      <c r="F21" s="1"/>
      <c r="G21" s="1"/>
      <c r="I21" s="1"/>
      <c r="J21" s="1"/>
      <c r="K21" s="1"/>
      <c r="L21" s="1"/>
      <c r="M21" s="1"/>
    </row>
    <row r="22" spans="1:13" ht="15" x14ac:dyDescent="0.35">
      <c r="A22" s="1"/>
      <c r="B22" s="1"/>
      <c r="C22" s="1"/>
      <c r="D22" s="1"/>
      <c r="E22" s="1"/>
      <c r="F22" s="1"/>
      <c r="G22" s="1"/>
      <c r="I22" s="1"/>
      <c r="J22" s="1"/>
      <c r="K22" s="1"/>
      <c r="L22" s="1"/>
      <c r="M22" s="1"/>
    </row>
    <row r="23" spans="1:13" ht="15" x14ac:dyDescent="0.35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</row>
    <row r="24" spans="1:13" ht="15" x14ac:dyDescent="0.35">
      <c r="A24" s="1"/>
      <c r="B24" s="1"/>
      <c r="C24" s="1"/>
      <c r="D24" s="1"/>
      <c r="E24" s="1"/>
      <c r="F24" s="1"/>
      <c r="G24" s="1"/>
      <c r="I24" s="1"/>
      <c r="J24" s="1"/>
      <c r="K24" s="1"/>
      <c r="L24" s="1"/>
      <c r="M24" s="1"/>
    </row>
    <row r="25" spans="1:13" ht="15" x14ac:dyDescent="0.35">
      <c r="A25" s="7" t="s">
        <v>41</v>
      </c>
      <c r="B25" s="1"/>
      <c r="C25" s="1"/>
      <c r="D25" s="1"/>
      <c r="E25" s="1"/>
      <c r="F25" s="1"/>
      <c r="G25" s="1"/>
      <c r="I25" s="7" t="s">
        <v>41</v>
      </c>
      <c r="J25" s="1"/>
      <c r="K25" s="1"/>
      <c r="L25" s="1"/>
      <c r="M25" s="1"/>
    </row>
    <row r="26" spans="1:13" ht="15" x14ac:dyDescent="0.35">
      <c r="A26" s="1" t="s">
        <v>45</v>
      </c>
      <c r="B26" s="1"/>
      <c r="C26" s="1"/>
      <c r="D26" s="1"/>
      <c r="E26" s="1"/>
      <c r="F26" s="1"/>
      <c r="G26" s="1"/>
      <c r="I26" s="1" t="s">
        <v>46</v>
      </c>
      <c r="J26" s="1"/>
      <c r="K26" s="1"/>
      <c r="L26" s="1"/>
      <c r="M26" s="1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FF52-BD50-4886-AB2E-CCFB404F387A}">
  <dimension ref="A1:L26"/>
  <sheetViews>
    <sheetView workbookViewId="0">
      <selection activeCell="A2" sqref="A2"/>
    </sheetView>
  </sheetViews>
  <sheetFormatPr defaultRowHeight="14.4" x14ac:dyDescent="0.3"/>
  <cols>
    <col min="1" max="7" width="12.21875" customWidth="1"/>
  </cols>
  <sheetData>
    <row r="1" spans="1:12" ht="16.2" x14ac:dyDescent="0.35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0" customHeight="1" thickBot="1" x14ac:dyDescent="0.4">
      <c r="A2" s="37" t="s">
        <v>39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15" x14ac:dyDescent="0.35">
      <c r="A3" s="11" t="s">
        <v>34</v>
      </c>
      <c r="B3" s="23"/>
      <c r="C3" s="23"/>
      <c r="D3" s="23"/>
      <c r="E3" s="23"/>
      <c r="F3" s="24"/>
    </row>
    <row r="4" spans="1:12" ht="30" x14ac:dyDescent="0.35">
      <c r="A4" s="14" t="s">
        <v>0</v>
      </c>
      <c r="B4" s="15" t="s">
        <v>1</v>
      </c>
      <c r="C4" s="15" t="s">
        <v>2</v>
      </c>
      <c r="D4" s="15" t="s">
        <v>3</v>
      </c>
      <c r="E4" s="15" t="s">
        <v>47</v>
      </c>
      <c r="F4" s="25" t="s">
        <v>37</v>
      </c>
    </row>
    <row r="5" spans="1:12" ht="15" x14ac:dyDescent="0.35">
      <c r="A5" s="17">
        <v>55</v>
      </c>
      <c r="B5" s="18">
        <v>6.1</v>
      </c>
      <c r="C5" s="18">
        <v>6</v>
      </c>
      <c r="D5" s="18">
        <v>6.1</v>
      </c>
      <c r="E5" s="32">
        <f>AVERAGE(Table2578[[#This Row],['# Turns (1)]:['# Turns (3)]])</f>
        <v>6.0666666666666664</v>
      </c>
      <c r="F5" s="30">
        <f>AVERAGE(Table2578[[#This Row],['# Turns (1)]:['# Turns (3)]])*2*PI()/10</f>
        <v>3.8117990863556153</v>
      </c>
    </row>
    <row r="6" spans="1:12" ht="15" x14ac:dyDescent="0.35">
      <c r="A6" s="17">
        <v>80</v>
      </c>
      <c r="B6" s="18">
        <v>9.25</v>
      </c>
      <c r="C6" s="18">
        <v>9.4</v>
      </c>
      <c r="D6" s="18">
        <v>9.5</v>
      </c>
      <c r="E6" s="32">
        <f>AVERAGE(Table2578[[#This Row],['# Turns (1)]:['# Turns (3)]])</f>
        <v>9.3833333333333329</v>
      </c>
      <c r="F6" s="30">
        <f>AVERAGE(Table2578[[#This Row],['# Turns (1)]:['# Turns (3)]])*2*PI()/10</f>
        <v>5.8957222132368452</v>
      </c>
    </row>
    <row r="7" spans="1:12" ht="15" x14ac:dyDescent="0.35">
      <c r="A7" s="17">
        <v>105</v>
      </c>
      <c r="B7" s="18">
        <v>12.3</v>
      </c>
      <c r="C7" s="18">
        <v>12.7</v>
      </c>
      <c r="D7" s="18">
        <v>12.6</v>
      </c>
      <c r="E7" s="32">
        <f>AVERAGE(Table2578[[#This Row],['# Turns (1)]:['# Turns (3)]])</f>
        <v>12.533333333333333</v>
      </c>
      <c r="F7" s="30">
        <f>AVERAGE(Table2578[[#This Row],['# Turns (1)]:['# Turns (3)]])*2*PI()/10</f>
        <v>7.8749255849984152</v>
      </c>
    </row>
    <row r="8" spans="1:12" ht="15" x14ac:dyDescent="0.35">
      <c r="A8" s="17">
        <v>130</v>
      </c>
      <c r="B8" s="18">
        <v>16.25</v>
      </c>
      <c r="C8" s="18">
        <v>16.25</v>
      </c>
      <c r="D8" s="18">
        <v>16.25</v>
      </c>
      <c r="E8" s="32">
        <f>AVERAGE(Table2578[[#This Row],['# Turns (1)]:['# Turns (3)]])</f>
        <v>16.25</v>
      </c>
      <c r="F8" s="30">
        <f>AVERAGE(Table2578[[#This Row],['# Turns (1)]:['# Turns (3)]])*2*PI()/10</f>
        <v>10.210176124166827</v>
      </c>
    </row>
    <row r="9" spans="1:12" ht="15.6" thickBot="1" x14ac:dyDescent="0.4">
      <c r="A9" s="20">
        <v>155</v>
      </c>
      <c r="B9" s="21">
        <v>19.75</v>
      </c>
      <c r="C9" s="21">
        <v>19.8</v>
      </c>
      <c r="D9" s="21">
        <v>19.8</v>
      </c>
      <c r="E9" s="33">
        <f>AVERAGE(Table2578[[#This Row],['# Turns (1)]:['# Turns (3)]])</f>
        <v>19.783333333333331</v>
      </c>
      <c r="F9" s="31">
        <f>AVERAGE(Table2578[[#This Row],['# Turns (1)]:['# Turns (3)]])*2*PI()/10</f>
        <v>12.430234932703614</v>
      </c>
    </row>
    <row r="10" spans="1:12" ht="15" x14ac:dyDescent="0.35">
      <c r="A10" s="1"/>
      <c r="B10" s="1"/>
      <c r="C10" s="1"/>
      <c r="D10" s="1"/>
      <c r="E10" s="1"/>
      <c r="F10" s="1"/>
    </row>
    <row r="11" spans="1:12" ht="15" x14ac:dyDescent="0.35">
      <c r="A11" s="1"/>
      <c r="B11" s="1"/>
      <c r="C11" s="1"/>
      <c r="D11" s="1"/>
      <c r="E11" s="1"/>
      <c r="F11" s="1"/>
    </row>
    <row r="12" spans="1:12" ht="15" x14ac:dyDescent="0.35">
      <c r="A12" s="1"/>
      <c r="B12" s="1"/>
      <c r="C12" s="1"/>
      <c r="D12" s="1"/>
      <c r="E12" s="1"/>
      <c r="F12" s="1"/>
    </row>
    <row r="13" spans="1:12" ht="15" x14ac:dyDescent="0.35">
      <c r="A13" s="1"/>
      <c r="B13" s="1"/>
      <c r="C13" s="1"/>
      <c r="D13" s="1"/>
      <c r="E13" s="1"/>
      <c r="F13" s="1"/>
    </row>
    <row r="14" spans="1:12" ht="15" x14ac:dyDescent="0.35">
      <c r="A14" s="1"/>
      <c r="B14" s="1"/>
      <c r="C14" s="1"/>
      <c r="D14" s="1"/>
      <c r="E14" s="1"/>
      <c r="F14" s="1"/>
    </row>
    <row r="15" spans="1:12" ht="15" x14ac:dyDescent="0.35">
      <c r="A15" s="1"/>
      <c r="B15" s="1"/>
      <c r="C15" s="1"/>
      <c r="D15" s="1"/>
      <c r="E15" s="1"/>
      <c r="F15" s="1"/>
    </row>
    <row r="16" spans="1:12" ht="15" x14ac:dyDescent="0.35">
      <c r="A16" s="1"/>
      <c r="B16" s="1"/>
      <c r="C16" s="1"/>
      <c r="D16" s="1"/>
      <c r="E16" s="1"/>
      <c r="F16" s="1"/>
    </row>
    <row r="17" spans="1:6" ht="15" x14ac:dyDescent="0.35">
      <c r="A17" s="1"/>
      <c r="B17" s="1"/>
      <c r="C17" s="1"/>
      <c r="D17" s="1"/>
      <c r="E17" s="1"/>
      <c r="F17" s="1"/>
    </row>
    <row r="18" spans="1:6" ht="15" x14ac:dyDescent="0.35">
      <c r="A18" s="1"/>
      <c r="B18" s="1"/>
      <c r="C18" s="1"/>
      <c r="D18" s="1"/>
      <c r="E18" s="1"/>
      <c r="F18" s="1"/>
    </row>
    <row r="19" spans="1:6" ht="15" x14ac:dyDescent="0.35">
      <c r="A19" s="1"/>
      <c r="B19" s="1"/>
      <c r="C19" s="1"/>
      <c r="D19" s="1"/>
      <c r="E19" s="1"/>
      <c r="F19" s="1"/>
    </row>
    <row r="20" spans="1:6" ht="15" x14ac:dyDescent="0.35">
      <c r="A20" s="1"/>
      <c r="B20" s="1"/>
      <c r="C20" s="1"/>
      <c r="D20" s="1"/>
      <c r="E20" s="1"/>
      <c r="F20" s="1"/>
    </row>
    <row r="21" spans="1:6" ht="15" x14ac:dyDescent="0.35">
      <c r="A21" s="1"/>
      <c r="B21" s="1"/>
      <c r="C21" s="1"/>
      <c r="D21" s="1"/>
      <c r="E21" s="1"/>
      <c r="F21" s="1"/>
    </row>
    <row r="22" spans="1:6" ht="15" x14ac:dyDescent="0.35">
      <c r="A22" s="1"/>
      <c r="B22" s="1"/>
      <c r="C22" s="1"/>
      <c r="D22" s="1"/>
      <c r="E22" s="1"/>
      <c r="F22" s="1"/>
    </row>
    <row r="23" spans="1:6" ht="15" x14ac:dyDescent="0.35">
      <c r="A23" s="1"/>
      <c r="B23" s="1"/>
      <c r="C23" s="1"/>
      <c r="D23" s="1"/>
      <c r="E23" s="1"/>
      <c r="F23" s="1"/>
    </row>
    <row r="24" spans="1:6" ht="15" x14ac:dyDescent="0.35">
      <c r="A24" s="1"/>
      <c r="B24" s="1"/>
      <c r="C24" s="1"/>
      <c r="D24" s="1"/>
      <c r="E24" s="1"/>
      <c r="F24" s="1"/>
    </row>
    <row r="25" spans="1:6" ht="15" x14ac:dyDescent="0.35">
      <c r="A25" s="7" t="s">
        <v>41</v>
      </c>
      <c r="B25" s="1"/>
      <c r="C25" s="1"/>
      <c r="D25" s="1"/>
      <c r="E25" s="1"/>
      <c r="F25" s="1"/>
    </row>
    <row r="26" spans="1:6" ht="15" x14ac:dyDescent="0.35">
      <c r="A26" s="1" t="s">
        <v>46</v>
      </c>
      <c r="B26" s="1"/>
      <c r="C26" s="1"/>
      <c r="D26" s="1"/>
      <c r="E26" s="1"/>
      <c r="F26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FE9E-F0E9-4EE8-9218-98E132301F2F}">
  <dimension ref="A1:M26"/>
  <sheetViews>
    <sheetView workbookViewId="0">
      <selection activeCell="A2" sqref="A2"/>
    </sheetView>
  </sheetViews>
  <sheetFormatPr defaultRowHeight="15" x14ac:dyDescent="0.35"/>
  <cols>
    <col min="1" max="7" width="12.21875" style="1" customWidth="1"/>
    <col min="8" max="12" width="11.109375" style="1" customWidth="1"/>
    <col min="13" max="16384" width="8.88671875" style="1"/>
  </cols>
  <sheetData>
    <row r="1" spans="1:13" s="2" customFormat="1" ht="16.2" x14ac:dyDescent="0.35">
      <c r="A1" s="2" t="s">
        <v>40</v>
      </c>
    </row>
    <row r="2" spans="1:13" ht="30" customHeight="1" thickBot="1" x14ac:dyDescent="0.4">
      <c r="A2" s="37" t="s">
        <v>39</v>
      </c>
      <c r="B2" s="8"/>
      <c r="C2" s="8"/>
      <c r="D2" s="8"/>
      <c r="E2" s="8"/>
      <c r="F2" s="8"/>
      <c r="G2" s="8"/>
      <c r="I2" s="8"/>
      <c r="J2" s="8"/>
      <c r="K2" s="8"/>
      <c r="L2" s="8"/>
      <c r="M2" s="8"/>
    </row>
    <row r="3" spans="1:13" x14ac:dyDescent="0.35">
      <c r="A3" s="11" t="s">
        <v>35</v>
      </c>
      <c r="B3" s="12"/>
      <c r="C3" s="12"/>
      <c r="D3" s="12"/>
      <c r="E3" s="12"/>
      <c r="F3" s="13"/>
      <c r="G3" s="7"/>
      <c r="I3" s="11" t="s">
        <v>36</v>
      </c>
      <c r="J3" s="23"/>
      <c r="K3" s="23"/>
      <c r="L3" s="23"/>
      <c r="M3" s="24"/>
    </row>
    <row r="4" spans="1:13" ht="30.6" customHeight="1" x14ac:dyDescent="0.35">
      <c r="A4" s="14" t="s">
        <v>0</v>
      </c>
      <c r="B4" s="15" t="s">
        <v>1</v>
      </c>
      <c r="C4" s="15" t="s">
        <v>2</v>
      </c>
      <c r="D4" s="15" t="s">
        <v>3</v>
      </c>
      <c r="E4" s="15" t="s">
        <v>47</v>
      </c>
      <c r="F4" s="16" t="s">
        <v>37</v>
      </c>
      <c r="G4" s="10"/>
      <c r="I4" s="14" t="s">
        <v>0</v>
      </c>
      <c r="J4" s="15" t="s">
        <v>1</v>
      </c>
      <c r="K4" s="15" t="s">
        <v>2</v>
      </c>
      <c r="L4" s="15" t="s">
        <v>3</v>
      </c>
      <c r="M4" s="25" t="s">
        <v>37</v>
      </c>
    </row>
    <row r="5" spans="1:13" x14ac:dyDescent="0.35">
      <c r="A5" s="17">
        <v>55</v>
      </c>
      <c r="B5" s="18">
        <v>9.4</v>
      </c>
      <c r="C5" s="18">
        <v>9.25</v>
      </c>
      <c r="D5" s="18">
        <v>9.1999999999999993</v>
      </c>
      <c r="E5" s="32">
        <f>AVERAGE(Table14[[#This Row],['# Turns (1)]:['# Turns (3)]])</f>
        <v>9.2833333333333332</v>
      </c>
      <c r="F5" s="28">
        <f>AVERAGE(Table14[[#This Row],['# Turns (1)]:['# Turns (3)]])*2*PI()/10</f>
        <v>5.8328903601650488</v>
      </c>
      <c r="I5" s="17">
        <v>55</v>
      </c>
      <c r="J5" s="18">
        <v>8.9</v>
      </c>
      <c r="K5" s="18">
        <v>8.9</v>
      </c>
      <c r="L5" s="18">
        <v>9</v>
      </c>
      <c r="M5" s="30">
        <f>AVERAGE(Table25[[#This Row],['# Turns (1)]:['# Turns (3)]])*2*PI()/10</f>
        <v>5.6129788744137645</v>
      </c>
    </row>
    <row r="6" spans="1:13" x14ac:dyDescent="0.35">
      <c r="A6" s="17">
        <v>80</v>
      </c>
      <c r="B6" s="18">
        <v>14.1</v>
      </c>
      <c r="C6" s="18">
        <v>14.1</v>
      </c>
      <c r="D6" s="18">
        <v>14</v>
      </c>
      <c r="E6" s="32">
        <f>AVERAGE(Table14[[#This Row],['# Turns (1)]:['# Turns (3)]])</f>
        <v>14.066666666666668</v>
      </c>
      <c r="F6" s="28">
        <f>AVERAGE(Table14[[#This Row],['# Turns (1)]:['# Turns (3)]])*2*PI()/10</f>
        <v>8.8383473320992856</v>
      </c>
      <c r="I6" s="17">
        <v>80</v>
      </c>
      <c r="J6" s="18">
        <v>13.4</v>
      </c>
      <c r="K6" s="18">
        <v>13.5</v>
      </c>
      <c r="L6" s="18">
        <v>13.6</v>
      </c>
      <c r="M6" s="30">
        <f>AVERAGE(Table25[[#This Row],['# Turns (1)]:['# Turns (3)]])*2*PI()/10</f>
        <v>8.4823001646924414</v>
      </c>
    </row>
    <row r="7" spans="1:13" x14ac:dyDescent="0.35">
      <c r="A7" s="17">
        <v>105</v>
      </c>
      <c r="B7" s="18">
        <v>18.399999999999999</v>
      </c>
      <c r="C7" s="18">
        <v>18.399999999999999</v>
      </c>
      <c r="D7" s="18">
        <v>18.399999999999999</v>
      </c>
      <c r="E7" s="32">
        <f>AVERAGE(Table14[[#This Row],['# Turns (1)]:['# Turns (3)]])</f>
        <v>18.399999999999999</v>
      </c>
      <c r="F7" s="28">
        <f>AVERAGE(Table14[[#This Row],['# Turns (1)]:['# Turns (3)]])*2*PI()/10</f>
        <v>11.561060965210437</v>
      </c>
      <c r="I7" s="17">
        <v>105</v>
      </c>
      <c r="J7" s="18">
        <v>18.399999999999999</v>
      </c>
      <c r="K7" s="18">
        <v>18.3</v>
      </c>
      <c r="L7" s="18">
        <v>18.399999999999999</v>
      </c>
      <c r="M7" s="30">
        <f>AVERAGE(Table25[[#This Row],['# Turns (1)]:['# Turns (3)]])*2*PI()/10</f>
        <v>11.540117014186507</v>
      </c>
    </row>
    <row r="8" spans="1:13" x14ac:dyDescent="0.35">
      <c r="A8" s="17">
        <v>130</v>
      </c>
      <c r="B8" s="18">
        <v>23.5</v>
      </c>
      <c r="C8" s="18">
        <v>23.6</v>
      </c>
      <c r="D8" s="18">
        <v>23.5</v>
      </c>
      <c r="E8" s="32">
        <f>AVERAGE(Table14[[#This Row],['# Turns (1)]:['# Turns (3)]])</f>
        <v>23.533333333333331</v>
      </c>
      <c r="F8" s="28">
        <f>AVERAGE(Table14[[#This Row],['# Turns (1)]:['# Turns (3)]])*2*PI()/10</f>
        <v>14.786429422895958</v>
      </c>
      <c r="I8" s="17">
        <v>130</v>
      </c>
      <c r="J8" s="18">
        <v>22.8</v>
      </c>
      <c r="K8" s="18">
        <v>22.8</v>
      </c>
      <c r="L8" s="18">
        <v>22.8</v>
      </c>
      <c r="M8" s="30">
        <f>AVERAGE(Table25[[#This Row],['# Turns (1)]:['# Turns (3)]])*2*PI()/10</f>
        <v>14.325662500369457</v>
      </c>
    </row>
    <row r="9" spans="1:13" ht="15.6" thickBot="1" x14ac:dyDescent="0.4">
      <c r="A9" s="20">
        <v>155</v>
      </c>
      <c r="B9" s="21">
        <v>28.5</v>
      </c>
      <c r="C9" s="21">
        <v>28.4</v>
      </c>
      <c r="D9" s="21">
        <v>28.5</v>
      </c>
      <c r="E9" s="33">
        <f>AVERAGE(Table14[[#This Row],['# Turns (1)]:['# Turns (3)]])</f>
        <v>28.466666666666669</v>
      </c>
      <c r="F9" s="29">
        <f>AVERAGE(Table14[[#This Row],['# Turns (1)]:['# Turns (3)]])*2*PI()/10</f>
        <v>17.886134174437892</v>
      </c>
      <c r="I9" s="20">
        <v>155</v>
      </c>
      <c r="J9" s="21">
        <v>27.7</v>
      </c>
      <c r="K9" s="21">
        <v>27.6</v>
      </c>
      <c r="L9" s="21">
        <v>27.7</v>
      </c>
      <c r="M9" s="31">
        <f>AVERAGE(Table25[[#This Row],['# Turns (1)]:['# Turns (3)]])*2*PI()/10</f>
        <v>17.383479349863524</v>
      </c>
    </row>
    <row r="25" spans="1:9" x14ac:dyDescent="0.35">
      <c r="A25" s="7" t="s">
        <v>41</v>
      </c>
      <c r="I25" s="7" t="s">
        <v>41</v>
      </c>
    </row>
    <row r="26" spans="1:9" x14ac:dyDescent="0.35">
      <c r="A26" s="1" t="s">
        <v>42</v>
      </c>
      <c r="I26" s="1" t="s">
        <v>43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q d s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A 2 p 2 x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q d s T y i K R 7 g O A A A A E Q A A A B M A H A B G b 3 J t d W x h c y 9 T Z W N 0 a W 9 u M S 5 t I K I Y A C i g F A A A A A A A A A A A A A A A A A A A A A A A A A A A A C t O T S 7 J z M 9 T C I b Q h t Y A U E s B A i 0 A F A A C A A g A N q d s T 8 D N o C q m A A A A + A A A A B I A A A A A A A A A A A A A A A A A A A A A A E N v b m Z p Z y 9 Q Y W N r Y W d l L n h t b F B L A Q I t A B Q A A g A I A D a n b E 8 P y u m r p A A A A O k A A A A T A A A A A A A A A A A A A A A A A P I A A A B b Q 2 9 u d G V u d F 9 U e X B l c 1 0 u e G 1 s U E s B A i 0 A F A A C A A g A N q d s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t P m Z y G d 8 Z C i a K Q q M L + o k U A A A A A A g A A A A A A E G Y A A A A B A A A g A A A A J C h O Z 7 j m n L H o 5 W H q Q B 2 5 b k w E A 3 R a d P u Z g 9 2 X F 2 6 v f b s A A A A A D o A A A A A C A A A g A A A A P m n W T J o r X 3 2 P / n Z S f 4 f v p B u 3 P L V x 7 1 u U f S t I f K c o L g R Q A A A A g d J r F i q n N a 0 h G o R p Q X H t 9 S s D p v z 8 B 4 r A D G g b w k q R I h n H R 3 E h o 3 / U V 6 E N / b B 5 2 e F N H 9 l l q x c q H F o d j L S H 4 P H s 5 g 5 V L J n b E Y / o s R q x Z B O G F 2 p A A A A A 4 8 h A 2 C v 2 o G j p I x Z r M l I b m I X T W i + E R 5 8 e n 0 B A Q K Q M w 7 F G U O q 9 8 s U M x W 2 h R p 7 5 G F / H h N g y 7 D g f y s N z V n J G q V S e s Q = = < / D a t a M a s h u p > 
</file>

<file path=customXml/itemProps1.xml><?xml version="1.0" encoding="utf-8"?>
<ds:datastoreItem xmlns:ds="http://schemas.openxmlformats.org/officeDocument/2006/customXml" ds:itemID="{101A2403-32B9-4E29-B98C-84D7F5045D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motor A regression</vt:lpstr>
      <vt:lpstr>Motor B regression</vt:lpstr>
      <vt:lpstr>Motor A pwm=f(w)</vt:lpstr>
      <vt:lpstr>Motor B pwm=f(w)</vt:lpstr>
      <vt:lpstr>Motor A PWM (battery)</vt:lpstr>
      <vt:lpstr>all data</vt:lpstr>
      <vt:lpstr>usb data</vt:lpstr>
      <vt:lpstr>usb data 2</vt:lpstr>
      <vt:lpstr>battery data</vt:lpstr>
      <vt:lpstr>battery data 2</vt:lpstr>
      <vt:lpstr>'battery data'!Print_Area</vt:lpstr>
      <vt:lpstr>'battery data 2'!Print_Area</vt:lpstr>
      <vt:lpstr>'usb data'!Print_Area</vt:lpstr>
      <vt:lpstr>'usb data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cp:lastPrinted>2019-11-25T17:09:22Z</cp:lastPrinted>
  <dcterms:created xsi:type="dcterms:W3CDTF">2019-11-06T19:21:49Z</dcterms:created>
  <dcterms:modified xsi:type="dcterms:W3CDTF">2019-11-25T17:25:23Z</dcterms:modified>
</cp:coreProperties>
</file>