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n\Downloads\"/>
    </mc:Choice>
  </mc:AlternateContent>
  <xr:revisionPtr revIDLastSave="0" documentId="13_ncr:1_{5C547DC8-8FBE-4FBA-BE45-AFED4F3266FE}" xr6:coauthVersionLast="47" xr6:coauthVersionMax="47" xr10:uidLastSave="{00000000-0000-0000-0000-000000000000}"/>
  <bookViews>
    <workbookView xWindow="-108" yWindow="-108" windowWidth="23256" windowHeight="12456" xr2:uid="{9CABDE60-FA4C-4410-A884-99AE4585A205}"/>
  </bookViews>
  <sheets>
    <sheet name="Index" sheetId="43" r:id="rId1"/>
    <sheet name="BASES Model" sheetId="7" r:id="rId2"/>
    <sheet name="Purchase Intent and Price" sheetId="17" r:id="rId3"/>
    <sheet name="IMC Schedule" sheetId="18" r:id="rId4"/>
    <sheet name="Profile of Retail Environment" sheetId="13" r:id="rId5"/>
    <sheet name="Distribution Reach" sheetId="24" r:id="rId6"/>
    <sheet name="Operations Assumptions" sheetId="39" r:id="rId7"/>
    <sheet name="Time 0 Startup Inventory" sheetId="44" r:id="rId8"/>
    <sheet name="Production Capacity Analysis" sheetId="45" r:id="rId9"/>
    <sheet name="Inventory Management" sheetId="28" r:id="rId10"/>
    <sheet name="Logistics &amp; Transportation" sheetId="42" r:id="rId11"/>
    <sheet name="Capital Expenditures" sheetId="40" r:id="rId12"/>
    <sheet name="Information Systems Expense" sheetId="8" r:id="rId13"/>
    <sheet name="General and Administrative" sheetId="27" r:id="rId14"/>
    <sheet name="Manufacturing Overhead" sheetId="36" r:id="rId15"/>
    <sheet name="Labor Planning" sheetId="38" r:id="rId16"/>
    <sheet name="COGS" sheetId="3" r:id="rId17"/>
    <sheet name="Bill of Materials" sheetId="21" r:id="rId18"/>
    <sheet name="Location Analysis" sheetId="23" r:id="rId19"/>
    <sheet name="FE Assumptions" sheetId="31" r:id="rId20"/>
    <sheet name="FE Income Statement" sheetId="34" r:id="rId21"/>
    <sheet name="FE Balance Sheet" sheetId="33" r:id="rId22"/>
    <sheet name="FE Cash Flow" sheetId="35" r:id="rId23"/>
    <sheet name="Depreciation Schedule" sheetId="48" r:id="rId24"/>
    <sheet name="AR&amp;AP Calculations " sheetId="46" r:id="rId25"/>
    <sheet name="Comparable Companies" sheetId="37" r:id="rId26"/>
    <sheet name="Financial Ratios " sheetId="49" r:id="rId27"/>
  </sheets>
  <definedNames>
    <definedName name="Scenario" localSheetId="19">'FE Assumptions'!#REF!</definedName>
    <definedName name="Scenario">#REF!</definedName>
    <definedName name="solver_adj" localSheetId="1" hidden="1">'BASES Model'!$C$23</definedName>
    <definedName name="solver_adj" localSheetId="5" hidden="1">'Distribution Reach'!$H$101</definedName>
    <definedName name="solver_cvg" localSheetId="1" hidden="1">0.0001</definedName>
    <definedName name="solver_cvg" localSheetId="5" hidden="1">0.0001</definedName>
    <definedName name="solver_drv" localSheetId="1" hidden="1">1</definedName>
    <definedName name="solver_drv" localSheetId="5" hidden="1">1</definedName>
    <definedName name="solver_eng" localSheetId="1" hidden="1">1</definedName>
    <definedName name="solver_eng" localSheetId="5" hidden="1">1</definedName>
    <definedName name="solver_eng" localSheetId="22" hidden="1">1</definedName>
    <definedName name="solver_est" localSheetId="1" hidden="1">1</definedName>
    <definedName name="solver_est" localSheetId="5" hidden="1">1</definedName>
    <definedName name="solver_itr" localSheetId="1" hidden="1">2147483647</definedName>
    <definedName name="solver_itr" localSheetId="5" hidden="1">2147483647</definedName>
    <definedName name="solver_mip" localSheetId="1" hidden="1">2147483647</definedName>
    <definedName name="solver_mip" localSheetId="5" hidden="1">2147483647</definedName>
    <definedName name="solver_mni" localSheetId="1" hidden="1">30</definedName>
    <definedName name="solver_mni" localSheetId="5" hidden="1">30</definedName>
    <definedName name="solver_mrt" localSheetId="1" hidden="1">0.075</definedName>
    <definedName name="solver_mrt" localSheetId="5" hidden="1">0.075</definedName>
    <definedName name="solver_msl" localSheetId="1" hidden="1">2</definedName>
    <definedName name="solver_msl" localSheetId="5" hidden="1">2</definedName>
    <definedName name="solver_neg" localSheetId="1" hidden="1">1</definedName>
    <definedName name="solver_neg" localSheetId="5" hidden="1">1</definedName>
    <definedName name="solver_neg" localSheetId="22" hidden="1">1</definedName>
    <definedName name="solver_nod" localSheetId="1" hidden="1">2147483647</definedName>
    <definedName name="solver_nod" localSheetId="5" hidden="1">2147483647</definedName>
    <definedName name="solver_num" localSheetId="1" hidden="1">0</definedName>
    <definedName name="solver_num" localSheetId="5" hidden="1">0</definedName>
    <definedName name="solver_num" localSheetId="22" hidden="1">0</definedName>
    <definedName name="solver_nwt" localSheetId="1" hidden="1">1</definedName>
    <definedName name="solver_nwt" localSheetId="5" hidden="1">1</definedName>
    <definedName name="solver_opt" localSheetId="1" hidden="1">'BASES Model'!$B$19</definedName>
    <definedName name="solver_opt" localSheetId="22" hidden="1">'FE Cash Flow'!$B$19</definedName>
    <definedName name="solver_pre" localSheetId="1" hidden="1">0.000001</definedName>
    <definedName name="solver_pre" localSheetId="5" hidden="1">0.000001</definedName>
    <definedName name="solver_rbv" localSheetId="1" hidden="1">1</definedName>
    <definedName name="solver_rbv" localSheetId="5" hidden="1">1</definedName>
    <definedName name="solver_rlx" localSheetId="1" hidden="1">2</definedName>
    <definedName name="solver_rlx" localSheetId="5" hidden="1">2</definedName>
    <definedName name="solver_rsd" localSheetId="1" hidden="1">0</definedName>
    <definedName name="solver_rsd" localSheetId="5" hidden="1">0</definedName>
    <definedName name="solver_scl" localSheetId="1" hidden="1">1</definedName>
    <definedName name="solver_scl" localSheetId="5" hidden="1">1</definedName>
    <definedName name="solver_sho" localSheetId="1" hidden="1">2</definedName>
    <definedName name="solver_sho" localSheetId="5" hidden="1">2</definedName>
    <definedName name="solver_ssz" localSheetId="1" hidden="1">100</definedName>
    <definedName name="solver_ssz" localSheetId="5" hidden="1">100</definedName>
    <definedName name="solver_tim" localSheetId="1" hidden="1">2147483647</definedName>
    <definedName name="solver_tim" localSheetId="5" hidden="1">2147483647</definedName>
    <definedName name="solver_tol" localSheetId="1" hidden="1">0.01</definedName>
    <definedName name="solver_tol" localSheetId="5" hidden="1">0.01</definedName>
    <definedName name="solver_typ" localSheetId="1" hidden="1">1</definedName>
    <definedName name="solver_typ" localSheetId="5" hidden="1">1</definedName>
    <definedName name="solver_typ" localSheetId="22" hidden="1">1</definedName>
    <definedName name="solver_val" localSheetId="1" hidden="1">0</definedName>
    <definedName name="solver_val" localSheetId="5" hidden="1">0</definedName>
    <definedName name="solver_val" localSheetId="22" hidden="1">0</definedName>
    <definedName name="solver_ver" localSheetId="1" hidden="1">3</definedName>
    <definedName name="solver_ver" localSheetId="5" hidden="1">3</definedName>
    <definedName name="solver_ver" localSheetId="2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36" l="1"/>
  <c r="AE13" i="28"/>
  <c r="C52" i="31"/>
  <c r="AC13" i="18"/>
  <c r="U23" i="18"/>
  <c r="C11" i="13"/>
  <c r="C20" i="13"/>
  <c r="AE9" i="23"/>
  <c r="AE10" i="23"/>
  <c r="R9" i="23"/>
  <c r="AM9" i="23" s="1"/>
  <c r="AM8" i="23"/>
  <c r="AI9" i="23"/>
  <c r="I19" i="17"/>
  <c r="J29" i="8"/>
  <c r="I18" i="45"/>
  <c r="H18" i="45"/>
  <c r="G18" i="45"/>
  <c r="F18" i="45"/>
  <c r="F9" i="38"/>
  <c r="G9" i="38"/>
  <c r="H9" i="38"/>
  <c r="I9" i="38"/>
  <c r="J9" i="38"/>
  <c r="F13" i="49"/>
  <c r="G13" i="49"/>
  <c r="E13" i="49"/>
  <c r="AY23" i="45"/>
  <c r="AY24" i="45" s="1"/>
  <c r="AR23" i="45"/>
  <c r="AR24" i="45" s="1"/>
  <c r="AN16" i="45"/>
  <c r="W22" i="45"/>
  <c r="S20" i="45"/>
  <c r="S13" i="45"/>
  <c r="V8" i="45"/>
  <c r="C7" i="28"/>
  <c r="G12" i="49"/>
  <c r="U9" i="27"/>
  <c r="U10" i="27"/>
  <c r="U11" i="27"/>
  <c r="U12" i="27"/>
  <c r="U13" i="27"/>
  <c r="U14" i="27"/>
  <c r="U15" i="27"/>
  <c r="U16" i="27"/>
  <c r="U17" i="27"/>
  <c r="U8" i="27"/>
  <c r="S9" i="27"/>
  <c r="S10" i="27"/>
  <c r="S11" i="27"/>
  <c r="S12" i="27"/>
  <c r="S13" i="27"/>
  <c r="S14" i="27"/>
  <c r="S15" i="27"/>
  <c r="S16" i="27"/>
  <c r="S8" i="27"/>
  <c r="Q9" i="27"/>
  <c r="Q10" i="27"/>
  <c r="Q11" i="27"/>
  <c r="Q12" i="27"/>
  <c r="Q13" i="27"/>
  <c r="Q14" i="27"/>
  <c r="Q8" i="27"/>
  <c r="O9" i="27"/>
  <c r="O10" i="27"/>
  <c r="O11" i="27"/>
  <c r="O12" i="27"/>
  <c r="O13" i="27"/>
  <c r="F12" i="49"/>
  <c r="E12" i="49"/>
  <c r="O8" i="27"/>
  <c r="AD10" i="23"/>
  <c r="AD11" i="23"/>
  <c r="AD12" i="23"/>
  <c r="AD13" i="23"/>
  <c r="AD14" i="23"/>
  <c r="AD15" i="23"/>
  <c r="AD16" i="23"/>
  <c r="AD17" i="23"/>
  <c r="AD18" i="23"/>
  <c r="AD19" i="23"/>
  <c r="AD20" i="23"/>
  <c r="AD21" i="23"/>
  <c r="AD22" i="23"/>
  <c r="AD23" i="23"/>
  <c r="AD24" i="23"/>
  <c r="AD25" i="23"/>
  <c r="AD26" i="23"/>
  <c r="AD27" i="23"/>
  <c r="AD28" i="23"/>
  <c r="AD29" i="23"/>
  <c r="AD30" i="23"/>
  <c r="AD31" i="23"/>
  <c r="AD32" i="23"/>
  <c r="AD33" i="23"/>
  <c r="AD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9" i="23"/>
  <c r="F33" i="8"/>
  <c r="G33" i="8"/>
  <c r="H33" i="8"/>
  <c r="I33" i="8"/>
  <c r="J33" i="8"/>
  <c r="J39" i="8" s="1"/>
  <c r="J18" i="8" s="1"/>
  <c r="K33" i="8"/>
  <c r="M9" i="27"/>
  <c r="M10" i="27"/>
  <c r="M11" i="27"/>
  <c r="M12" i="27"/>
  <c r="M8" i="27"/>
  <c r="H11" i="27"/>
  <c r="H15" i="27"/>
  <c r="G10" i="27"/>
  <c r="G11" i="27"/>
  <c r="G15" i="27"/>
  <c r="F10" i="27"/>
  <c r="F11" i="27"/>
  <c r="F13" i="27"/>
  <c r="F14" i="27"/>
  <c r="F15" i="27"/>
  <c r="H12" i="27"/>
  <c r="G14" i="27"/>
  <c r="G7" i="27"/>
  <c r="E41" i="45"/>
  <c r="J40" i="45"/>
  <c r="H40" i="45"/>
  <c r="I40" i="45" s="1"/>
  <c r="AB9" i="23"/>
  <c r="I11" i="27"/>
  <c r="G13" i="27"/>
  <c r="G12" i="27"/>
  <c r="G9" i="27"/>
  <c r="G8" i="27"/>
  <c r="F12" i="27"/>
  <c r="F9" i="27"/>
  <c r="F8" i="27"/>
  <c r="H103" i="24"/>
  <c r="H102" i="24"/>
  <c r="H99" i="24"/>
  <c r="H100" i="24"/>
  <c r="I10" i="27" l="1"/>
  <c r="I9" i="27"/>
  <c r="I12" i="27"/>
  <c r="I13" i="27"/>
  <c r="I15" i="27"/>
  <c r="I7" i="27"/>
  <c r="H10" i="27"/>
  <c r="H9" i="27"/>
  <c r="H8" i="27"/>
  <c r="H13" i="27"/>
  <c r="H14" i="27"/>
  <c r="G17" i="27"/>
  <c r="F7" i="27"/>
  <c r="F17" i="27" s="1"/>
  <c r="I14" i="27"/>
  <c r="I8" i="27"/>
  <c r="I17" i="27" s="1"/>
  <c r="F40" i="45"/>
  <c r="E42" i="45"/>
  <c r="J41" i="45"/>
  <c r="H41" i="45"/>
  <c r="I41" i="45" s="1"/>
  <c r="P75" i="48"/>
  <c r="Q75" i="48"/>
  <c r="R75" i="48"/>
  <c r="S75" i="48"/>
  <c r="T75" i="48"/>
  <c r="P64" i="48"/>
  <c r="Q64" i="48"/>
  <c r="R64" i="48"/>
  <c r="S64" i="48"/>
  <c r="P53" i="48"/>
  <c r="Q53" i="48"/>
  <c r="R53" i="48"/>
  <c r="AD45" i="18"/>
  <c r="AD36" i="18"/>
  <c r="AD27" i="18"/>
  <c r="AD18" i="18"/>
  <c r="AD9" i="18"/>
  <c r="C7" i="36"/>
  <c r="C6" i="36"/>
  <c r="D80" i="17"/>
  <c r="F80" i="17"/>
  <c r="H80" i="17"/>
  <c r="J80" i="17"/>
  <c r="L80" i="17"/>
  <c r="D81" i="17"/>
  <c r="F81" i="17"/>
  <c r="H81" i="17"/>
  <c r="J81" i="17"/>
  <c r="L81" i="17"/>
  <c r="D82" i="17"/>
  <c r="F82" i="17"/>
  <c r="H82" i="17"/>
  <c r="J82" i="17"/>
  <c r="L82" i="17"/>
  <c r="D83" i="17"/>
  <c r="F83" i="17"/>
  <c r="H83" i="17"/>
  <c r="J83" i="17"/>
  <c r="L83" i="17"/>
  <c r="D84" i="17"/>
  <c r="F84" i="17"/>
  <c r="H84" i="17"/>
  <c r="J84" i="17"/>
  <c r="L84" i="17"/>
  <c r="H74" i="17"/>
  <c r="I74" i="17"/>
  <c r="J74" i="17"/>
  <c r="K74" i="17"/>
  <c r="H75" i="17"/>
  <c r="I75" i="17"/>
  <c r="J75" i="17"/>
  <c r="K75" i="17"/>
  <c r="H67" i="17"/>
  <c r="I67" i="17"/>
  <c r="J67" i="17"/>
  <c r="K67" i="17"/>
  <c r="H68" i="17"/>
  <c r="I68" i="17"/>
  <c r="J68" i="17"/>
  <c r="K68" i="17"/>
  <c r="H69" i="17"/>
  <c r="I69" i="17"/>
  <c r="J69" i="17"/>
  <c r="K69" i="17"/>
  <c r="H59" i="17"/>
  <c r="I59" i="17"/>
  <c r="J59" i="17"/>
  <c r="K59" i="17"/>
  <c r="H60" i="17"/>
  <c r="I60" i="17"/>
  <c r="J60" i="17"/>
  <c r="K60" i="17"/>
  <c r="H61" i="17"/>
  <c r="I61" i="17"/>
  <c r="J61" i="17"/>
  <c r="K61" i="17"/>
  <c r="H62" i="17"/>
  <c r="I62" i="17"/>
  <c r="J62" i="17"/>
  <c r="K62" i="17"/>
  <c r="H51" i="17"/>
  <c r="I51" i="17"/>
  <c r="J51" i="17"/>
  <c r="K51" i="17"/>
  <c r="H52" i="17"/>
  <c r="I52" i="17"/>
  <c r="J52" i="17"/>
  <c r="K52" i="17"/>
  <c r="H53" i="17"/>
  <c r="I53" i="17"/>
  <c r="J53" i="17"/>
  <c r="K53" i="17"/>
  <c r="H54" i="17"/>
  <c r="I54" i="17"/>
  <c r="J54" i="17"/>
  <c r="K54" i="17"/>
  <c r="H42" i="17"/>
  <c r="I42" i="17"/>
  <c r="J42" i="17"/>
  <c r="K42" i="17"/>
  <c r="H43" i="17"/>
  <c r="I43" i="17"/>
  <c r="J43" i="17"/>
  <c r="K43" i="17"/>
  <c r="H44" i="17"/>
  <c r="I44" i="17"/>
  <c r="J44" i="17"/>
  <c r="K44" i="17"/>
  <c r="H45" i="17"/>
  <c r="I45" i="17"/>
  <c r="J45" i="17"/>
  <c r="K45" i="17"/>
  <c r="H46" i="17"/>
  <c r="I46" i="17"/>
  <c r="J46" i="17"/>
  <c r="K46" i="17"/>
  <c r="H35" i="17"/>
  <c r="I35" i="17"/>
  <c r="J35" i="17"/>
  <c r="K35" i="17"/>
  <c r="H36" i="17"/>
  <c r="I36" i="17"/>
  <c r="J36" i="17"/>
  <c r="K36" i="17"/>
  <c r="C37" i="17"/>
  <c r="D37" i="17"/>
  <c r="E37" i="17"/>
  <c r="F37" i="17"/>
  <c r="G37" i="17"/>
  <c r="H37" i="17"/>
  <c r="I37" i="17"/>
  <c r="J37" i="17"/>
  <c r="K37" i="17"/>
  <c r="W27" i="18"/>
  <c r="U27" i="18"/>
  <c r="G9" i="7"/>
  <c r="F9" i="7"/>
  <c r="E9" i="7"/>
  <c r="D9" i="7"/>
  <c r="C9" i="7"/>
  <c r="T27" i="18"/>
  <c r="V27" i="18"/>
  <c r="X27" i="18"/>
  <c r="T28" i="18"/>
  <c r="U28" i="18"/>
  <c r="V28" i="18"/>
  <c r="W28" i="18"/>
  <c r="X28" i="18"/>
  <c r="C7" i="21"/>
  <c r="C8" i="21"/>
  <c r="C6" i="21"/>
  <c r="D6" i="48"/>
  <c r="D7" i="48"/>
  <c r="D8" i="48"/>
  <c r="D9" i="48"/>
  <c r="D10" i="48"/>
  <c r="D11" i="48"/>
  <c r="D12" i="48"/>
  <c r="D13" i="48"/>
  <c r="C12" i="48"/>
  <c r="C13" i="48"/>
  <c r="C11" i="48"/>
  <c r="C10" i="48"/>
  <c r="P42" i="48"/>
  <c r="Q42" i="48"/>
  <c r="P27" i="48"/>
  <c r="H18" i="48" s="1"/>
  <c r="C18" i="34" s="1"/>
  <c r="Q27" i="48"/>
  <c r="I18" i="48" s="1"/>
  <c r="D18" i="34" s="1"/>
  <c r="E10" i="48"/>
  <c r="E11" i="48"/>
  <c r="E12" i="48"/>
  <c r="E13" i="48"/>
  <c r="C80" i="39"/>
  <c r="C9" i="48"/>
  <c r="E9" i="48" s="1"/>
  <c r="C8" i="48"/>
  <c r="E8" i="48" s="1"/>
  <c r="C7" i="48"/>
  <c r="E7" i="48" s="1"/>
  <c r="C6" i="48"/>
  <c r="E6" i="48" s="1"/>
  <c r="C9" i="45"/>
  <c r="O21" i="45"/>
  <c r="J18" i="45"/>
  <c r="C12" i="36"/>
  <c r="F31" i="8"/>
  <c r="F30" i="8"/>
  <c r="C24" i="8"/>
  <c r="F29" i="8"/>
  <c r="C11" i="28"/>
  <c r="C10" i="28"/>
  <c r="C9" i="28"/>
  <c r="C11" i="36"/>
  <c r="C10" i="36"/>
  <c r="C9" i="36"/>
  <c r="F8" i="36" s="1"/>
  <c r="C8" i="36"/>
  <c r="F7" i="36" s="1"/>
  <c r="C5" i="48" s="1"/>
  <c r="E5" i="48" s="1"/>
  <c r="U5" i="48" s="1"/>
  <c r="C9" i="38"/>
  <c r="C10" i="38"/>
  <c r="C11" i="38"/>
  <c r="C8" i="38"/>
  <c r="C6" i="38"/>
  <c r="M7" i="38" s="1"/>
  <c r="I31" i="36" s="1"/>
  <c r="C7" i="45"/>
  <c r="C6" i="45"/>
  <c r="C13" i="39"/>
  <c r="C8" i="45" s="1"/>
  <c r="C7" i="44"/>
  <c r="C6" i="44"/>
  <c r="K13" i="21"/>
  <c r="K12" i="21"/>
  <c r="K11" i="21"/>
  <c r="K10" i="21"/>
  <c r="K9" i="21"/>
  <c r="K8" i="21"/>
  <c r="K7" i="21"/>
  <c r="L10" i="21"/>
  <c r="L11" i="21"/>
  <c r="L12" i="21"/>
  <c r="L13" i="21"/>
  <c r="L9" i="21"/>
  <c r="L7" i="21"/>
  <c r="Y12" i="28" s="1"/>
  <c r="L8" i="21"/>
  <c r="L6" i="21"/>
  <c r="F10" i="21"/>
  <c r="F11" i="21"/>
  <c r="F7" i="40"/>
  <c r="C15" i="24"/>
  <c r="B48" i="24"/>
  <c r="AN21" i="45"/>
  <c r="AK23" i="45"/>
  <c r="AJ15" i="45"/>
  <c r="AJ20" i="45"/>
  <c r="D25" i="13"/>
  <c r="D26" i="13"/>
  <c r="D27" i="13"/>
  <c r="D24" i="13"/>
  <c r="D18" i="13"/>
  <c r="D19" i="13"/>
  <c r="D20" i="13"/>
  <c r="D21" i="13"/>
  <c r="D17" i="13"/>
  <c r="D15" i="13"/>
  <c r="D11" i="13"/>
  <c r="D12" i="13"/>
  <c r="D10" i="13"/>
  <c r="D28" i="13"/>
  <c r="V15" i="45"/>
  <c r="V14" i="45"/>
  <c r="V11" i="45"/>
  <c r="V10" i="45"/>
  <c r="J16" i="45"/>
  <c r="I16" i="45"/>
  <c r="H16" i="45"/>
  <c r="I15" i="45"/>
  <c r="H15" i="45"/>
  <c r="J15" i="45"/>
  <c r="G16" i="45"/>
  <c r="F16" i="45"/>
  <c r="G15" i="45"/>
  <c r="F15" i="45"/>
  <c r="J17" i="45"/>
  <c r="I17" i="45"/>
  <c r="H17" i="45"/>
  <c r="G17" i="45"/>
  <c r="F17" i="45"/>
  <c r="O22" i="45"/>
  <c r="C12" i="34"/>
  <c r="D12" i="34"/>
  <c r="E12" i="34"/>
  <c r="F12" i="34"/>
  <c r="G12" i="34"/>
  <c r="P67" i="18"/>
  <c r="P33" i="18"/>
  <c r="BZ9" i="18"/>
  <c r="CA9" i="18"/>
  <c r="BY10" i="18"/>
  <c r="BZ10" i="18"/>
  <c r="CA10" i="18"/>
  <c r="AT27" i="18"/>
  <c r="CA12" i="18"/>
  <c r="BN16" i="18"/>
  <c r="BO16" i="18"/>
  <c r="BZ16" i="18"/>
  <c r="CA16" i="18"/>
  <c r="BN17" i="18"/>
  <c r="BO17" i="18"/>
  <c r="BY17" i="18"/>
  <c r="BZ17" i="18"/>
  <c r="CA17" i="18"/>
  <c r="BN18" i="18"/>
  <c r="BO18" i="18"/>
  <c r="BZ18" i="18"/>
  <c r="CA18" i="18"/>
  <c r="BN19" i="18"/>
  <c r="BP19" i="18"/>
  <c r="CA20" i="18"/>
  <c r="CA21" i="18"/>
  <c r="BN22" i="18"/>
  <c r="BO22" i="18"/>
  <c r="BN23" i="18"/>
  <c r="BO23" i="18"/>
  <c r="BN24" i="18"/>
  <c r="BO24" i="18"/>
  <c r="BN25" i="18"/>
  <c r="BP25" i="18"/>
  <c r="BZ25" i="18"/>
  <c r="CA25" i="18"/>
  <c r="BY26" i="18"/>
  <c r="BZ26" i="18"/>
  <c r="CA26" i="18"/>
  <c r="BZ27" i="18"/>
  <c r="CA27" i="18"/>
  <c r="BN28" i="18"/>
  <c r="BO28" i="18"/>
  <c r="BN29" i="18"/>
  <c r="BO29" i="18"/>
  <c r="CA29" i="18"/>
  <c r="BN30" i="18"/>
  <c r="BO30" i="18"/>
  <c r="CA30" i="18"/>
  <c r="BN31" i="18"/>
  <c r="BP31" i="18"/>
  <c r="BN34" i="18"/>
  <c r="BO34" i="18"/>
  <c r="BZ34" i="18"/>
  <c r="CA34" i="18"/>
  <c r="BN35" i="18"/>
  <c r="BO35" i="18"/>
  <c r="BY35" i="18"/>
  <c r="BZ35" i="18"/>
  <c r="CA35" i="18"/>
  <c r="BN36" i="18"/>
  <c r="BO36" i="18"/>
  <c r="BN37" i="18"/>
  <c r="BP37" i="18"/>
  <c r="CA37" i="18"/>
  <c r="CA38" i="18"/>
  <c r="BZ42" i="18"/>
  <c r="CA42" i="18"/>
  <c r="BY43" i="18"/>
  <c r="BZ43" i="18"/>
  <c r="CA43" i="18"/>
  <c r="CA45" i="18"/>
  <c r="CA46" i="18"/>
  <c r="BZ50" i="18"/>
  <c r="CA50" i="18"/>
  <c r="BY51" i="18"/>
  <c r="BZ51" i="18"/>
  <c r="CA51" i="18"/>
  <c r="CA53" i="18"/>
  <c r="CA54" i="18"/>
  <c r="BB12" i="18"/>
  <c r="BD12" i="18"/>
  <c r="BF12" i="18"/>
  <c r="BH12" i="18"/>
  <c r="BJ12" i="18"/>
  <c r="BB13" i="18"/>
  <c r="BD13" i="18"/>
  <c r="BF13" i="18"/>
  <c r="BH13" i="18"/>
  <c r="BJ13" i="18"/>
  <c r="BB14" i="18"/>
  <c r="BD14" i="18"/>
  <c r="BF14" i="18"/>
  <c r="BH14" i="18"/>
  <c r="BJ14" i="18"/>
  <c r="BB15" i="18"/>
  <c r="BD15" i="18"/>
  <c r="BF15" i="18"/>
  <c r="BH15" i="18"/>
  <c r="BJ15" i="18"/>
  <c r="BB16" i="18"/>
  <c r="BD16" i="18"/>
  <c r="BF16" i="18"/>
  <c r="BH16" i="18"/>
  <c r="BJ16" i="18"/>
  <c r="BB17" i="18"/>
  <c r="BD17" i="18"/>
  <c r="BF17" i="18"/>
  <c r="BH17" i="18"/>
  <c r="BJ17" i="18"/>
  <c r="BB18" i="18"/>
  <c r="BD18" i="18"/>
  <c r="BF18" i="18"/>
  <c r="BH18" i="18"/>
  <c r="BJ18" i="18"/>
  <c r="BB19" i="18"/>
  <c r="BD19" i="18"/>
  <c r="BF19" i="18"/>
  <c r="BH19" i="18"/>
  <c r="BJ19" i="18"/>
  <c r="BB20" i="18"/>
  <c r="BD20" i="18"/>
  <c r="BF20" i="18"/>
  <c r="BH20" i="18"/>
  <c r="BJ20" i="18"/>
  <c r="BB21" i="18"/>
  <c r="BD21" i="18"/>
  <c r="BF21" i="18"/>
  <c r="BH21" i="18"/>
  <c r="BJ21" i="18"/>
  <c r="AL16" i="18"/>
  <c r="AL17" i="18"/>
  <c r="AL18" i="18"/>
  <c r="AL19" i="18"/>
  <c r="AM20" i="18"/>
  <c r="AL23" i="18"/>
  <c r="AL24" i="18"/>
  <c r="AL25" i="18"/>
  <c r="AL26" i="18"/>
  <c r="AM27" i="18"/>
  <c r="AL30" i="18"/>
  <c r="AL31" i="18"/>
  <c r="AL32" i="18"/>
  <c r="AL33" i="18"/>
  <c r="AM34" i="18"/>
  <c r="AL37" i="18"/>
  <c r="AL38" i="18"/>
  <c r="AL39" i="18"/>
  <c r="AL40" i="18"/>
  <c r="AM41" i="18"/>
  <c r="T9" i="18"/>
  <c r="T15" i="18"/>
  <c r="U15" i="18"/>
  <c r="V15" i="18"/>
  <c r="W15" i="18"/>
  <c r="X15" i="18"/>
  <c r="J83" i="24"/>
  <c r="K83" i="24"/>
  <c r="J84" i="24"/>
  <c r="K84" i="24"/>
  <c r="J85" i="24"/>
  <c r="K85" i="24"/>
  <c r="J86" i="24"/>
  <c r="K86" i="24"/>
  <c r="J65" i="24"/>
  <c r="K65" i="24"/>
  <c r="J66" i="24"/>
  <c r="K66" i="24"/>
  <c r="J67" i="24"/>
  <c r="K67" i="24"/>
  <c r="J68" i="24"/>
  <c r="K68" i="24"/>
  <c r="J42" i="24"/>
  <c r="K42" i="24"/>
  <c r="J43" i="24"/>
  <c r="K43" i="24"/>
  <c r="J44" i="24"/>
  <c r="K44" i="24"/>
  <c r="J46" i="24"/>
  <c r="K46" i="24"/>
  <c r="J24" i="24"/>
  <c r="K24" i="24"/>
  <c r="J26" i="24"/>
  <c r="K26" i="24"/>
  <c r="J28" i="24"/>
  <c r="K28" i="24"/>
  <c r="J8" i="24"/>
  <c r="K8" i="24"/>
  <c r="J10" i="24"/>
  <c r="K10" i="24"/>
  <c r="AQ11" i="45"/>
  <c r="AD22" i="45"/>
  <c r="Z20" i="45" s="1"/>
  <c r="AC14" i="45"/>
  <c r="AC12" i="45"/>
  <c r="AU21" i="45"/>
  <c r="AJ19" i="45"/>
  <c r="AX20" i="45"/>
  <c r="AQ20" i="45"/>
  <c r="AJ18" i="45"/>
  <c r="AC19" i="45"/>
  <c r="AX19" i="45"/>
  <c r="AQ19" i="45"/>
  <c r="AJ17" i="45"/>
  <c r="AJ21" i="45" s="1"/>
  <c r="AC18" i="45"/>
  <c r="V19" i="45"/>
  <c r="AX18" i="45"/>
  <c r="AQ18" i="45"/>
  <c r="AC17" i="45"/>
  <c r="V18" i="45"/>
  <c r="AX17" i="45"/>
  <c r="AQ17" i="45"/>
  <c r="AQ21" i="45" s="1"/>
  <c r="AJ12" i="45"/>
  <c r="AC16" i="45"/>
  <c r="V17" i="45"/>
  <c r="AX16" i="45"/>
  <c r="V16" i="45"/>
  <c r="AJ11" i="45"/>
  <c r="AC10" i="45"/>
  <c r="AJ10" i="45"/>
  <c r="V12" i="45"/>
  <c r="AX13" i="45"/>
  <c r="AQ12" i="45"/>
  <c r="AC15" i="45"/>
  <c r="AX12" i="45"/>
  <c r="AC13" i="45"/>
  <c r="AQ14" i="45"/>
  <c r="AQ16" i="45" s="1"/>
  <c r="AJ14" i="45"/>
  <c r="AJ16" i="45" s="1"/>
  <c r="AX11" i="45"/>
  <c r="AQ10" i="45"/>
  <c r="AX10" i="45"/>
  <c r="AX9" i="45"/>
  <c r="AQ9" i="45"/>
  <c r="AJ9" i="45"/>
  <c r="AC9" i="45"/>
  <c r="V9" i="45"/>
  <c r="V13" i="45" s="1"/>
  <c r="AX8" i="45"/>
  <c r="AQ8" i="45"/>
  <c r="AQ13" i="45" s="1"/>
  <c r="AJ8" i="45"/>
  <c r="AJ13" i="45" s="1"/>
  <c r="AC8" i="45"/>
  <c r="AC11" i="45" s="1"/>
  <c r="L13" i="42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5" i="23"/>
  <c r="AB26" i="23"/>
  <c r="AB27" i="23"/>
  <c r="AB28" i="23"/>
  <c r="AB29" i="23"/>
  <c r="AB30" i="23"/>
  <c r="AB31" i="23"/>
  <c r="AB32" i="23"/>
  <c r="AB33" i="23"/>
  <c r="AA10" i="23"/>
  <c r="AA11" i="23"/>
  <c r="AA12" i="23"/>
  <c r="AA13" i="23"/>
  <c r="AA14" i="23"/>
  <c r="AA15" i="23"/>
  <c r="AA16" i="23"/>
  <c r="AA17" i="23"/>
  <c r="AA18" i="23"/>
  <c r="AA19" i="23"/>
  <c r="AA20" i="23"/>
  <c r="AA21" i="23"/>
  <c r="AA22" i="23"/>
  <c r="AA23" i="23"/>
  <c r="AA24" i="23"/>
  <c r="AA25" i="23"/>
  <c r="AA26" i="23"/>
  <c r="AA27" i="23"/>
  <c r="AA28" i="23"/>
  <c r="AA29" i="23"/>
  <c r="AA30" i="23"/>
  <c r="AA31" i="23"/>
  <c r="AA32" i="23"/>
  <c r="AA33" i="23"/>
  <c r="AA9" i="23"/>
  <c r="F13" i="21"/>
  <c r="Y17" i="28"/>
  <c r="Y77" i="28"/>
  <c r="V77" i="28"/>
  <c r="Y62" i="28"/>
  <c r="V62" i="28"/>
  <c r="V17" i="28"/>
  <c r="Y47" i="28"/>
  <c r="V47" i="28"/>
  <c r="Y32" i="28"/>
  <c r="V32" i="28"/>
  <c r="J22" i="36"/>
  <c r="L22" i="36" s="1"/>
  <c r="O7" i="3"/>
  <c r="M7" i="3"/>
  <c r="K7" i="3"/>
  <c r="I7" i="3"/>
  <c r="G7" i="3"/>
  <c r="L9" i="42"/>
  <c r="L25" i="42"/>
  <c r="L16" i="42"/>
  <c r="L22" i="42"/>
  <c r="I14" i="42"/>
  <c r="I17" i="42" s="1"/>
  <c r="I18" i="42" s="1"/>
  <c r="J29" i="42"/>
  <c r="I6" i="21"/>
  <c r="K6" i="21" s="1"/>
  <c r="J26" i="37"/>
  <c r="J31" i="37"/>
  <c r="J30" i="37"/>
  <c r="J29" i="37"/>
  <c r="J28" i="37"/>
  <c r="J27" i="37"/>
  <c r="D30" i="37"/>
  <c r="D29" i="37"/>
  <c r="D28" i="37"/>
  <c r="D27" i="37"/>
  <c r="D26" i="37"/>
  <c r="E70" i="37"/>
  <c r="D67" i="37"/>
  <c r="N44" i="37"/>
  <c r="E65" i="37"/>
  <c r="N43" i="37"/>
  <c r="D62" i="37"/>
  <c r="H141" i="37"/>
  <c r="E55" i="37"/>
  <c r="H138" i="37"/>
  <c r="D52" i="37"/>
  <c r="K50" i="37"/>
  <c r="N41" i="37" s="1"/>
  <c r="H135" i="37"/>
  <c r="K49" i="37"/>
  <c r="J49" i="37"/>
  <c r="J50" i="37" s="1"/>
  <c r="N40" i="37" s="1"/>
  <c r="I49" i="37"/>
  <c r="I50" i="37" s="1"/>
  <c r="N39" i="37" s="1"/>
  <c r="E50" i="37"/>
  <c r="D47" i="37"/>
  <c r="H130" i="37"/>
  <c r="H127" i="37"/>
  <c r="H124" i="37"/>
  <c r="F38" i="37"/>
  <c r="E38" i="37"/>
  <c r="F37" i="37"/>
  <c r="E37" i="37"/>
  <c r="F36" i="37"/>
  <c r="E36" i="37"/>
  <c r="H121" i="37"/>
  <c r="H118" i="37"/>
  <c r="L31" i="37"/>
  <c r="K31" i="37"/>
  <c r="I31" i="37"/>
  <c r="H115" i="37"/>
  <c r="L30" i="37"/>
  <c r="K30" i="37"/>
  <c r="I30" i="37"/>
  <c r="L29" i="37"/>
  <c r="K29" i="37"/>
  <c r="D38" i="37"/>
  <c r="I29" i="37"/>
  <c r="C38" i="37" s="1"/>
  <c r="L28" i="37"/>
  <c r="K28" i="37"/>
  <c r="I28" i="37"/>
  <c r="H112" i="37"/>
  <c r="L27" i="37"/>
  <c r="K27" i="37"/>
  <c r="D37" i="37"/>
  <c r="I27" i="37"/>
  <c r="C37" i="37" s="1"/>
  <c r="L26" i="37"/>
  <c r="K26" i="37"/>
  <c r="I26" i="37"/>
  <c r="H109" i="37"/>
  <c r="H106" i="37"/>
  <c r="F30" i="37"/>
  <c r="E30" i="37"/>
  <c r="C30" i="37"/>
  <c r="F29" i="37"/>
  <c r="E29" i="37"/>
  <c r="C29" i="37"/>
  <c r="H103" i="37"/>
  <c r="F28" i="37"/>
  <c r="E28" i="37"/>
  <c r="C28" i="37"/>
  <c r="F27" i="37"/>
  <c r="E27" i="37"/>
  <c r="D36" i="37"/>
  <c r="C27" i="37"/>
  <c r="C36" i="37" s="1"/>
  <c r="F26" i="37"/>
  <c r="E26" i="37"/>
  <c r="C26" i="37"/>
  <c r="H100" i="37"/>
  <c r="F6" i="36"/>
  <c r="J6" i="44" s="1"/>
  <c r="C8" i="28"/>
  <c r="D22" i="37"/>
  <c r="J22" i="37" s="1"/>
  <c r="D20" i="37"/>
  <c r="J20" i="37" s="1"/>
  <c r="N17" i="37"/>
  <c r="M17" i="37"/>
  <c r="L17" i="37"/>
  <c r="K17" i="37"/>
  <c r="J17" i="37"/>
  <c r="I17" i="37"/>
  <c r="H17" i="37"/>
  <c r="G17" i="37"/>
  <c r="F17" i="37"/>
  <c r="N16" i="37"/>
  <c r="M16" i="37"/>
  <c r="L16" i="37"/>
  <c r="K16" i="37"/>
  <c r="J16" i="37"/>
  <c r="I16" i="37"/>
  <c r="H16" i="37"/>
  <c r="G16" i="37"/>
  <c r="F16" i="37"/>
  <c r="F21" i="8"/>
  <c r="C33" i="24"/>
  <c r="C9" i="35"/>
  <c r="B14" i="33"/>
  <c r="D21" i="37" l="1"/>
  <c r="J21" i="37" s="1"/>
  <c r="AG13" i="45"/>
  <c r="AK24" i="45"/>
  <c r="AC20" i="45"/>
  <c r="AD6" i="45" s="1"/>
  <c r="V20" i="45"/>
  <c r="W6" i="45" s="1"/>
  <c r="H7" i="27"/>
  <c r="H17" i="27" s="1"/>
  <c r="J10" i="27"/>
  <c r="J9" i="27"/>
  <c r="J8" i="27"/>
  <c r="J12" i="27"/>
  <c r="J13" i="27"/>
  <c r="J14" i="27"/>
  <c r="J11" i="27"/>
  <c r="J15" i="27"/>
  <c r="J7" i="27"/>
  <c r="J17" i="27" s="1"/>
  <c r="G40" i="45"/>
  <c r="F41" i="45"/>
  <c r="G41" i="45" s="1"/>
  <c r="H42" i="45"/>
  <c r="I42" i="45"/>
  <c r="J42" i="45"/>
  <c r="F42" i="45" s="1"/>
  <c r="G42" i="45" s="1"/>
  <c r="E43" i="45"/>
  <c r="I10" i="24"/>
  <c r="I42" i="24"/>
  <c r="I83" i="24"/>
  <c r="I24" i="24"/>
  <c r="I26" i="24"/>
  <c r="I66" i="24"/>
  <c r="I65" i="24"/>
  <c r="I8" i="24"/>
  <c r="I68" i="24"/>
  <c r="I28" i="24"/>
  <c r="I67" i="24"/>
  <c r="I46" i="24"/>
  <c r="I86" i="24"/>
  <c r="I44" i="24"/>
  <c r="I85" i="24"/>
  <c r="I43" i="24"/>
  <c r="I84" i="24"/>
  <c r="AT28" i="18"/>
  <c r="P36" i="18" s="1"/>
  <c r="T7" i="48"/>
  <c r="U13" i="48"/>
  <c r="T13" i="48"/>
  <c r="T11" i="48"/>
  <c r="T10" i="48"/>
  <c r="U74" i="48"/>
  <c r="T63" i="48"/>
  <c r="U63" i="48"/>
  <c r="T52" i="48"/>
  <c r="U52" i="48"/>
  <c r="S52" i="48"/>
  <c r="Q5" i="48"/>
  <c r="R5" i="48"/>
  <c r="S5" i="48"/>
  <c r="T5" i="48"/>
  <c r="P5" i="48"/>
  <c r="S41" i="48"/>
  <c r="S26" i="48" s="1"/>
  <c r="T41" i="48"/>
  <c r="T26" i="48" s="1"/>
  <c r="U41" i="48"/>
  <c r="U26" i="48" s="1"/>
  <c r="R41" i="48"/>
  <c r="R26" i="48" s="1"/>
  <c r="Q13" i="48"/>
  <c r="R13" i="48"/>
  <c r="S13" i="48"/>
  <c r="P13" i="48"/>
  <c r="S11" i="48"/>
  <c r="S10" i="48"/>
  <c r="F14" i="45"/>
  <c r="Z11" i="45"/>
  <c r="G14" i="45"/>
  <c r="G9" i="45"/>
  <c r="H9" i="45"/>
  <c r="I9" i="45"/>
  <c r="J9" i="45"/>
  <c r="J16" i="38" s="1"/>
  <c r="M33" i="36" s="1"/>
  <c r="F9" i="45"/>
  <c r="G7" i="45"/>
  <c r="H7" i="45"/>
  <c r="I7" i="45"/>
  <c r="J7" i="45"/>
  <c r="J11" i="38" s="1"/>
  <c r="F7" i="45"/>
  <c r="G8" i="45"/>
  <c r="H8" i="45"/>
  <c r="I8" i="45"/>
  <c r="J8" i="45"/>
  <c r="F8" i="45"/>
  <c r="M10" i="38"/>
  <c r="M11" i="38" s="1"/>
  <c r="M8" i="38"/>
  <c r="I32" i="36" s="1"/>
  <c r="N7" i="38"/>
  <c r="J31" i="36" s="1"/>
  <c r="J8" i="44"/>
  <c r="F20" i="44"/>
  <c r="F13" i="44"/>
  <c r="AG16" i="45"/>
  <c r="AU16" i="45"/>
  <c r="AX14" i="45"/>
  <c r="AX21" i="45"/>
  <c r="AN13" i="45"/>
  <c r="I14" i="45"/>
  <c r="H14" i="45"/>
  <c r="W23" i="45"/>
  <c r="AU14" i="45"/>
  <c r="J14" i="45"/>
  <c r="AD23" i="45"/>
  <c r="AG21" i="45"/>
  <c r="BJ11" i="18"/>
  <c r="BH11" i="18"/>
  <c r="BF11" i="18"/>
  <c r="BD11" i="18"/>
  <c r="BB11" i="18"/>
  <c r="H31" i="21"/>
  <c r="I31" i="21"/>
  <c r="J31" i="21"/>
  <c r="G31" i="21"/>
  <c r="J33" i="21"/>
  <c r="U77" i="28" s="1"/>
  <c r="I33" i="21"/>
  <c r="U62" i="28" s="1"/>
  <c r="H33" i="21"/>
  <c r="U47" i="28" s="1"/>
  <c r="G33" i="21"/>
  <c r="U32" i="28" s="1"/>
  <c r="F33" i="21"/>
  <c r="U17" i="28" s="1"/>
  <c r="J29" i="21"/>
  <c r="U73" i="28" s="1"/>
  <c r="I29" i="21"/>
  <c r="U58" i="28" s="1"/>
  <c r="H29" i="21"/>
  <c r="U43" i="28" s="1"/>
  <c r="G29" i="21"/>
  <c r="U28" i="28" s="1"/>
  <c r="F29" i="21"/>
  <c r="U13" i="28" s="1"/>
  <c r="T11" i="3"/>
  <c r="C50" i="31"/>
  <c r="C13" i="34" s="1"/>
  <c r="G26" i="37"/>
  <c r="G27" i="37"/>
  <c r="G28" i="37"/>
  <c r="G29" i="37"/>
  <c r="G30" i="37"/>
  <c r="M26" i="37"/>
  <c r="M27" i="37"/>
  <c r="M28" i="37"/>
  <c r="M29" i="37"/>
  <c r="M30" i="37"/>
  <c r="M31" i="37"/>
  <c r="G36" i="37"/>
  <c r="G37" i="37"/>
  <c r="G38" i="37"/>
  <c r="D49" i="37"/>
  <c r="E47" i="37"/>
  <c r="D64" i="37"/>
  <c r="E62" i="37"/>
  <c r="N42" i="37" s="1"/>
  <c r="J7" i="36"/>
  <c r="K7" i="36"/>
  <c r="L7" i="36"/>
  <c r="M7" i="36"/>
  <c r="I8" i="36"/>
  <c r="J7" i="44" s="1"/>
  <c r="I7" i="36"/>
  <c r="B11" i="34"/>
  <c r="H43" i="45" l="1"/>
  <c r="I43" i="45"/>
  <c r="J43" i="45"/>
  <c r="F43" i="45" s="1"/>
  <c r="G43" i="45" s="1"/>
  <c r="E44" i="45"/>
  <c r="F11" i="38"/>
  <c r="F16" i="38"/>
  <c r="I33" i="36" s="1"/>
  <c r="I11" i="38"/>
  <c r="I16" i="38"/>
  <c r="L33" i="36" s="1"/>
  <c r="H16" i="38"/>
  <c r="K33" i="36" s="1"/>
  <c r="H11" i="38"/>
  <c r="G11" i="38"/>
  <c r="G16" i="38"/>
  <c r="J33" i="36" s="1"/>
  <c r="BA22" i="18"/>
  <c r="BC22" i="18"/>
  <c r="BE22" i="18"/>
  <c r="BG22" i="18"/>
  <c r="BI22" i="18"/>
  <c r="F35" i="8"/>
  <c r="F41" i="8" s="1"/>
  <c r="F20" i="8" s="1"/>
  <c r="F39" i="8"/>
  <c r="F18" i="8" s="1"/>
  <c r="G35" i="8"/>
  <c r="G41" i="8" s="1"/>
  <c r="G20" i="8" s="1"/>
  <c r="G39" i="8"/>
  <c r="G18" i="8" s="1"/>
  <c r="N10" i="38"/>
  <c r="N11" i="38" s="1"/>
  <c r="N8" i="38"/>
  <c r="O7" i="38"/>
  <c r="K31" i="36" s="1"/>
  <c r="F14" i="44"/>
  <c r="AK6" i="45"/>
  <c r="AR6" i="45"/>
  <c r="AY6" i="45"/>
  <c r="G40" i="37"/>
  <c r="N38" i="37" s="1"/>
  <c r="G39" i="37"/>
  <c r="M33" i="37"/>
  <c r="N37" i="37" s="1"/>
  <c r="M32" i="37"/>
  <c r="G32" i="37"/>
  <c r="N36" i="37" s="1"/>
  <c r="G31" i="37"/>
  <c r="J32" i="36" l="1"/>
  <c r="H44" i="45"/>
  <c r="I44" i="45"/>
  <c r="J44" i="45"/>
  <c r="F44" i="45" s="1"/>
  <c r="G44" i="45" s="1"/>
  <c r="E45" i="45"/>
  <c r="K35" i="8"/>
  <c r="K39" i="8"/>
  <c r="K18" i="8" s="1"/>
  <c r="J35" i="8"/>
  <c r="K10" i="48"/>
  <c r="I35" i="8"/>
  <c r="H10" i="48"/>
  <c r="U10" i="48" s="1"/>
  <c r="H12" i="48"/>
  <c r="P7" i="38"/>
  <c r="L31" i="36" s="1"/>
  <c r="O10" i="38"/>
  <c r="O11" i="38" s="1"/>
  <c r="O8" i="38"/>
  <c r="AR13" i="45"/>
  <c r="AR16" i="45"/>
  <c r="AR25" i="45"/>
  <c r="AK21" i="45"/>
  <c r="AK25" i="45"/>
  <c r="AR21" i="45"/>
  <c r="AK16" i="45"/>
  <c r="AY16" i="45"/>
  <c r="AY25" i="45"/>
  <c r="AY21" i="45"/>
  <c r="AY14" i="45"/>
  <c r="T45" i="3"/>
  <c r="E50" i="31"/>
  <c r="E13" i="34" s="1"/>
  <c r="T28" i="3"/>
  <c r="D50" i="31"/>
  <c r="D13" i="34" s="1"/>
  <c r="K32" i="36" l="1"/>
  <c r="H45" i="45"/>
  <c r="I45" i="45"/>
  <c r="J45" i="45"/>
  <c r="F45" i="45" s="1"/>
  <c r="G45" i="45" s="1"/>
  <c r="E46" i="45"/>
  <c r="U12" i="48"/>
  <c r="T12" i="48"/>
  <c r="Q12" i="48"/>
  <c r="R12" i="48"/>
  <c r="S12" i="48"/>
  <c r="P12" i="48"/>
  <c r="Q10" i="48"/>
  <c r="R10" i="48"/>
  <c r="P10" i="48"/>
  <c r="H35" i="8"/>
  <c r="H41" i="8" s="1"/>
  <c r="H39" i="8"/>
  <c r="I39" i="8"/>
  <c r="I41" i="8"/>
  <c r="J41" i="8"/>
  <c r="L10" i="48"/>
  <c r="U71" i="48" s="1"/>
  <c r="K41" i="8"/>
  <c r="Q7" i="38"/>
  <c r="M31" i="36" s="1"/>
  <c r="P10" i="38"/>
  <c r="P11" i="38" s="1"/>
  <c r="P8" i="38"/>
  <c r="AY27" i="45"/>
  <c r="J20" i="45" s="1"/>
  <c r="AR27" i="45"/>
  <c r="I20" i="45" s="1"/>
  <c r="T79" i="3"/>
  <c r="G50" i="31"/>
  <c r="G13" i="34" s="1"/>
  <c r="T62" i="3"/>
  <c r="F50" i="31"/>
  <c r="F13" i="34" s="1"/>
  <c r="L32" i="36" l="1"/>
  <c r="H46" i="45"/>
  <c r="I46" i="45"/>
  <c r="J46" i="45"/>
  <c r="F46" i="45" s="1"/>
  <c r="G46" i="45" s="1"/>
  <c r="E47" i="45"/>
  <c r="T60" i="48"/>
  <c r="U60" i="48"/>
  <c r="L12" i="48"/>
  <c r="U73" i="48" s="1"/>
  <c r="K20" i="8"/>
  <c r="K12" i="48"/>
  <c r="J20" i="8"/>
  <c r="J12" i="48"/>
  <c r="I20" i="8"/>
  <c r="J10" i="48"/>
  <c r="I18" i="8"/>
  <c r="I10" i="48"/>
  <c r="H18" i="8"/>
  <c r="I12" i="48"/>
  <c r="H20" i="8"/>
  <c r="Q10" i="38"/>
  <c r="Q11" i="38" s="1"/>
  <c r="Q8" i="38"/>
  <c r="M32" i="36" l="1"/>
  <c r="H47" i="45"/>
  <c r="I47" i="45"/>
  <c r="J47" i="45"/>
  <c r="F47" i="45" s="1"/>
  <c r="G47" i="45" s="1"/>
  <c r="E48" i="45"/>
  <c r="T38" i="48"/>
  <c r="U38" i="48"/>
  <c r="T62" i="48"/>
  <c r="U62" i="48"/>
  <c r="T49" i="48"/>
  <c r="T23" i="48" s="1"/>
  <c r="U49" i="48"/>
  <c r="U23" i="48" s="1"/>
  <c r="S49" i="48"/>
  <c r="T51" i="48"/>
  <c r="U51" i="48"/>
  <c r="S51" i="48"/>
  <c r="S40" i="48"/>
  <c r="S25" i="48" s="1"/>
  <c r="T40" i="48"/>
  <c r="T25" i="48" s="1"/>
  <c r="U40" i="48"/>
  <c r="U25" i="48" s="1"/>
  <c r="R40" i="48"/>
  <c r="R25" i="48" s="1"/>
  <c r="S38" i="48"/>
  <c r="S23" i="48" s="1"/>
  <c r="R38" i="48"/>
  <c r="R23" i="48" s="1"/>
  <c r="Z77" i="28"/>
  <c r="Y76" i="28"/>
  <c r="V76" i="28"/>
  <c r="Y75" i="28"/>
  <c r="V75" i="28"/>
  <c r="Y74" i="28"/>
  <c r="V74" i="28"/>
  <c r="Y73" i="28"/>
  <c r="V73" i="28"/>
  <c r="Y72" i="28"/>
  <c r="Z72" i="28" s="1"/>
  <c r="V72" i="28"/>
  <c r="Y71" i="28"/>
  <c r="Z71" i="28" s="1"/>
  <c r="V71" i="28"/>
  <c r="Y61" i="28"/>
  <c r="V61" i="28"/>
  <c r="Y60" i="28"/>
  <c r="V60" i="28"/>
  <c r="Y59" i="28"/>
  <c r="V59" i="28"/>
  <c r="Y58" i="28"/>
  <c r="V58" i="28"/>
  <c r="Y57" i="28"/>
  <c r="V57" i="28"/>
  <c r="Y56" i="28"/>
  <c r="Z56" i="28" s="1"/>
  <c r="V56" i="28"/>
  <c r="Y46" i="28"/>
  <c r="Z46" i="28" s="1"/>
  <c r="V46" i="28"/>
  <c r="Y45" i="28"/>
  <c r="Z45" i="28" s="1"/>
  <c r="V45" i="28"/>
  <c r="Y44" i="28"/>
  <c r="Z44" i="28" s="1"/>
  <c r="V44" i="28"/>
  <c r="Y43" i="28"/>
  <c r="V43" i="28"/>
  <c r="Y42" i="28"/>
  <c r="V42" i="28"/>
  <c r="Y41" i="28"/>
  <c r="V41" i="28"/>
  <c r="V26" i="28"/>
  <c r="Y26" i="28"/>
  <c r="Z26" i="28" s="1"/>
  <c r="V27" i="28"/>
  <c r="Y27" i="28"/>
  <c r="Z27" i="28" s="1"/>
  <c r="V28" i="28"/>
  <c r="Y28" i="28"/>
  <c r="Z28" i="28" s="1"/>
  <c r="V29" i="28"/>
  <c r="Y29" i="28"/>
  <c r="Z29" i="28" s="1"/>
  <c r="V30" i="28"/>
  <c r="Y30" i="28"/>
  <c r="Z30" i="28" s="1"/>
  <c r="V31" i="28"/>
  <c r="Y31" i="28"/>
  <c r="Z31" i="28" s="1"/>
  <c r="Z32" i="28"/>
  <c r="Z17" i="28"/>
  <c r="Y16" i="28"/>
  <c r="Z16" i="28" s="1"/>
  <c r="Y15" i="28"/>
  <c r="Z15" i="28" s="1"/>
  <c r="Y14" i="28"/>
  <c r="Z14" i="28" s="1"/>
  <c r="Y13" i="28"/>
  <c r="Z13" i="28" s="1"/>
  <c r="Z12" i="28"/>
  <c r="Y11" i="28"/>
  <c r="Z11" i="28" s="1"/>
  <c r="V16" i="28"/>
  <c r="V15" i="28"/>
  <c r="V14" i="28"/>
  <c r="V13" i="28"/>
  <c r="V12" i="28"/>
  <c r="V11" i="28"/>
  <c r="G36" i="31"/>
  <c r="F36" i="31"/>
  <c r="D22" i="13"/>
  <c r="B29" i="24"/>
  <c r="B30" i="24"/>
  <c r="H48" i="45" l="1"/>
  <c r="I48" i="45"/>
  <c r="J48" i="45"/>
  <c r="F48" i="45" s="1"/>
  <c r="G48" i="45" s="1"/>
  <c r="E49" i="45"/>
  <c r="Z76" i="28"/>
  <c r="Z73" i="28"/>
  <c r="Z74" i="28"/>
  <c r="Z75" i="28"/>
  <c r="Z62" i="28"/>
  <c r="Z61" i="28"/>
  <c r="Z57" i="28"/>
  <c r="Z58" i="28"/>
  <c r="Z59" i="28"/>
  <c r="Z60" i="28"/>
  <c r="Z47" i="28"/>
  <c r="Z42" i="28"/>
  <c r="Z43" i="28"/>
  <c r="Z41" i="28"/>
  <c r="H49" i="45" l="1"/>
  <c r="I49" i="45"/>
  <c r="J49" i="45"/>
  <c r="F49" i="45" s="1"/>
  <c r="G49" i="45" s="1"/>
  <c r="E50" i="45"/>
  <c r="D17" i="17"/>
  <c r="D18" i="17"/>
  <c r="D19" i="17"/>
  <c r="D20" i="17"/>
  <c r="D16" i="17"/>
  <c r="D9" i="13"/>
  <c r="C10" i="13"/>
  <c r="C71" i="24"/>
  <c r="C12" i="13"/>
  <c r="C53" i="24" s="1"/>
  <c r="D13" i="13"/>
  <c r="D14" i="13"/>
  <c r="C15" i="13"/>
  <c r="D16" i="13"/>
  <c r="C17" i="13"/>
  <c r="C18" i="13"/>
  <c r="C19" i="13"/>
  <c r="C29" i="24"/>
  <c r="C21" i="13"/>
  <c r="D23" i="13"/>
  <c r="C24" i="13"/>
  <c r="C26" i="13" s="1"/>
  <c r="C88" i="24" s="1"/>
  <c r="C25" i="13"/>
  <c r="C87" i="24" s="1"/>
  <c r="C27" i="13"/>
  <c r="Z33" i="23"/>
  <c r="Y33" i="23"/>
  <c r="X33" i="23"/>
  <c r="W33" i="23"/>
  <c r="V33" i="23"/>
  <c r="U33" i="23"/>
  <c r="T33" i="23"/>
  <c r="S33" i="23"/>
  <c r="Z32" i="23"/>
  <c r="Y32" i="23"/>
  <c r="X32" i="23"/>
  <c r="W32" i="23"/>
  <c r="V32" i="23"/>
  <c r="U32" i="23"/>
  <c r="T32" i="23"/>
  <c r="S32" i="23"/>
  <c r="Z31" i="23"/>
  <c r="Y31" i="23"/>
  <c r="X31" i="23"/>
  <c r="W31" i="23"/>
  <c r="V31" i="23"/>
  <c r="U31" i="23"/>
  <c r="T31" i="23"/>
  <c r="S31" i="23"/>
  <c r="Z30" i="23"/>
  <c r="Y30" i="23"/>
  <c r="X30" i="23"/>
  <c r="W30" i="23"/>
  <c r="V30" i="23"/>
  <c r="U30" i="23"/>
  <c r="T30" i="23"/>
  <c r="S30" i="23"/>
  <c r="Z29" i="23"/>
  <c r="Y29" i="23"/>
  <c r="X29" i="23"/>
  <c r="W29" i="23"/>
  <c r="V29" i="23"/>
  <c r="U29" i="23"/>
  <c r="T29" i="23"/>
  <c r="S29" i="23"/>
  <c r="Z28" i="23"/>
  <c r="Y28" i="23"/>
  <c r="X28" i="23"/>
  <c r="W28" i="23"/>
  <c r="V28" i="23"/>
  <c r="U28" i="23"/>
  <c r="T28" i="23"/>
  <c r="S28" i="23"/>
  <c r="Z27" i="23"/>
  <c r="Y27" i="23"/>
  <c r="X27" i="23"/>
  <c r="W27" i="23"/>
  <c r="V27" i="23"/>
  <c r="U27" i="23"/>
  <c r="T27" i="23"/>
  <c r="S27" i="23"/>
  <c r="Z26" i="23"/>
  <c r="Y26" i="23"/>
  <c r="X26" i="23"/>
  <c r="W26" i="23"/>
  <c r="V26" i="23"/>
  <c r="U26" i="23"/>
  <c r="T26" i="23"/>
  <c r="S26" i="23"/>
  <c r="Z25" i="23"/>
  <c r="Y25" i="23"/>
  <c r="X25" i="23"/>
  <c r="W25" i="23"/>
  <c r="V25" i="23"/>
  <c r="U25" i="23"/>
  <c r="T25" i="23"/>
  <c r="S25" i="23"/>
  <c r="Z24" i="23"/>
  <c r="Y24" i="23"/>
  <c r="X24" i="23"/>
  <c r="W24" i="23"/>
  <c r="V24" i="23"/>
  <c r="U24" i="23"/>
  <c r="T24" i="23"/>
  <c r="S24" i="23"/>
  <c r="Z23" i="23"/>
  <c r="Y23" i="23"/>
  <c r="X23" i="23"/>
  <c r="W23" i="23"/>
  <c r="V23" i="23"/>
  <c r="U23" i="23"/>
  <c r="T23" i="23"/>
  <c r="S23" i="23"/>
  <c r="Z22" i="23"/>
  <c r="Y22" i="23"/>
  <c r="X22" i="23"/>
  <c r="W22" i="23"/>
  <c r="V22" i="23"/>
  <c r="U22" i="23"/>
  <c r="T22" i="23"/>
  <c r="S22" i="23"/>
  <c r="Z21" i="23"/>
  <c r="Y21" i="23"/>
  <c r="X21" i="23"/>
  <c r="W21" i="23"/>
  <c r="V21" i="23"/>
  <c r="U21" i="23"/>
  <c r="T21" i="23"/>
  <c r="S21" i="23"/>
  <c r="Z20" i="23"/>
  <c r="Y20" i="23"/>
  <c r="X20" i="23"/>
  <c r="W20" i="23"/>
  <c r="V20" i="23"/>
  <c r="U20" i="23"/>
  <c r="T20" i="23"/>
  <c r="S20" i="23"/>
  <c r="Z19" i="23"/>
  <c r="Y19" i="23"/>
  <c r="X19" i="23"/>
  <c r="W19" i="23"/>
  <c r="V19" i="23"/>
  <c r="U19" i="23"/>
  <c r="T19" i="23"/>
  <c r="S19" i="23"/>
  <c r="Z18" i="23"/>
  <c r="Y18" i="23"/>
  <c r="X18" i="23"/>
  <c r="W18" i="23"/>
  <c r="V18" i="23"/>
  <c r="U18" i="23"/>
  <c r="T18" i="23"/>
  <c r="S18" i="23"/>
  <c r="Z17" i="23"/>
  <c r="Y17" i="23"/>
  <c r="X17" i="23"/>
  <c r="W17" i="23"/>
  <c r="V17" i="23"/>
  <c r="U17" i="23"/>
  <c r="T17" i="23"/>
  <c r="S17" i="23"/>
  <c r="Z16" i="23"/>
  <c r="Y16" i="23"/>
  <c r="X16" i="23"/>
  <c r="W16" i="23"/>
  <c r="V16" i="23"/>
  <c r="U16" i="23"/>
  <c r="T16" i="23"/>
  <c r="S16" i="23"/>
  <c r="Z15" i="23"/>
  <c r="Y15" i="23"/>
  <c r="X15" i="23"/>
  <c r="W15" i="23"/>
  <c r="V15" i="23"/>
  <c r="U15" i="23"/>
  <c r="T15" i="23"/>
  <c r="S15" i="23"/>
  <c r="Z14" i="23"/>
  <c r="Y14" i="23"/>
  <c r="X14" i="23"/>
  <c r="W14" i="23"/>
  <c r="V14" i="23"/>
  <c r="U14" i="23"/>
  <c r="T14" i="23"/>
  <c r="S14" i="23"/>
  <c r="Z13" i="23"/>
  <c r="Y13" i="23"/>
  <c r="X13" i="23"/>
  <c r="W13" i="23"/>
  <c r="V13" i="23"/>
  <c r="U13" i="23"/>
  <c r="T13" i="23"/>
  <c r="S13" i="23"/>
  <c r="Z12" i="23"/>
  <c r="Y12" i="23"/>
  <c r="X12" i="23"/>
  <c r="W12" i="23"/>
  <c r="V12" i="23"/>
  <c r="U12" i="23"/>
  <c r="T12" i="23"/>
  <c r="S12" i="23"/>
  <c r="Z11" i="23"/>
  <c r="Y11" i="23"/>
  <c r="X11" i="23"/>
  <c r="W11" i="23"/>
  <c r="V11" i="23"/>
  <c r="U11" i="23"/>
  <c r="T11" i="23"/>
  <c r="S11" i="23"/>
  <c r="Z10" i="23"/>
  <c r="Y10" i="23"/>
  <c r="X10" i="23"/>
  <c r="W10" i="23"/>
  <c r="V10" i="23"/>
  <c r="U10" i="23"/>
  <c r="T10" i="23"/>
  <c r="S10" i="23"/>
  <c r="Z9" i="23"/>
  <c r="Y9" i="23"/>
  <c r="X9" i="23"/>
  <c r="W9" i="23"/>
  <c r="V9" i="23"/>
  <c r="U9" i="23"/>
  <c r="T9" i="23"/>
  <c r="S9" i="23"/>
  <c r="F38" i="23"/>
  <c r="G38" i="23"/>
  <c r="F39" i="23"/>
  <c r="G39" i="23"/>
  <c r="F40" i="23"/>
  <c r="G40" i="23"/>
  <c r="F41" i="23"/>
  <c r="G41" i="23"/>
  <c r="G37" i="23"/>
  <c r="F3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G7" i="23"/>
  <c r="F7" i="23"/>
  <c r="B86" i="24"/>
  <c r="C84" i="24"/>
  <c r="B69" i="24"/>
  <c r="B68" i="24"/>
  <c r="C66" i="24"/>
  <c r="B57" i="24"/>
  <c r="B56" i="24"/>
  <c r="C51" i="24"/>
  <c r="C17" i="24"/>
  <c r="C16" i="24"/>
  <c r="B44" i="24"/>
  <c r="B45" i="24"/>
  <c r="B46" i="24"/>
  <c r="B47" i="24"/>
  <c r="B26" i="24"/>
  <c r="B27" i="24"/>
  <c r="B28" i="24"/>
  <c r="B35" i="24"/>
  <c r="C35" i="24" s="1"/>
  <c r="B10" i="24"/>
  <c r="B11" i="24"/>
  <c r="B12" i="24"/>
  <c r="B13" i="24"/>
  <c r="B14" i="24"/>
  <c r="G32" i="23"/>
  <c r="C71" i="23"/>
  <c r="C58" i="23"/>
  <c r="F7" i="21"/>
  <c r="P134" i="18"/>
  <c r="P169" i="18"/>
  <c r="O169" i="18"/>
  <c r="P167" i="18"/>
  <c r="O167" i="18"/>
  <c r="O170" i="18"/>
  <c r="P171" i="18"/>
  <c r="O171" i="18"/>
  <c r="O179" i="18"/>
  <c r="O146" i="18"/>
  <c r="O143" i="18"/>
  <c r="P138" i="18"/>
  <c r="P136" i="18"/>
  <c r="O138" i="18"/>
  <c r="O137" i="18"/>
  <c r="O136" i="18"/>
  <c r="O113" i="18"/>
  <c r="O134" i="18"/>
  <c r="P105" i="18"/>
  <c r="O105" i="18"/>
  <c r="O104" i="18"/>
  <c r="P103" i="18"/>
  <c r="O103" i="18"/>
  <c r="P101" i="18"/>
  <c r="O101" i="18"/>
  <c r="O80" i="18"/>
  <c r="P37" i="18"/>
  <c r="O46" i="18"/>
  <c r="P71" i="18"/>
  <c r="O71" i="18"/>
  <c r="O70" i="18"/>
  <c r="O69" i="18"/>
  <c r="P69" i="18"/>
  <c r="O67" i="18"/>
  <c r="O37" i="18"/>
  <c r="O36" i="18"/>
  <c r="P35" i="18"/>
  <c r="O35" i="18"/>
  <c r="O33" i="18"/>
  <c r="O13" i="18"/>
  <c r="O8" i="18"/>
  <c r="I20" i="17"/>
  <c r="M8" i="17"/>
  <c r="M9" i="17"/>
  <c r="M10" i="17"/>
  <c r="M11" i="17"/>
  <c r="M7" i="17"/>
  <c r="I8" i="17"/>
  <c r="K8" i="17" s="1"/>
  <c r="I9" i="17"/>
  <c r="K9" i="17" s="1"/>
  <c r="I10" i="17"/>
  <c r="K10" i="17" s="1"/>
  <c r="I11" i="17"/>
  <c r="K11" i="17" s="1"/>
  <c r="I7" i="17"/>
  <c r="K7" i="17" s="1"/>
  <c r="H8" i="17"/>
  <c r="J8" i="17" s="1"/>
  <c r="H9" i="17"/>
  <c r="J9" i="17" s="1"/>
  <c r="H10" i="17"/>
  <c r="J10" i="17" s="1"/>
  <c r="H11" i="17"/>
  <c r="J11" i="17" s="1"/>
  <c r="H7" i="17"/>
  <c r="J7" i="17" s="1"/>
  <c r="O176" i="18"/>
  <c r="O110" i="18"/>
  <c r="O174" i="18"/>
  <c r="O141" i="18"/>
  <c r="O109" i="18"/>
  <c r="O43" i="18"/>
  <c r="O77" i="18"/>
  <c r="O76" i="18"/>
  <c r="O75" i="18"/>
  <c r="O42" i="18"/>
  <c r="O41" i="18"/>
  <c r="O10" i="18"/>
  <c r="P159" i="18"/>
  <c r="P126" i="18"/>
  <c r="P93" i="18"/>
  <c r="P59" i="18"/>
  <c r="P25" i="18"/>
  <c r="O159" i="18"/>
  <c r="O126" i="18"/>
  <c r="O93" i="18"/>
  <c r="O59" i="18"/>
  <c r="O25" i="18"/>
  <c r="G31" i="8"/>
  <c r="G30" i="8"/>
  <c r="G29" i="8"/>
  <c r="C30" i="24" l="1"/>
  <c r="C48" i="24"/>
  <c r="AH9" i="23"/>
  <c r="S6" i="23"/>
  <c r="AH13" i="23"/>
  <c r="AA6" i="23"/>
  <c r="AH12" i="23"/>
  <c r="Y6" i="23"/>
  <c r="AH11" i="23"/>
  <c r="W6" i="23"/>
  <c r="AH10" i="23"/>
  <c r="U6" i="23"/>
  <c r="D31" i="23"/>
  <c r="I31" i="23" s="1"/>
  <c r="D8" i="23"/>
  <c r="H50" i="45"/>
  <c r="I50" i="45"/>
  <c r="J50" i="45"/>
  <c r="F50" i="45" s="1"/>
  <c r="G50" i="45" s="1"/>
  <c r="E51" i="45"/>
  <c r="S6" i="21"/>
  <c r="S13" i="21" s="1"/>
  <c r="W6" i="21"/>
  <c r="W13" i="21" s="1"/>
  <c r="V6" i="21"/>
  <c r="V13" i="21" s="1"/>
  <c r="U6" i="21"/>
  <c r="U13" i="21" s="1"/>
  <c r="T6" i="21"/>
  <c r="T13" i="21" s="1"/>
  <c r="S5" i="21"/>
  <c r="S12" i="21" s="1"/>
  <c r="T5" i="21"/>
  <c r="T12" i="21" s="1"/>
  <c r="U5" i="21"/>
  <c r="U12" i="21" s="1"/>
  <c r="V5" i="21"/>
  <c r="V12" i="21" s="1"/>
  <c r="W5" i="21"/>
  <c r="W12" i="21" s="1"/>
  <c r="C92" i="24"/>
  <c r="F31" i="21"/>
  <c r="J32" i="21"/>
  <c r="U76" i="28" s="1"/>
  <c r="I32" i="21"/>
  <c r="U61" i="28" s="1"/>
  <c r="H32" i="21"/>
  <c r="U46" i="28" s="1"/>
  <c r="G32" i="21"/>
  <c r="U31" i="28" s="1"/>
  <c r="F32" i="21"/>
  <c r="U16" i="28" s="1"/>
  <c r="J28" i="21"/>
  <c r="U72" i="28" s="1"/>
  <c r="I28" i="21"/>
  <c r="U57" i="28" s="1"/>
  <c r="H28" i="21"/>
  <c r="U42" i="28" s="1"/>
  <c r="G28" i="21"/>
  <c r="U27" i="28" s="1"/>
  <c r="F28" i="21"/>
  <c r="U12" i="28" s="1"/>
  <c r="J30" i="21"/>
  <c r="U74" i="28" s="1"/>
  <c r="I30" i="21"/>
  <c r="U59" i="28" s="1"/>
  <c r="H30" i="21"/>
  <c r="U44" i="28" s="1"/>
  <c r="G30" i="21"/>
  <c r="U29" i="28" s="1"/>
  <c r="F30" i="21"/>
  <c r="U14" i="28" s="1"/>
  <c r="J27" i="21"/>
  <c r="U71" i="28" s="1"/>
  <c r="I27" i="21"/>
  <c r="U56" i="28" s="1"/>
  <c r="H27" i="21"/>
  <c r="U41" i="28" s="1"/>
  <c r="G27" i="21"/>
  <c r="U26" i="28" s="1"/>
  <c r="F27" i="21"/>
  <c r="U11" i="28" s="1"/>
  <c r="C72" i="24"/>
  <c r="C90" i="24"/>
  <c r="C73" i="24"/>
  <c r="D36" i="31"/>
  <c r="E36" i="31"/>
  <c r="E34" i="31"/>
  <c r="D35" i="31"/>
  <c r="F35" i="31"/>
  <c r="C35" i="31"/>
  <c r="E35" i="31"/>
  <c r="L7" i="17"/>
  <c r="N7" i="17" s="1"/>
  <c r="C16" i="17" s="1"/>
  <c r="E16" i="17" s="1"/>
  <c r="F16" i="17" s="1"/>
  <c r="L11" i="17"/>
  <c r="N11" i="17" s="1"/>
  <c r="C20" i="17" s="1"/>
  <c r="E20" i="17" s="1"/>
  <c r="F20" i="17" s="1"/>
  <c r="L10" i="17"/>
  <c r="N10" i="17" s="1"/>
  <c r="C19" i="17" s="1"/>
  <c r="E19" i="17" s="1"/>
  <c r="F19" i="17" s="1"/>
  <c r="L9" i="17"/>
  <c r="N9" i="17" s="1"/>
  <c r="C18" i="17" s="1"/>
  <c r="E18" i="17" s="1"/>
  <c r="F18" i="17" s="1"/>
  <c r="L8" i="17"/>
  <c r="N8" i="17" s="1"/>
  <c r="C17" i="17" s="1"/>
  <c r="E17" i="17" s="1"/>
  <c r="F17" i="17" s="1"/>
  <c r="G42" i="23"/>
  <c r="H41" i="23"/>
  <c r="H40" i="23"/>
  <c r="H39" i="23"/>
  <c r="H38" i="23"/>
  <c r="C86" i="24"/>
  <c r="C50" i="24"/>
  <c r="C65" i="24"/>
  <c r="C83" i="24"/>
  <c r="H8" i="23"/>
  <c r="R10" i="23" s="1"/>
  <c r="H9" i="23"/>
  <c r="R11" i="23" s="1"/>
  <c r="H10" i="23"/>
  <c r="R12" i="23" s="1"/>
  <c r="H11" i="23"/>
  <c r="R13" i="23" s="1"/>
  <c r="H12" i="23"/>
  <c r="R14" i="23" s="1"/>
  <c r="H13" i="23"/>
  <c r="R15" i="23" s="1"/>
  <c r="H14" i="23"/>
  <c r="R16" i="23" s="1"/>
  <c r="H15" i="23"/>
  <c r="R17" i="23" s="1"/>
  <c r="H16" i="23"/>
  <c r="R18" i="23" s="1"/>
  <c r="H17" i="23"/>
  <c r="R19" i="23" s="1"/>
  <c r="H18" i="23"/>
  <c r="R20" i="23" s="1"/>
  <c r="H19" i="23"/>
  <c r="R21" i="23" s="1"/>
  <c r="H20" i="23"/>
  <c r="R22" i="23" s="1"/>
  <c r="H21" i="23"/>
  <c r="R23" i="23" s="1"/>
  <c r="H22" i="23"/>
  <c r="R24" i="23" s="1"/>
  <c r="H23" i="23"/>
  <c r="R25" i="23" s="1"/>
  <c r="H24" i="23"/>
  <c r="R26" i="23" s="1"/>
  <c r="H25" i="23"/>
  <c r="R27" i="23" s="1"/>
  <c r="H26" i="23"/>
  <c r="R28" i="23" s="1"/>
  <c r="H27" i="23"/>
  <c r="R29" i="23" s="1"/>
  <c r="H28" i="23"/>
  <c r="R30" i="23" s="1"/>
  <c r="H29" i="23"/>
  <c r="R31" i="23" s="1"/>
  <c r="H30" i="23"/>
  <c r="R32" i="23" s="1"/>
  <c r="H31" i="23"/>
  <c r="R33" i="23" s="1"/>
  <c r="H7" i="23"/>
  <c r="D63" i="23"/>
  <c r="I38" i="23" s="1"/>
  <c r="D64" i="23"/>
  <c r="D65" i="23"/>
  <c r="I40" i="23" s="1"/>
  <c r="D66" i="23"/>
  <c r="I41" i="23" s="1"/>
  <c r="D67" i="23"/>
  <c r="D68" i="23"/>
  <c r="D69" i="23"/>
  <c r="D70" i="23"/>
  <c r="D62" i="23"/>
  <c r="I37" i="23" s="1"/>
  <c r="I8" i="23"/>
  <c r="D9" i="23"/>
  <c r="I9" i="23" s="1"/>
  <c r="D10" i="23"/>
  <c r="I10" i="23" s="1"/>
  <c r="D11" i="23"/>
  <c r="I11" i="23" s="1"/>
  <c r="D12" i="23"/>
  <c r="I12" i="23" s="1"/>
  <c r="D13" i="23"/>
  <c r="I13" i="23" s="1"/>
  <c r="D14" i="23"/>
  <c r="I14" i="23" s="1"/>
  <c r="D15" i="23"/>
  <c r="I15" i="23" s="1"/>
  <c r="D16" i="23"/>
  <c r="I16" i="23" s="1"/>
  <c r="D17" i="23"/>
  <c r="I17" i="23" s="1"/>
  <c r="D18" i="23"/>
  <c r="I18" i="23" s="1"/>
  <c r="D19" i="23"/>
  <c r="I19" i="23" s="1"/>
  <c r="D20" i="23"/>
  <c r="I20" i="23" s="1"/>
  <c r="D21" i="23"/>
  <c r="I21" i="23" s="1"/>
  <c r="D22" i="23"/>
  <c r="I22" i="23" s="1"/>
  <c r="D23" i="23"/>
  <c r="I23" i="23" s="1"/>
  <c r="D24" i="23"/>
  <c r="I24" i="23" s="1"/>
  <c r="D25" i="23"/>
  <c r="I25" i="23" s="1"/>
  <c r="D26" i="23"/>
  <c r="I26" i="23" s="1"/>
  <c r="D27" i="23"/>
  <c r="I27" i="23" s="1"/>
  <c r="D28" i="23"/>
  <c r="I28" i="23" s="1"/>
  <c r="D29" i="23"/>
  <c r="I29" i="23" s="1"/>
  <c r="D30" i="23"/>
  <c r="I30" i="23" s="1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7" i="23"/>
  <c r="H29" i="8"/>
  <c r="H30" i="8"/>
  <c r="G13" i="8"/>
  <c r="H31" i="8"/>
  <c r="U7" i="23" l="1"/>
  <c r="W7" i="23"/>
  <c r="Y7" i="23"/>
  <c r="AA7" i="23"/>
  <c r="H51" i="45"/>
  <c r="I51" i="45"/>
  <c r="J51" i="45"/>
  <c r="F51" i="45" s="1"/>
  <c r="G51" i="45" s="1"/>
  <c r="E52" i="45"/>
  <c r="W11" i="21"/>
  <c r="V11" i="21"/>
  <c r="U11" i="21"/>
  <c r="T11" i="21"/>
  <c r="S11" i="21"/>
  <c r="T41" i="18"/>
  <c r="O142" i="18"/>
  <c r="O144" i="18" s="1"/>
  <c r="O175" i="18"/>
  <c r="O177" i="18" s="1"/>
  <c r="C70" i="24"/>
  <c r="C89" i="24"/>
  <c r="D34" i="31"/>
  <c r="C34" i="31"/>
  <c r="G38" i="31"/>
  <c r="E37" i="31"/>
  <c r="F38" i="31"/>
  <c r="G35" i="31"/>
  <c r="C12" i="24"/>
  <c r="C28" i="24"/>
  <c r="C46" i="24"/>
  <c r="C26" i="24"/>
  <c r="C44" i="24"/>
  <c r="C11" i="24"/>
  <c r="C27" i="24"/>
  <c r="C45" i="24"/>
  <c r="C13" i="24"/>
  <c r="C47" i="24"/>
  <c r="C14" i="24"/>
  <c r="C54" i="24"/>
  <c r="C52" i="24" s="1"/>
  <c r="C75" i="24"/>
  <c r="C74" i="24" s="1"/>
  <c r="C91" i="24"/>
  <c r="C34" i="24"/>
  <c r="H32" i="23"/>
  <c r="H37" i="23"/>
  <c r="I39" i="23"/>
  <c r="I42" i="23" s="1"/>
  <c r="H42" i="23"/>
  <c r="C85" i="24"/>
  <c r="C56" i="24"/>
  <c r="C68" i="24"/>
  <c r="C57" i="24"/>
  <c r="C69" i="24"/>
  <c r="C10" i="24"/>
  <c r="C9" i="24" s="1"/>
  <c r="C18" i="24" s="1"/>
  <c r="C10" i="7" s="1"/>
  <c r="D71" i="23"/>
  <c r="I7" i="23"/>
  <c r="I32" i="23" s="1"/>
  <c r="D58" i="23"/>
  <c r="O40" i="18"/>
  <c r="O44" i="18" s="1"/>
  <c r="O9" i="18"/>
  <c r="O11" i="18" s="1"/>
  <c r="O74" i="18"/>
  <c r="O78" i="18" s="1"/>
  <c r="O108" i="18"/>
  <c r="O111" i="18" s="1"/>
  <c r="H13" i="8"/>
  <c r="I31" i="8"/>
  <c r="I30" i="8"/>
  <c r="I29" i="8"/>
  <c r="C43" i="24" l="1"/>
  <c r="S7" i="23"/>
  <c r="E53" i="45"/>
  <c r="H52" i="45"/>
  <c r="I52" i="45"/>
  <c r="J52" i="45"/>
  <c r="F52" i="45" s="1"/>
  <c r="G52" i="45" s="1"/>
  <c r="F37" i="31"/>
  <c r="C25" i="24"/>
  <c r="D9" i="24"/>
  <c r="H8" i="24" s="1"/>
  <c r="C67" i="24"/>
  <c r="C55" i="24"/>
  <c r="C58" i="24" s="1"/>
  <c r="D43" i="24" s="1"/>
  <c r="H42" i="24" s="1"/>
  <c r="O14" i="18"/>
  <c r="B19" i="31" s="1"/>
  <c r="B15" i="34" s="1"/>
  <c r="G37" i="31"/>
  <c r="J30" i="8"/>
  <c r="I13" i="8"/>
  <c r="J31" i="8"/>
  <c r="AF9" i="23" l="1"/>
  <c r="AF10" i="23"/>
  <c r="AE11" i="23"/>
  <c r="AF11" i="23"/>
  <c r="AE12" i="23"/>
  <c r="AF12" i="23"/>
  <c r="AE13" i="23"/>
  <c r="AF13" i="23"/>
  <c r="AE14" i="23"/>
  <c r="AF14" i="23"/>
  <c r="AE15" i="23"/>
  <c r="AF15" i="23"/>
  <c r="AE16" i="23"/>
  <c r="AF16" i="23"/>
  <c r="AE17" i="23"/>
  <c r="AF17" i="23"/>
  <c r="AE18" i="23"/>
  <c r="AF18" i="23"/>
  <c r="AE19" i="23"/>
  <c r="AF19" i="23"/>
  <c r="AE20" i="23"/>
  <c r="AF20" i="23"/>
  <c r="AE21" i="23"/>
  <c r="AF21" i="23"/>
  <c r="AE22" i="23"/>
  <c r="AF22" i="23"/>
  <c r="AE23" i="23"/>
  <c r="AF23" i="23"/>
  <c r="AE24" i="23"/>
  <c r="AF24" i="23"/>
  <c r="AE25" i="23"/>
  <c r="AF25" i="23"/>
  <c r="AE26" i="23"/>
  <c r="AF26" i="23"/>
  <c r="AE27" i="23"/>
  <c r="AF27" i="23"/>
  <c r="AE28" i="23"/>
  <c r="AF28" i="23"/>
  <c r="AE29" i="23"/>
  <c r="AF29" i="23"/>
  <c r="AE30" i="23"/>
  <c r="AF30" i="23"/>
  <c r="AE31" i="23"/>
  <c r="AF31" i="23"/>
  <c r="AE32" i="23"/>
  <c r="AF32" i="23"/>
  <c r="AE33" i="23"/>
  <c r="AF33" i="23"/>
  <c r="H53" i="45"/>
  <c r="I53" i="45"/>
  <c r="J53" i="45"/>
  <c r="F53" i="45" s="1"/>
  <c r="G53" i="45" s="1"/>
  <c r="E54" i="45"/>
  <c r="E10" i="7"/>
  <c r="D48" i="24"/>
  <c r="C76" i="24"/>
  <c r="F10" i="7" s="1"/>
  <c r="C93" i="24"/>
  <c r="G10" i="7" s="1"/>
  <c r="D53" i="24"/>
  <c r="D55" i="24"/>
  <c r="H43" i="24" s="1"/>
  <c r="D15" i="24"/>
  <c r="J13" i="8"/>
  <c r="K31" i="8"/>
  <c r="K13" i="8" s="1"/>
  <c r="K30" i="8"/>
  <c r="K29" i="8"/>
  <c r="H54" i="45" l="1"/>
  <c r="I54" i="45"/>
  <c r="J54" i="45"/>
  <c r="F54" i="45" s="1"/>
  <c r="G54" i="45" s="1"/>
  <c r="E55" i="45"/>
  <c r="D93" i="24"/>
  <c r="D88" i="24"/>
  <c r="D85" i="24"/>
  <c r="H83" i="24" s="1"/>
  <c r="D71" i="24"/>
  <c r="D73" i="24"/>
  <c r="D72" i="24"/>
  <c r="D74" i="24"/>
  <c r="H67" i="24" s="1"/>
  <c r="D70" i="24"/>
  <c r="H68" i="24" s="1"/>
  <c r="D67" i="24"/>
  <c r="H65" i="24" s="1"/>
  <c r="D92" i="24"/>
  <c r="D66" i="24"/>
  <c r="D76" i="24"/>
  <c r="D68" i="24"/>
  <c r="D69" i="24"/>
  <c r="D75" i="24"/>
  <c r="D65" i="24"/>
  <c r="H66" i="24" s="1"/>
  <c r="D87" i="24"/>
  <c r="D89" i="24"/>
  <c r="H86" i="24" s="1"/>
  <c r="D91" i="24"/>
  <c r="H85" i="24" s="1"/>
  <c r="D84" i="24"/>
  <c r="D86" i="24"/>
  <c r="D83" i="24"/>
  <c r="H84" i="24" s="1"/>
  <c r="D90" i="24"/>
  <c r="D52" i="24"/>
  <c r="H46" i="24" s="1"/>
  <c r="D50" i="24"/>
  <c r="H44" i="24" s="1"/>
  <c r="D58" i="24"/>
  <c r="D49" i="24"/>
  <c r="D47" i="24"/>
  <c r="D46" i="24"/>
  <c r="D45" i="24"/>
  <c r="D44" i="24"/>
  <c r="D51" i="24"/>
  <c r="D54" i="24"/>
  <c r="D57" i="24"/>
  <c r="D56" i="24"/>
  <c r="D18" i="24"/>
  <c r="D14" i="24"/>
  <c r="D13" i="24"/>
  <c r="D12" i="24"/>
  <c r="D11" i="24"/>
  <c r="D16" i="24"/>
  <c r="H10" i="24" s="1"/>
  <c r="D17" i="24"/>
  <c r="D10" i="24"/>
  <c r="H55" i="45" l="1"/>
  <c r="I55" i="45"/>
  <c r="J55" i="45"/>
  <c r="F55" i="45" s="1"/>
  <c r="G55" i="45" s="1"/>
  <c r="E56" i="45"/>
  <c r="I47" i="24"/>
  <c r="E39" i="31" s="1"/>
  <c r="K48" i="24"/>
  <c r="C26" i="17" s="1"/>
  <c r="D26" i="17" s="1"/>
  <c r="E8" i="7" s="1"/>
  <c r="I13" i="24"/>
  <c r="C39" i="31" s="1"/>
  <c r="K14" i="24"/>
  <c r="R7" i="3" s="1"/>
  <c r="F7" i="3" s="1"/>
  <c r="H56" i="45" l="1"/>
  <c r="I56" i="45"/>
  <c r="J56" i="45"/>
  <c r="F56" i="45" s="1"/>
  <c r="G56" i="45" s="1"/>
  <c r="E57" i="45"/>
  <c r="C17" i="7"/>
  <c r="E17" i="7"/>
  <c r="R41" i="3"/>
  <c r="J7" i="3" s="1"/>
  <c r="R9" i="3"/>
  <c r="F9" i="3" s="1"/>
  <c r="R43" i="3"/>
  <c r="C24" i="17"/>
  <c r="D24" i="17" s="1"/>
  <c r="C8" i="7" s="1"/>
  <c r="C12" i="7" s="1"/>
  <c r="D13" i="7" s="1"/>
  <c r="H57" i="45" l="1"/>
  <c r="I57" i="45"/>
  <c r="J57" i="45"/>
  <c r="F57" i="45" s="1"/>
  <c r="G57" i="45" s="1"/>
  <c r="E58" i="45"/>
  <c r="R42" i="3"/>
  <c r="S42" i="3" s="1"/>
  <c r="K8" i="3" s="1"/>
  <c r="S43" i="3"/>
  <c r="K9" i="3" s="1"/>
  <c r="J9" i="3"/>
  <c r="R8" i="3"/>
  <c r="S9" i="3"/>
  <c r="G9" i="3" s="1"/>
  <c r="H58" i="45" l="1"/>
  <c r="I58" i="45"/>
  <c r="J58" i="45"/>
  <c r="F58" i="45" s="1"/>
  <c r="G58" i="45" s="1"/>
  <c r="E59" i="45"/>
  <c r="J8" i="3"/>
  <c r="S8" i="3"/>
  <c r="G8" i="3" s="1"/>
  <c r="F8" i="3"/>
  <c r="H59" i="45" l="1"/>
  <c r="I59" i="45"/>
  <c r="J59" i="45"/>
  <c r="F59" i="45" s="1"/>
  <c r="G59" i="45" s="1"/>
  <c r="E60" i="45"/>
  <c r="F9" i="21"/>
  <c r="F8" i="21"/>
  <c r="F12" i="21"/>
  <c r="H60" i="45" l="1"/>
  <c r="I60" i="45"/>
  <c r="J60" i="45"/>
  <c r="F60" i="45" s="1"/>
  <c r="G60" i="45" s="1"/>
  <c r="E61" i="45"/>
  <c r="C32" i="24"/>
  <c r="C36" i="24"/>
  <c r="D10" i="7" s="1"/>
  <c r="D25" i="24"/>
  <c r="H24" i="24" s="1"/>
  <c r="H61" i="45" l="1"/>
  <c r="I61" i="45"/>
  <c r="J61" i="45"/>
  <c r="F61" i="45" s="1"/>
  <c r="G61" i="45" s="1"/>
  <c r="E62" i="45"/>
  <c r="E63" i="45" s="1"/>
  <c r="D33" i="24"/>
  <c r="D29" i="24"/>
  <c r="D28" i="24"/>
  <c r="D31" i="24"/>
  <c r="D26" i="24"/>
  <c r="D27" i="24"/>
  <c r="D30" i="24"/>
  <c r="D35" i="24"/>
  <c r="D36" i="24"/>
  <c r="D34" i="24"/>
  <c r="H28" i="24" s="1"/>
  <c r="D32" i="24"/>
  <c r="H26" i="24" s="1"/>
  <c r="H63" i="45" l="1"/>
  <c r="I63" i="45"/>
  <c r="J63" i="45"/>
  <c r="F63" i="45" s="1"/>
  <c r="G63" i="45" s="1"/>
  <c r="E64" i="45"/>
  <c r="H62" i="45"/>
  <c r="I62" i="45"/>
  <c r="J62" i="45"/>
  <c r="F62" i="45" s="1"/>
  <c r="G62" i="45" s="1"/>
  <c r="I29" i="24"/>
  <c r="R26" i="3" s="1"/>
  <c r="H9" i="3" s="1"/>
  <c r="K30" i="24"/>
  <c r="H64" i="45" l="1"/>
  <c r="I64" i="45"/>
  <c r="J64" i="45"/>
  <c r="F64" i="45" s="1"/>
  <c r="G64" i="45" s="1"/>
  <c r="E65" i="45"/>
  <c r="C25" i="17"/>
  <c r="D25" i="17" s="1"/>
  <c r="D8" i="7" s="1"/>
  <c r="R24" i="3"/>
  <c r="H7" i="3" s="1"/>
  <c r="D39" i="31"/>
  <c r="D17" i="7"/>
  <c r="H65" i="45" l="1"/>
  <c r="I65" i="45"/>
  <c r="J65" i="45"/>
  <c r="F65" i="45" s="1"/>
  <c r="G65" i="45" s="1"/>
  <c r="E66" i="45"/>
  <c r="R25" i="3"/>
  <c r="S26" i="3"/>
  <c r="I9" i="3" s="1"/>
  <c r="H66" i="45" l="1"/>
  <c r="I66" i="45"/>
  <c r="J66" i="45"/>
  <c r="F66" i="45" s="1"/>
  <c r="G66" i="45" s="1"/>
  <c r="E67" i="45"/>
  <c r="S25" i="3"/>
  <c r="I8" i="3" s="1"/>
  <c r="H8" i="3"/>
  <c r="H67" i="45" l="1"/>
  <c r="I67" i="45"/>
  <c r="J67" i="45"/>
  <c r="F67" i="45" s="1"/>
  <c r="G67" i="45" s="1"/>
  <c r="E68" i="45"/>
  <c r="U15" i="28"/>
  <c r="F34" i="21"/>
  <c r="H68" i="45" l="1"/>
  <c r="I68" i="45"/>
  <c r="J68" i="45"/>
  <c r="F68" i="45" s="1"/>
  <c r="G68" i="45" s="1"/>
  <c r="E69" i="45"/>
  <c r="R16" i="3"/>
  <c r="F17" i="3" s="1"/>
  <c r="R17" i="28"/>
  <c r="H69" i="45" l="1"/>
  <c r="I69" i="45"/>
  <c r="J69" i="45"/>
  <c r="F69" i="45" s="1"/>
  <c r="G69" i="45" s="1"/>
  <c r="E70" i="45"/>
  <c r="G34" i="21"/>
  <c r="U30" i="28"/>
  <c r="E71" i="45" l="1"/>
  <c r="H70" i="45"/>
  <c r="I70" i="45"/>
  <c r="J70" i="45"/>
  <c r="F70" i="45" s="1"/>
  <c r="G70" i="45" s="1"/>
  <c r="R33" i="3"/>
  <c r="H17" i="3" s="1"/>
  <c r="R32" i="28"/>
  <c r="H71" i="45" l="1"/>
  <c r="I71" i="45"/>
  <c r="J71" i="45"/>
  <c r="F71" i="45" s="1"/>
  <c r="G71" i="45" s="1"/>
  <c r="J34" i="21"/>
  <c r="I34" i="21"/>
  <c r="H34" i="21"/>
  <c r="U45" i="28"/>
  <c r="U60" i="28"/>
  <c r="U75" i="28"/>
  <c r="R50" i="3" l="1"/>
  <c r="R47" i="28" s="1"/>
  <c r="R67" i="3"/>
  <c r="R62" i="28" s="1"/>
  <c r="R84" i="3"/>
  <c r="J17" i="3"/>
  <c r="N17" i="3" l="1"/>
  <c r="R77" i="28"/>
  <c r="L17" i="3"/>
  <c r="I87" i="24"/>
  <c r="G17" i="7" s="1"/>
  <c r="K88" i="24"/>
  <c r="R75" i="3" s="1"/>
  <c r="I69" i="24"/>
  <c r="R60" i="3" s="1"/>
  <c r="L9" i="3" s="1"/>
  <c r="K70" i="24"/>
  <c r="C27" i="17" s="1"/>
  <c r="D27" i="17" s="1"/>
  <c r="F8" i="7" s="1"/>
  <c r="C28" i="17" l="1"/>
  <c r="D28" i="17" s="1"/>
  <c r="G8" i="7" s="1"/>
  <c r="R58" i="3"/>
  <c r="R59" i="3" s="1"/>
  <c r="L8" i="3" s="1"/>
  <c r="R77" i="3"/>
  <c r="N9" i="3" s="1"/>
  <c r="G39" i="31"/>
  <c r="F17" i="7"/>
  <c r="F39" i="31"/>
  <c r="S77" i="3"/>
  <c r="O9" i="3" s="1"/>
  <c r="L7" i="3"/>
  <c r="N7" i="3"/>
  <c r="R76" i="3"/>
  <c r="AK13" i="45"/>
  <c r="AK27" i="45" s="1"/>
  <c r="H20" i="45" s="1"/>
  <c r="S59" i="3" l="1"/>
  <c r="M8" i="3" s="1"/>
  <c r="S60" i="3"/>
  <c r="M9" i="3" s="1"/>
  <c r="S76" i="3"/>
  <c r="O8" i="3" s="1"/>
  <c r="N8" i="3"/>
  <c r="C14" i="7" l="1"/>
  <c r="C16" i="7" l="1"/>
  <c r="AT25" i="18"/>
  <c r="F13" i="36"/>
  <c r="I25" i="36" s="1"/>
  <c r="I26" i="36" s="1"/>
  <c r="E16" i="46"/>
  <c r="E18" i="46" s="1"/>
  <c r="E21" i="46" s="1"/>
  <c r="F6" i="38"/>
  <c r="C6" i="3"/>
  <c r="F24" i="3" s="1"/>
  <c r="AU26" i="18"/>
  <c r="AU27" i="18" s="1"/>
  <c r="R10" i="28"/>
  <c r="D6" i="7"/>
  <c r="E7" i="24" l="1"/>
  <c r="I13" i="36" s="1"/>
  <c r="I16" i="36"/>
  <c r="C18" i="7"/>
  <c r="F18" i="27"/>
  <c r="F19" i="27" s="1"/>
  <c r="I9" i="36"/>
  <c r="I10" i="36"/>
  <c r="S10" i="21"/>
  <c r="F6" i="45"/>
  <c r="F6" i="40"/>
  <c r="F15" i="40" s="1"/>
  <c r="H9" i="48" s="1"/>
  <c r="S17" i="21"/>
  <c r="S15" i="21"/>
  <c r="S16" i="21"/>
  <c r="S24" i="21"/>
  <c r="S22" i="21"/>
  <c r="E17" i="24"/>
  <c r="E10" i="24"/>
  <c r="E15" i="24"/>
  <c r="E13" i="24"/>
  <c r="E14" i="24"/>
  <c r="E11" i="24"/>
  <c r="E9" i="24"/>
  <c r="E12" i="24"/>
  <c r="E18" i="24"/>
  <c r="E16" i="24"/>
  <c r="R11" i="3"/>
  <c r="T16" i="3"/>
  <c r="U9" i="18"/>
  <c r="AU28" i="18" s="1"/>
  <c r="U41" i="18" s="1"/>
  <c r="R13" i="28"/>
  <c r="R12" i="28"/>
  <c r="R15" i="28" s="1"/>
  <c r="R11" i="28"/>
  <c r="R14" i="28" s="1"/>
  <c r="F11" i="45" l="1"/>
  <c r="F12" i="45" s="1"/>
  <c r="F24" i="45" s="1"/>
  <c r="F16" i="40"/>
  <c r="F10" i="45"/>
  <c r="F30" i="45" s="1" a="1"/>
  <c r="F30" i="45" s="1"/>
  <c r="P70" i="18"/>
  <c r="U9" i="48"/>
  <c r="T9" i="48"/>
  <c r="Q9" i="48"/>
  <c r="R9" i="48"/>
  <c r="S9" i="48"/>
  <c r="P9" i="48"/>
  <c r="S25" i="21"/>
  <c r="S6" i="45"/>
  <c r="F8" i="38"/>
  <c r="F10" i="38" s="1"/>
  <c r="F12" i="38" s="1"/>
  <c r="F28" i="45"/>
  <c r="F13" i="40" s="1"/>
  <c r="C9" i="42"/>
  <c r="D9" i="42" s="1"/>
  <c r="E9" i="42" s="1"/>
  <c r="C27" i="31"/>
  <c r="E5" i="46" s="1"/>
  <c r="X12" i="28"/>
  <c r="X13" i="28"/>
  <c r="X11" i="28"/>
  <c r="X16" i="28"/>
  <c r="AK16" i="28"/>
  <c r="X15" i="28"/>
  <c r="X14" i="28"/>
  <c r="X17" i="28"/>
  <c r="C11" i="42"/>
  <c r="D11" i="42" s="1"/>
  <c r="E11" i="42" s="1"/>
  <c r="C26" i="31"/>
  <c r="S11" i="3"/>
  <c r="G11" i="3" s="1"/>
  <c r="F11" i="3"/>
  <c r="W25" i="45"/>
  <c r="W14" i="28"/>
  <c r="W12" i="28"/>
  <c r="W15" i="28"/>
  <c r="W17" i="28"/>
  <c r="W13" i="28"/>
  <c r="W16" i="28"/>
  <c r="AK10" i="28"/>
  <c r="W11" i="28"/>
  <c r="AK15" i="28"/>
  <c r="E8" i="46" l="1"/>
  <c r="E10" i="46" s="1"/>
  <c r="F31" i="45" a="1"/>
  <c r="F31" i="45" s="1"/>
  <c r="F29" i="45" s="1"/>
  <c r="H8" i="48"/>
  <c r="F14" i="40"/>
  <c r="AA16" i="28"/>
  <c r="AE16" i="28" s="1"/>
  <c r="AG16" i="28" s="1"/>
  <c r="AA14" i="28"/>
  <c r="AE14" i="28" s="1"/>
  <c r="AG14" i="28" s="1"/>
  <c r="AA15" i="28"/>
  <c r="AE15" i="28" s="1"/>
  <c r="AG15" i="28" s="1"/>
  <c r="F32" i="45"/>
  <c r="F11" i="40" s="1"/>
  <c r="AA13" i="28"/>
  <c r="AG13" i="28" s="1"/>
  <c r="AB14" i="28"/>
  <c r="AB12" i="28"/>
  <c r="AA11" i="28"/>
  <c r="AE11" i="28" s="1"/>
  <c r="AG11" i="28" s="1"/>
  <c r="AA12" i="28"/>
  <c r="AE12" i="28" s="1"/>
  <c r="AG12" i="28" s="1"/>
  <c r="E13" i="42"/>
  <c r="I21" i="42"/>
  <c r="AB11" i="28"/>
  <c r="F17" i="21" s="1"/>
  <c r="N16" i="28"/>
  <c r="G8" i="44" s="1"/>
  <c r="E6" i="46"/>
  <c r="C31" i="31"/>
  <c r="C7" i="34" s="1"/>
  <c r="AK17" i="28"/>
  <c r="AB16" i="28"/>
  <c r="AB13" i="28"/>
  <c r="AB17" i="28"/>
  <c r="AB15" i="28"/>
  <c r="AA17" i="28"/>
  <c r="AE17" i="28" s="1"/>
  <c r="AG17" i="28" s="1"/>
  <c r="E9" i="46" l="1"/>
  <c r="E7" i="46"/>
  <c r="AC16" i="28"/>
  <c r="U8" i="48"/>
  <c r="T8" i="48"/>
  <c r="Q8" i="48"/>
  <c r="R8" i="48"/>
  <c r="S8" i="48"/>
  <c r="P8" i="48"/>
  <c r="F25" i="45"/>
  <c r="F27" i="45" s="1"/>
  <c r="F14" i="38" s="1"/>
  <c r="F9" i="40"/>
  <c r="AC13" i="28"/>
  <c r="AC14" i="28"/>
  <c r="AC15" i="28"/>
  <c r="AC11" i="28"/>
  <c r="AC17" i="28"/>
  <c r="AD13" i="28"/>
  <c r="F19" i="21"/>
  <c r="AD17" i="28"/>
  <c r="F23" i="21"/>
  <c r="AD11" i="28"/>
  <c r="AG18" i="28"/>
  <c r="F31" i="28" s="1"/>
  <c r="F18" i="21"/>
  <c r="AD12" i="28"/>
  <c r="F21" i="28" s="1"/>
  <c r="F21" i="21"/>
  <c r="AD15" i="28"/>
  <c r="F27" i="3"/>
  <c r="T19" i="3"/>
  <c r="R19" i="3" s="1"/>
  <c r="AC12" i="28"/>
  <c r="N17" i="28"/>
  <c r="G9" i="44" s="1"/>
  <c r="E11" i="46"/>
  <c r="E13" i="46"/>
  <c r="C8" i="33" s="1"/>
  <c r="F22" i="21"/>
  <c r="AD16" i="28"/>
  <c r="C7" i="33"/>
  <c r="AD14" i="28"/>
  <c r="F20" i="21"/>
  <c r="F13" i="28"/>
  <c r="C16" i="34"/>
  <c r="E12" i="46" l="1"/>
  <c r="G34" i="8"/>
  <c r="F34" i="8"/>
  <c r="F6" i="8" s="1"/>
  <c r="F15" i="38"/>
  <c r="H6" i="48"/>
  <c r="F10" i="40"/>
  <c r="H7" i="48"/>
  <c r="U7" i="48" s="1"/>
  <c r="F12" i="40"/>
  <c r="F40" i="8"/>
  <c r="F19" i="8" s="1"/>
  <c r="G6" i="8"/>
  <c r="G40" i="8"/>
  <c r="G19" i="8" s="1"/>
  <c r="AF14" i="28"/>
  <c r="AH14" i="28" s="1"/>
  <c r="F23" i="28"/>
  <c r="N15" i="28"/>
  <c r="G7" i="44" s="1"/>
  <c r="G10" i="44" s="1"/>
  <c r="AF11" i="28"/>
  <c r="F20" i="28"/>
  <c r="AF12" i="28"/>
  <c r="AH12" i="28" s="1"/>
  <c r="AF16" i="28"/>
  <c r="AH16" i="28" s="1"/>
  <c r="F25" i="28"/>
  <c r="C43" i="31"/>
  <c r="AF15" i="28"/>
  <c r="AH15" i="28" s="1"/>
  <c r="F24" i="28"/>
  <c r="AF17" i="28"/>
  <c r="AH17" i="28" s="1"/>
  <c r="F26" i="28"/>
  <c r="F14" i="28"/>
  <c r="AF13" i="28"/>
  <c r="AH13" i="28" s="1"/>
  <c r="F22" i="28"/>
  <c r="G10" i="8" l="1"/>
  <c r="G11" i="8" s="1"/>
  <c r="F12" i="8"/>
  <c r="F10" i="8"/>
  <c r="F17" i="38"/>
  <c r="F18" i="38" s="1"/>
  <c r="G12" i="8"/>
  <c r="J9" i="44"/>
  <c r="J10" i="44" s="1"/>
  <c r="B13" i="31" s="1"/>
  <c r="B7" i="33" s="1"/>
  <c r="F15" i="44"/>
  <c r="F25" i="3"/>
  <c r="T17" i="3"/>
  <c r="R17" i="3" s="1"/>
  <c r="F18" i="3" s="1"/>
  <c r="C42" i="31" s="1"/>
  <c r="C44" i="31" s="1"/>
  <c r="C8" i="34" s="1"/>
  <c r="F19" i="38"/>
  <c r="U6" i="48"/>
  <c r="T6" i="48"/>
  <c r="T14" i="48" s="1"/>
  <c r="L17" i="48" s="1"/>
  <c r="Q7" i="48"/>
  <c r="R7" i="48"/>
  <c r="S7" i="48"/>
  <c r="P7" i="48"/>
  <c r="Q6" i="48"/>
  <c r="R6" i="48"/>
  <c r="S6" i="48"/>
  <c r="P6" i="48"/>
  <c r="F17" i="40"/>
  <c r="I11" i="36" s="1"/>
  <c r="H11" i="48"/>
  <c r="U11" i="48" s="1"/>
  <c r="G15" i="8"/>
  <c r="C53" i="31" s="1"/>
  <c r="F11" i="8"/>
  <c r="F15" i="8" s="1"/>
  <c r="F21" i="44" s="1"/>
  <c r="F22" i="44" s="1"/>
  <c r="F20" i="3"/>
  <c r="F12" i="28"/>
  <c r="AF18" i="28"/>
  <c r="F30" i="28" s="1"/>
  <c r="AH11" i="28"/>
  <c r="AH18" i="28" s="1"/>
  <c r="N11" i="28" s="1"/>
  <c r="F7" i="44" s="1"/>
  <c r="I14" i="36" l="1"/>
  <c r="S14" i="48"/>
  <c r="K17" i="48" s="1"/>
  <c r="F17" i="34" s="1"/>
  <c r="G17" i="34"/>
  <c r="U14" i="48"/>
  <c r="Q11" i="48"/>
  <c r="Q14" i="48" s="1"/>
  <c r="I17" i="48" s="1"/>
  <c r="R11" i="48"/>
  <c r="R14" i="48" s="1"/>
  <c r="J17" i="48" s="1"/>
  <c r="P11" i="48"/>
  <c r="P14" i="48" s="1"/>
  <c r="H17" i="48" s="1"/>
  <c r="F16" i="44"/>
  <c r="F17" i="44" s="1"/>
  <c r="B20" i="31" s="1"/>
  <c r="I12" i="36"/>
  <c r="F23" i="8"/>
  <c r="B10" i="31" s="1"/>
  <c r="C14" i="34"/>
  <c r="C32" i="34" s="1"/>
  <c r="F8" i="28"/>
  <c r="F32" i="28"/>
  <c r="I15" i="36" l="1"/>
  <c r="I17" i="36" s="1"/>
  <c r="C17" i="34"/>
  <c r="H19" i="48"/>
  <c r="E17" i="34"/>
  <c r="D17" i="34"/>
  <c r="I19" i="48"/>
  <c r="F26" i="3"/>
  <c r="T18" i="3"/>
  <c r="R18" i="3" s="1"/>
  <c r="B21" i="31"/>
  <c r="B12" i="34"/>
  <c r="B13" i="33"/>
  <c r="F25" i="8"/>
  <c r="B20" i="34" l="1"/>
  <c r="B22" i="34" s="1"/>
  <c r="C45" i="31"/>
  <c r="C13" i="33"/>
  <c r="C6" i="35"/>
  <c r="B15" i="33"/>
  <c r="B25" i="34" l="1"/>
  <c r="C8" i="35"/>
  <c r="C9" i="34"/>
  <c r="C10" i="34" s="1"/>
  <c r="C46" i="31"/>
  <c r="F19" i="3"/>
  <c r="R13" i="3"/>
  <c r="S18" i="3" s="1"/>
  <c r="G19" i="3" s="1"/>
  <c r="D11" i="35"/>
  <c r="R18" i="28" l="1"/>
  <c r="S13" i="3"/>
  <c r="G13" i="3" s="1"/>
  <c r="T13" i="3"/>
  <c r="F13" i="3"/>
  <c r="S16" i="3"/>
  <c r="G17" i="3" s="1"/>
  <c r="S17" i="3"/>
  <c r="G18" i="3" s="1"/>
  <c r="S19" i="3"/>
  <c r="G20" i="3" s="1"/>
  <c r="C30" i="34"/>
  <c r="C11" i="34"/>
  <c r="C31" i="34" s="1"/>
  <c r="D19" i="34"/>
  <c r="E9" i="35" s="1"/>
  <c r="C19" i="34"/>
  <c r="AK11" i="28" l="1"/>
  <c r="AK12" i="28" s="1"/>
  <c r="H31" i="28"/>
  <c r="I31" i="28" s="1"/>
  <c r="H30" i="28"/>
  <c r="AK18" i="28"/>
  <c r="N13" i="28" s="1"/>
  <c r="C14" i="33"/>
  <c r="D9" i="35"/>
  <c r="G23" i="8"/>
  <c r="G25" i="8" s="1"/>
  <c r="H32" i="28" l="1"/>
  <c r="F9" i="44"/>
  <c r="B15" i="31" s="1"/>
  <c r="F10" i="28"/>
  <c r="C64" i="31" s="1"/>
  <c r="G30" i="28"/>
  <c r="N12" i="28"/>
  <c r="D14" i="33"/>
  <c r="C15" i="33"/>
  <c r="F8" i="44" l="1"/>
  <c r="F9" i="28"/>
  <c r="C63" i="31" s="1"/>
  <c r="C65" i="31" s="1"/>
  <c r="C10" i="33" s="1"/>
  <c r="N14" i="28"/>
  <c r="G32" i="28"/>
  <c r="I32" i="28" s="1"/>
  <c r="I30" i="28"/>
  <c r="F7" i="28" l="1"/>
  <c r="N18" i="28"/>
  <c r="F15" i="28" s="1"/>
  <c r="C37" i="33"/>
  <c r="C11" i="33"/>
  <c r="C17" i="33" s="1"/>
  <c r="B14" i="31"/>
  <c r="F10" i="44"/>
  <c r="B10" i="33" l="1"/>
  <c r="B37" i="33"/>
  <c r="B11" i="33"/>
  <c r="B17" i="33" s="1"/>
  <c r="D12" i="7" l="1"/>
  <c r="E13" i="7" l="1"/>
  <c r="D14" i="7"/>
  <c r="AC27" i="18"/>
  <c r="AC36" i="18"/>
  <c r="AC45" i="18"/>
  <c r="D16" i="7" l="1"/>
  <c r="J16" i="36" s="1"/>
  <c r="AU25" i="18"/>
  <c r="AV26" i="18" s="1"/>
  <c r="AV27" i="18" s="1"/>
  <c r="AC18" i="18"/>
  <c r="AF18" i="18"/>
  <c r="AC9" i="18"/>
  <c r="AC20" i="18" l="1"/>
  <c r="AC21" i="18"/>
  <c r="AC22" i="18"/>
  <c r="AC23" i="18"/>
  <c r="AC24" i="18"/>
  <c r="AF24" i="18" s="1"/>
  <c r="AG24" i="18" s="1"/>
  <c r="U30" i="18" s="1"/>
  <c r="O61" i="18" s="1"/>
  <c r="AC19" i="18"/>
  <c r="AC10" i="18"/>
  <c r="AC11" i="18"/>
  <c r="AC12" i="18"/>
  <c r="AC14" i="18"/>
  <c r="AC15" i="18"/>
  <c r="AF15" i="18"/>
  <c r="AG15" i="18" s="1"/>
  <c r="T30" i="18" s="1"/>
  <c r="O27" i="18" s="1"/>
  <c r="T29" i="18"/>
  <c r="P27" i="18" s="1"/>
  <c r="G6" i="40"/>
  <c r="G15" i="40" s="1"/>
  <c r="F14" i="36"/>
  <c r="T10" i="21"/>
  <c r="F16" i="46"/>
  <c r="F18" i="46" s="1"/>
  <c r="F21" i="46" s="1"/>
  <c r="G18" i="27"/>
  <c r="G19" i="27" s="1"/>
  <c r="G6" i="45"/>
  <c r="G6" i="38"/>
  <c r="D18" i="7"/>
  <c r="C7" i="3"/>
  <c r="E23" i="24"/>
  <c r="R25" i="28"/>
  <c r="E6" i="7"/>
  <c r="AF9" i="18"/>
  <c r="T21" i="18"/>
  <c r="P22" i="18" s="1"/>
  <c r="U29" i="18" l="1"/>
  <c r="P61" i="18" s="1"/>
  <c r="AF10" i="18"/>
  <c r="AG10" i="18" s="1"/>
  <c r="T20" i="18" s="1"/>
  <c r="T19" i="18"/>
  <c r="P21" i="18" s="1"/>
  <c r="V9" i="18"/>
  <c r="E12" i="7"/>
  <c r="R28" i="28"/>
  <c r="R27" i="28"/>
  <c r="R30" i="28" s="1"/>
  <c r="R26" i="28"/>
  <c r="R29" i="28" s="1"/>
  <c r="J13" i="36"/>
  <c r="E32" i="24"/>
  <c r="E36" i="24"/>
  <c r="E34" i="24"/>
  <c r="E25" i="24"/>
  <c r="E28" i="24"/>
  <c r="E27" i="24"/>
  <c r="E33" i="24"/>
  <c r="E26" i="24"/>
  <c r="E30" i="24"/>
  <c r="E31" i="24"/>
  <c r="E29" i="24"/>
  <c r="E35" i="24"/>
  <c r="R28" i="3"/>
  <c r="T33" i="3"/>
  <c r="G24" i="3"/>
  <c r="G11" i="45"/>
  <c r="G12" i="45" s="1"/>
  <c r="G24" i="45" s="1"/>
  <c r="G10" i="45"/>
  <c r="T17" i="21"/>
  <c r="T16" i="21"/>
  <c r="T15" i="21"/>
  <c r="T24" i="21"/>
  <c r="T22" i="21"/>
  <c r="J25" i="36"/>
  <c r="J10" i="36"/>
  <c r="G16" i="40"/>
  <c r="I9" i="48"/>
  <c r="AF22" i="18"/>
  <c r="AG22" i="18" s="1"/>
  <c r="U26" i="18" s="1"/>
  <c r="U25" i="18"/>
  <c r="P58" i="18" s="1"/>
  <c r="AF20" i="18"/>
  <c r="AG20" i="18" s="1"/>
  <c r="U22" i="18" s="1"/>
  <c r="U21" i="18"/>
  <c r="P56" i="18" s="1"/>
  <c r="AF21" i="18"/>
  <c r="AG21" i="18" s="1"/>
  <c r="U24" i="18" s="1"/>
  <c r="P57" i="18"/>
  <c r="AF23" i="18"/>
  <c r="AG23" i="18" s="1"/>
  <c r="U32" i="18" s="1"/>
  <c r="BM15" i="18" s="1"/>
  <c r="U31" i="18"/>
  <c r="AF19" i="18"/>
  <c r="AG19" i="18" s="1"/>
  <c r="U20" i="18" s="1"/>
  <c r="U19" i="18"/>
  <c r="P55" i="18" s="1"/>
  <c r="AF14" i="18"/>
  <c r="AG14" i="18" s="1"/>
  <c r="T32" i="18" s="1"/>
  <c r="BM9" i="18" s="1"/>
  <c r="T31" i="18"/>
  <c r="AF12" i="18"/>
  <c r="AG12" i="18" s="1"/>
  <c r="T24" i="18" s="1"/>
  <c r="T23" i="18"/>
  <c r="P23" i="18" s="1"/>
  <c r="AF11" i="18"/>
  <c r="J26" i="36" l="1"/>
  <c r="J9" i="36" s="1"/>
  <c r="G30" i="45" a="1"/>
  <c r="G30" i="45" s="1"/>
  <c r="G31" i="45" a="1"/>
  <c r="G31" i="45" s="1"/>
  <c r="G29" i="45" s="1"/>
  <c r="T25" i="21"/>
  <c r="AK10" i="18"/>
  <c r="AN10" i="18" s="1"/>
  <c r="AO10" i="18" s="1"/>
  <c r="AP10" i="18" s="1"/>
  <c r="AQ10" i="18" s="1"/>
  <c r="O21" i="18"/>
  <c r="AG11" i="18"/>
  <c r="T22" i="18" s="1"/>
  <c r="S37" i="48"/>
  <c r="T37" i="48"/>
  <c r="U37" i="48"/>
  <c r="R37" i="48"/>
  <c r="R22" i="48" s="1"/>
  <c r="AD25" i="45"/>
  <c r="Z6" i="45"/>
  <c r="G28" i="45"/>
  <c r="G13" i="40" s="1"/>
  <c r="G8" i="38"/>
  <c r="G10" i="38" s="1"/>
  <c r="G12" i="38" s="1"/>
  <c r="H11" i="3"/>
  <c r="S28" i="3"/>
  <c r="I11" i="3" s="1"/>
  <c r="C19" i="42"/>
  <c r="D19" i="42" s="1"/>
  <c r="E19" i="42" s="1"/>
  <c r="D26" i="31"/>
  <c r="C22" i="42"/>
  <c r="D22" i="42" s="1"/>
  <c r="E22" i="42" s="1"/>
  <c r="D28" i="31"/>
  <c r="D27" i="31"/>
  <c r="F5" i="46" s="1"/>
  <c r="C20" i="42"/>
  <c r="D20" i="42" s="1"/>
  <c r="E20" i="42" s="1"/>
  <c r="W30" i="28"/>
  <c r="W32" i="28"/>
  <c r="AB32" i="28" s="1"/>
  <c r="AD32" i="28" s="1"/>
  <c r="W29" i="28"/>
  <c r="W27" i="28"/>
  <c r="W26" i="28"/>
  <c r="AB26" i="28" s="1"/>
  <c r="AK30" i="28"/>
  <c r="AK25" i="28"/>
  <c r="N31" i="28" s="1"/>
  <c r="G13" i="28" s="1"/>
  <c r="W28" i="28"/>
  <c r="W31" i="28"/>
  <c r="X29" i="28"/>
  <c r="X26" i="28"/>
  <c r="X28" i="28"/>
  <c r="AK31" i="28"/>
  <c r="X31" i="28"/>
  <c r="X27" i="28"/>
  <c r="X32" i="28"/>
  <c r="X30" i="28"/>
  <c r="F13" i="7"/>
  <c r="E14" i="7"/>
  <c r="AF27" i="18"/>
  <c r="AV28" i="18"/>
  <c r="V41" i="18" s="1"/>
  <c r="AK11" i="18"/>
  <c r="O22" i="18"/>
  <c r="AK12" i="18"/>
  <c r="AN12" i="18" s="1"/>
  <c r="AO12" i="18" s="1"/>
  <c r="AP12" i="18" s="1"/>
  <c r="AQ12" i="18" s="1"/>
  <c r="O23" i="18"/>
  <c r="BM10" i="18"/>
  <c r="BM13" i="18"/>
  <c r="BM12" i="18"/>
  <c r="BM11" i="18"/>
  <c r="AK17" i="18"/>
  <c r="O55" i="18"/>
  <c r="U46" i="18"/>
  <c r="BM18" i="18"/>
  <c r="BM16" i="18"/>
  <c r="BM17" i="18"/>
  <c r="BM19" i="18"/>
  <c r="AK19" i="18"/>
  <c r="AN19" i="18" s="1"/>
  <c r="AO19" i="18" s="1"/>
  <c r="AP19" i="18" s="1"/>
  <c r="AQ19" i="18" s="1"/>
  <c r="O57" i="18"/>
  <c r="AK18" i="18"/>
  <c r="AN18" i="18" s="1"/>
  <c r="AO18" i="18" s="1"/>
  <c r="AP18" i="18" s="1"/>
  <c r="AQ18" i="18" s="1"/>
  <c r="O56" i="18"/>
  <c r="AK20" i="18"/>
  <c r="AP20" i="18" s="1"/>
  <c r="AQ20" i="18" s="1"/>
  <c r="O58" i="18"/>
  <c r="F8" i="46" l="1"/>
  <c r="F10" i="46" s="1"/>
  <c r="AA30" i="28"/>
  <c r="AE30" i="28" s="1"/>
  <c r="AG30" i="28" s="1"/>
  <c r="G32" i="45"/>
  <c r="G11" i="40" s="1"/>
  <c r="AA29" i="28"/>
  <c r="AE29" i="28" s="1"/>
  <c r="AC29" i="28" s="1"/>
  <c r="AA26" i="28"/>
  <c r="AE26" i="28" s="1"/>
  <c r="AC26" i="28" s="1"/>
  <c r="AA32" i="28"/>
  <c r="AE32" i="28" s="1"/>
  <c r="AA27" i="28"/>
  <c r="AE27" i="28" s="1"/>
  <c r="AG27" i="28" s="1"/>
  <c r="AA31" i="28"/>
  <c r="AE31" i="28" s="1"/>
  <c r="AG31" i="28" s="1"/>
  <c r="AA28" i="28"/>
  <c r="AE28" i="28" s="1"/>
  <c r="AG28" i="28" s="1"/>
  <c r="P104" i="18"/>
  <c r="AC29" i="18"/>
  <c r="AC30" i="18"/>
  <c r="AC31" i="18"/>
  <c r="AC32" i="18"/>
  <c r="AC33" i="18"/>
  <c r="AC28" i="18"/>
  <c r="AF13" i="18"/>
  <c r="AG13" i="18" s="1"/>
  <c r="T26" i="18" s="1"/>
  <c r="T25" i="18"/>
  <c r="P24" i="18" s="1"/>
  <c r="E16" i="7"/>
  <c r="AV25" i="18"/>
  <c r="AW26" i="18" s="1"/>
  <c r="AW27" i="18" s="1"/>
  <c r="AG29" i="28"/>
  <c r="AB31" i="28"/>
  <c r="AD31" i="28" s="1"/>
  <c r="AB28" i="28"/>
  <c r="AD28" i="28" s="1"/>
  <c r="AK32" i="28"/>
  <c r="AD26" i="28"/>
  <c r="AB27" i="28"/>
  <c r="AB29" i="28"/>
  <c r="AD29" i="28" s="1"/>
  <c r="AF32" i="28"/>
  <c r="AB30" i="28"/>
  <c r="AD30" i="28" s="1"/>
  <c r="AC30" i="28"/>
  <c r="D52" i="31"/>
  <c r="D16" i="34" s="1"/>
  <c r="F6" i="46"/>
  <c r="D31" i="31"/>
  <c r="D7" i="34" s="1"/>
  <c r="E24" i="42"/>
  <c r="I22" i="42"/>
  <c r="I8" i="48"/>
  <c r="G14" i="40"/>
  <c r="O65" i="18"/>
  <c r="BS19" i="18"/>
  <c r="BT19" i="18" s="1"/>
  <c r="P65" i="18" s="1"/>
  <c r="O63" i="18"/>
  <c r="BQ17" i="18"/>
  <c r="BR17" i="18" s="1"/>
  <c r="BS17" i="18" s="1"/>
  <c r="BT17" i="18" s="1"/>
  <c r="P63" i="18" s="1"/>
  <c r="BQ16" i="18"/>
  <c r="BR16" i="18" s="1"/>
  <c r="BS16" i="18" s="1"/>
  <c r="BT16" i="18" s="1"/>
  <c r="O62" i="18"/>
  <c r="O64" i="18"/>
  <c r="BQ18" i="18"/>
  <c r="BR18" i="18" s="1"/>
  <c r="BS18" i="18" s="1"/>
  <c r="BT18" i="18" s="1"/>
  <c r="P64" i="18" s="1"/>
  <c r="U14" i="18"/>
  <c r="U13" i="18"/>
  <c r="AK21" i="18"/>
  <c r="AN17" i="18"/>
  <c r="AO17" i="18" s="1"/>
  <c r="AP17" i="18" s="1"/>
  <c r="AQ17" i="18" s="1"/>
  <c r="AQ21" i="18" s="1"/>
  <c r="AK16" i="18"/>
  <c r="AN16" i="18" s="1"/>
  <c r="AO16" i="18" s="1"/>
  <c r="AP16" i="18" s="1"/>
  <c r="AQ16" i="18" s="1"/>
  <c r="BQ11" i="18"/>
  <c r="BR11" i="18" s="1"/>
  <c r="BS11" i="18" s="1"/>
  <c r="BT11" i="18" s="1"/>
  <c r="P29" i="18" s="1"/>
  <c r="O29" i="18"/>
  <c r="O30" i="18"/>
  <c r="BQ12" i="18"/>
  <c r="BR12" i="18" s="1"/>
  <c r="BS12" i="18" s="1"/>
  <c r="BT12" i="18" s="1"/>
  <c r="P30" i="18" s="1"/>
  <c r="BS13" i="18"/>
  <c r="BT13" i="18" s="1"/>
  <c r="P31" i="18" s="1"/>
  <c r="O31" i="18"/>
  <c r="BQ10" i="18"/>
  <c r="BR10" i="18" s="1"/>
  <c r="BS10" i="18" s="1"/>
  <c r="BT10" i="18" s="1"/>
  <c r="O28" i="18"/>
  <c r="AN11" i="18"/>
  <c r="AO11" i="18" s="1"/>
  <c r="AP11" i="18" s="1"/>
  <c r="AQ11" i="18" s="1"/>
  <c r="AK9" i="18"/>
  <c r="AN9" i="18" s="1"/>
  <c r="AO9" i="18" s="1"/>
  <c r="AP9" i="18" s="1"/>
  <c r="AQ9" i="18" s="1"/>
  <c r="F9" i="46" l="1"/>
  <c r="F7" i="46"/>
  <c r="H18" i="27"/>
  <c r="H19" i="27" s="1"/>
  <c r="K16" i="36"/>
  <c r="AG32" i="28"/>
  <c r="AC31" i="28"/>
  <c r="AG26" i="28"/>
  <c r="G25" i="45"/>
  <c r="G27" i="45" s="1"/>
  <c r="G14" i="38" s="1"/>
  <c r="G9" i="40"/>
  <c r="AC28" i="28"/>
  <c r="AC32" i="28"/>
  <c r="AC27" i="28"/>
  <c r="V19" i="18"/>
  <c r="P89" i="18" s="1"/>
  <c r="AF28" i="18"/>
  <c r="AG28" i="18" s="1"/>
  <c r="V20" i="18" s="1"/>
  <c r="AK24" i="18" s="1"/>
  <c r="AF33" i="18"/>
  <c r="AG33" i="18" s="1"/>
  <c r="V30" i="18" s="1"/>
  <c r="O95" i="18" s="1"/>
  <c r="V29" i="18"/>
  <c r="P95" i="18" s="1"/>
  <c r="V31" i="18"/>
  <c r="AF32" i="18"/>
  <c r="AG32" i="18" s="1"/>
  <c r="V32" i="18" s="1"/>
  <c r="BM21" i="18" s="1"/>
  <c r="BM25" i="18" s="1"/>
  <c r="V25" i="18"/>
  <c r="P92" i="18" s="1"/>
  <c r="AF31" i="18"/>
  <c r="AG31" i="18" s="1"/>
  <c r="V26" i="18" s="1"/>
  <c r="O92" i="18" s="1"/>
  <c r="V23" i="18"/>
  <c r="P91" i="18" s="1"/>
  <c r="AF30" i="18"/>
  <c r="AG30" i="18" s="1"/>
  <c r="V24" i="18" s="1"/>
  <c r="AK26" i="18" s="1"/>
  <c r="AN26" i="18" s="1"/>
  <c r="AO26" i="18" s="1"/>
  <c r="AP26" i="18" s="1"/>
  <c r="AQ26" i="18" s="1"/>
  <c r="V21" i="18"/>
  <c r="P90" i="18" s="1"/>
  <c r="AF29" i="18"/>
  <c r="AG29" i="18" s="1"/>
  <c r="V22" i="18" s="1"/>
  <c r="T46" i="18"/>
  <c r="AK13" i="18"/>
  <c r="O24" i="18"/>
  <c r="O38" i="18" s="1"/>
  <c r="O47" i="18" s="1"/>
  <c r="O48" i="18" s="1"/>
  <c r="I7" i="48"/>
  <c r="G12" i="40"/>
  <c r="I6" i="48"/>
  <c r="G10" i="40"/>
  <c r="S36" i="48"/>
  <c r="T36" i="48"/>
  <c r="U36" i="48"/>
  <c r="R36" i="48"/>
  <c r="R21" i="48" s="1"/>
  <c r="G27" i="3"/>
  <c r="T36" i="3"/>
  <c r="D7" i="33"/>
  <c r="F11" i="46"/>
  <c r="F13" i="46"/>
  <c r="D8" i="33" s="1"/>
  <c r="AF30" i="28"/>
  <c r="AH32" i="28"/>
  <c r="G26" i="28"/>
  <c r="AF29" i="28"/>
  <c r="AD27" i="28"/>
  <c r="N30" i="28" s="1"/>
  <c r="G12" i="28" s="1"/>
  <c r="G17" i="21" a="1"/>
  <c r="G17" i="21" s="1"/>
  <c r="AF26" i="28"/>
  <c r="N32" i="28"/>
  <c r="G14" i="28" s="1"/>
  <c r="AF28" i="28"/>
  <c r="AF31" i="28"/>
  <c r="AG33" i="28"/>
  <c r="F37" i="28" s="1"/>
  <c r="H6" i="40"/>
  <c r="H15" i="40" s="1"/>
  <c r="F15" i="36"/>
  <c r="U10" i="21"/>
  <c r="G16" i="46"/>
  <c r="G18" i="46" s="1"/>
  <c r="G21" i="46" s="1"/>
  <c r="E18" i="7"/>
  <c r="H6" i="38"/>
  <c r="R40" i="28"/>
  <c r="E41" i="24"/>
  <c r="H6" i="45"/>
  <c r="C8" i="3"/>
  <c r="F6" i="7"/>
  <c r="P28" i="18"/>
  <c r="P38" i="18" s="1"/>
  <c r="BT9" i="18"/>
  <c r="T27" i="3"/>
  <c r="R27" i="3" s="1"/>
  <c r="D51" i="31"/>
  <c r="O72" i="18"/>
  <c r="O81" i="18" s="1"/>
  <c r="O82" i="18" s="1"/>
  <c r="BT15" i="18"/>
  <c r="P62" i="18"/>
  <c r="P72" i="18" s="1"/>
  <c r="F12" i="46" l="1"/>
  <c r="H34" i="8"/>
  <c r="BM23" i="18"/>
  <c r="BQ23" i="18" s="1"/>
  <c r="BR23" i="18" s="1"/>
  <c r="BS23" i="18" s="1"/>
  <c r="BT23" i="18" s="1"/>
  <c r="P97" i="18" s="1"/>
  <c r="BM22" i="18"/>
  <c r="O96" i="18" s="1"/>
  <c r="O89" i="18"/>
  <c r="BM24" i="18"/>
  <c r="O98" i="18" s="1"/>
  <c r="G17" i="40"/>
  <c r="J11" i="36" s="1"/>
  <c r="V46" i="18"/>
  <c r="V14" i="18" s="1"/>
  <c r="AK27" i="18"/>
  <c r="AP27" i="18" s="1"/>
  <c r="AQ27" i="18" s="1"/>
  <c r="O91" i="18"/>
  <c r="O90" i="18"/>
  <c r="AK25" i="18"/>
  <c r="AN25" i="18" s="1"/>
  <c r="AO25" i="18" s="1"/>
  <c r="AP25" i="18" s="1"/>
  <c r="AQ25" i="18" s="1"/>
  <c r="AP13" i="18"/>
  <c r="AQ13" i="18" s="1"/>
  <c r="AQ14" i="18" s="1"/>
  <c r="AK14" i="18"/>
  <c r="T14" i="18"/>
  <c r="T13" i="18"/>
  <c r="AN24" i="18"/>
  <c r="AO24" i="18" s="1"/>
  <c r="AP24" i="18" s="1"/>
  <c r="AQ24" i="18" s="1"/>
  <c r="O99" i="18"/>
  <c r="BS25" i="18"/>
  <c r="BT25" i="18" s="1"/>
  <c r="P99" i="18" s="1"/>
  <c r="BQ22" i="18"/>
  <c r="BR22" i="18" s="1"/>
  <c r="BS22" i="18" s="1"/>
  <c r="BT22" i="18" s="1"/>
  <c r="W9" i="18"/>
  <c r="F12" i="7"/>
  <c r="R45" i="3"/>
  <c r="H24" i="3"/>
  <c r="T50" i="3"/>
  <c r="H11" i="45"/>
  <c r="H12" i="45" s="1"/>
  <c r="H24" i="45" s="1"/>
  <c r="H10" i="45"/>
  <c r="K13" i="36"/>
  <c r="E55" i="24"/>
  <c r="E53" i="24"/>
  <c r="E57" i="24"/>
  <c r="E48" i="24"/>
  <c r="C109" i="24" s="1"/>
  <c r="E44" i="24"/>
  <c r="C105" i="24" s="1"/>
  <c r="E58" i="24"/>
  <c r="E49" i="24"/>
  <c r="C110" i="24" s="1"/>
  <c r="E43" i="24"/>
  <c r="E56" i="24"/>
  <c r="E52" i="24"/>
  <c r="E46" i="24"/>
  <c r="C107" i="24" s="1"/>
  <c r="E47" i="24"/>
  <c r="C108" i="24" s="1"/>
  <c r="E51" i="24"/>
  <c r="E50" i="24"/>
  <c r="E54" i="24"/>
  <c r="E45" i="24"/>
  <c r="C106" i="24" s="1"/>
  <c r="R41" i="28"/>
  <c r="R44" i="28" s="1"/>
  <c r="R42" i="28"/>
  <c r="R45" i="28" s="1"/>
  <c r="R43" i="28"/>
  <c r="U15" i="21"/>
  <c r="U17" i="21"/>
  <c r="U16" i="21"/>
  <c r="U24" i="21"/>
  <c r="U22" i="21"/>
  <c r="K25" i="36"/>
  <c r="K26" i="36" s="1"/>
  <c r="K10" i="36"/>
  <c r="K8" i="36"/>
  <c r="H16" i="40"/>
  <c r="J9" i="48"/>
  <c r="G25" i="28"/>
  <c r="AH31" i="28"/>
  <c r="AH28" i="28"/>
  <c r="G22" i="28"/>
  <c r="AH26" i="28"/>
  <c r="G20" i="28"/>
  <c r="AF27" i="28"/>
  <c r="AH29" i="28"/>
  <c r="G23" i="28"/>
  <c r="AH30" i="28"/>
  <c r="G24" i="28"/>
  <c r="R36" i="3"/>
  <c r="D43" i="31"/>
  <c r="S34" i="48"/>
  <c r="T34" i="48"/>
  <c r="U34" i="48"/>
  <c r="R34" i="48"/>
  <c r="H40" i="8"/>
  <c r="H6" i="8"/>
  <c r="H10" i="8" s="1"/>
  <c r="G15" i="38"/>
  <c r="U35" i="48"/>
  <c r="R35" i="48"/>
  <c r="R20" i="48" s="1"/>
  <c r="S35" i="48"/>
  <c r="T35" i="48"/>
  <c r="D15" i="34"/>
  <c r="S27" i="3"/>
  <c r="I10" i="3" s="1"/>
  <c r="H10" i="3"/>
  <c r="K9" i="36" l="1"/>
  <c r="G17" i="38"/>
  <c r="G18" i="38" s="1"/>
  <c r="H30" i="45" a="1"/>
  <c r="H30" i="45" s="1"/>
  <c r="H31" i="45" a="1"/>
  <c r="H31" i="45" s="1"/>
  <c r="O97" i="18"/>
  <c r="BQ24" i="18"/>
  <c r="BR24" i="18" s="1"/>
  <c r="BS24" i="18" s="1"/>
  <c r="BT24" i="18" s="1"/>
  <c r="P98" i="18" s="1"/>
  <c r="V13" i="18"/>
  <c r="AQ28" i="18"/>
  <c r="AK28" i="18"/>
  <c r="AK23" i="18"/>
  <c r="AN23" i="18" s="1"/>
  <c r="AO23" i="18" s="1"/>
  <c r="AP23" i="18" s="1"/>
  <c r="AQ23" i="18" s="1"/>
  <c r="O106" i="18"/>
  <c r="O114" i="18" s="1"/>
  <c r="O115" i="18" s="1"/>
  <c r="T10" i="3"/>
  <c r="R10" i="3" s="1"/>
  <c r="C51" i="31"/>
  <c r="T34" i="3"/>
  <c r="R34" i="3" s="1"/>
  <c r="H18" i="3" s="1"/>
  <c r="G25" i="3"/>
  <c r="G19" i="38"/>
  <c r="H12" i="8"/>
  <c r="H11" i="8"/>
  <c r="H19" i="8"/>
  <c r="H23" i="8" s="1"/>
  <c r="I11" i="48"/>
  <c r="R19" i="48"/>
  <c r="D66" i="31"/>
  <c r="D13" i="33" s="1"/>
  <c r="J14" i="36"/>
  <c r="J12" i="36" s="1"/>
  <c r="J15" i="36" s="1"/>
  <c r="J17" i="36" s="1"/>
  <c r="H20" i="3"/>
  <c r="G21" i="28"/>
  <c r="AH27" i="28"/>
  <c r="AH33" i="28" s="1"/>
  <c r="N26" i="28" s="1"/>
  <c r="AF33" i="28"/>
  <c r="F36" i="28" s="1"/>
  <c r="T48" i="48"/>
  <c r="U48" i="48"/>
  <c r="S48" i="48"/>
  <c r="S22" i="48" s="1"/>
  <c r="U25" i="21"/>
  <c r="X42" i="28"/>
  <c r="X47" i="28"/>
  <c r="X45" i="28"/>
  <c r="AK46" i="28"/>
  <c r="X41" i="28"/>
  <c r="X46" i="28"/>
  <c r="X43" i="28"/>
  <c r="X44" i="28"/>
  <c r="W41" i="28"/>
  <c r="AB41" i="28" s="1"/>
  <c r="W47" i="28"/>
  <c r="AB47" i="28" s="1"/>
  <c r="AD47" i="28" s="1"/>
  <c r="W46" i="28"/>
  <c r="AK40" i="28"/>
  <c r="N46" i="28" s="1"/>
  <c r="H13" i="28" s="1"/>
  <c r="AK45" i="28"/>
  <c r="W44" i="28"/>
  <c r="W42" i="28"/>
  <c r="AB42" i="28" s="1"/>
  <c r="AD42" i="28" s="1"/>
  <c r="W43" i="28"/>
  <c r="AB43" i="28" s="1"/>
  <c r="AD43" i="28" s="1"/>
  <c r="W45" i="28"/>
  <c r="AB45" i="28" s="1"/>
  <c r="AD45" i="28" s="1"/>
  <c r="C31" i="42"/>
  <c r="D31" i="42" s="1"/>
  <c r="E31" i="42" s="1"/>
  <c r="E27" i="31"/>
  <c r="G5" i="46" s="1"/>
  <c r="E28" i="31"/>
  <c r="C30" i="42"/>
  <c r="D30" i="42" s="1"/>
  <c r="E30" i="42" s="1"/>
  <c r="C33" i="42"/>
  <c r="D33" i="42" s="1"/>
  <c r="E33" i="42" s="1"/>
  <c r="E26" i="31"/>
  <c r="E29" i="31"/>
  <c r="C34" i="42"/>
  <c r="D34" i="42" s="1"/>
  <c r="E34" i="42" s="1"/>
  <c r="AK26" i="45"/>
  <c r="H19" i="45" s="1"/>
  <c r="AG6" i="45"/>
  <c r="H8" i="38"/>
  <c r="H10" i="38" s="1"/>
  <c r="H12" i="38" s="1"/>
  <c r="H28" i="45"/>
  <c r="H13" i="40" s="1"/>
  <c r="S45" i="3"/>
  <c r="K11" i="3" s="1"/>
  <c r="J11" i="3"/>
  <c r="F14" i="7"/>
  <c r="G13" i="7"/>
  <c r="AW28" i="18"/>
  <c r="W41" i="18" s="1"/>
  <c r="AF36" i="18"/>
  <c r="P96" i="18"/>
  <c r="P106" i="18" s="1"/>
  <c r="BT21" i="18"/>
  <c r="E51" i="31"/>
  <c r="T44" i="3"/>
  <c r="R44" i="3" s="1"/>
  <c r="D33" i="34"/>
  <c r="H29" i="45" l="1"/>
  <c r="G8" i="46"/>
  <c r="G10" i="46" s="1"/>
  <c r="H15" i="8"/>
  <c r="D53" i="31" s="1"/>
  <c r="D54" i="31" s="1"/>
  <c r="P137" i="18"/>
  <c r="AC38" i="18"/>
  <c r="AC39" i="18"/>
  <c r="AC40" i="18"/>
  <c r="AC41" i="18"/>
  <c r="AC42" i="18"/>
  <c r="AC37" i="18"/>
  <c r="C15" i="34"/>
  <c r="C54" i="31"/>
  <c r="S10" i="3"/>
  <c r="G10" i="3" s="1"/>
  <c r="F10" i="3"/>
  <c r="R12" i="3"/>
  <c r="S44" i="3"/>
  <c r="K10" i="3" s="1"/>
  <c r="J10" i="3"/>
  <c r="E15" i="34"/>
  <c r="F16" i="7"/>
  <c r="L16" i="36" s="1"/>
  <c r="AW25" i="18"/>
  <c r="AX26" i="18" s="1"/>
  <c r="AX27" i="18" s="1"/>
  <c r="J8" i="48"/>
  <c r="H14" i="40"/>
  <c r="H9" i="40"/>
  <c r="H25" i="45"/>
  <c r="H27" i="45" s="1"/>
  <c r="H14" i="38" s="1"/>
  <c r="E52" i="31"/>
  <c r="G6" i="46"/>
  <c r="E31" i="31"/>
  <c r="E7" i="34" s="1"/>
  <c r="E35" i="42"/>
  <c r="I23" i="42"/>
  <c r="AF45" i="28"/>
  <c r="AF43" i="28"/>
  <c r="AF42" i="28"/>
  <c r="AB44" i="28"/>
  <c r="AD44" i="28" s="1"/>
  <c r="AK47" i="28"/>
  <c r="AB46" i="28"/>
  <c r="AD46" i="28" s="1"/>
  <c r="AF47" i="28"/>
  <c r="AD41" i="28"/>
  <c r="AA44" i="28"/>
  <c r="AE44" i="28" s="1"/>
  <c r="AA43" i="28"/>
  <c r="AE43" i="28" s="1"/>
  <c r="AA46" i="28"/>
  <c r="AE46" i="28" s="1"/>
  <c r="AA41" i="28"/>
  <c r="AE41" i="28" s="1"/>
  <c r="AA45" i="28"/>
  <c r="AE45" i="28" s="1"/>
  <c r="AA47" i="28"/>
  <c r="AE47" i="28" s="1"/>
  <c r="AA42" i="28"/>
  <c r="AE42" i="28" s="1"/>
  <c r="G8" i="28"/>
  <c r="F38" i="28"/>
  <c r="G26" i="3"/>
  <c r="T35" i="3"/>
  <c r="E11" i="35"/>
  <c r="D15" i="33"/>
  <c r="T39" i="48"/>
  <c r="U39" i="48"/>
  <c r="S39" i="48"/>
  <c r="R39" i="48"/>
  <c r="D14" i="34"/>
  <c r="D32" i="34" s="1"/>
  <c r="D42" i="31"/>
  <c r="D44" i="31" s="1"/>
  <c r="H32" i="45" l="1"/>
  <c r="H11" i="40" s="1"/>
  <c r="G9" i="46"/>
  <c r="G7" i="46"/>
  <c r="H17" i="21" a="1"/>
  <c r="H17" i="21" s="1"/>
  <c r="H25" i="8"/>
  <c r="H10" i="40"/>
  <c r="J6" i="48"/>
  <c r="W19" i="18"/>
  <c r="P122" i="18" s="1"/>
  <c r="AF37" i="18"/>
  <c r="AG37" i="18" s="1"/>
  <c r="W20" i="18" s="1"/>
  <c r="AF42" i="18"/>
  <c r="AG42" i="18" s="1"/>
  <c r="W30" i="18" s="1"/>
  <c r="O128" i="18" s="1"/>
  <c r="W29" i="18"/>
  <c r="P128" i="18" s="1"/>
  <c r="W31" i="18"/>
  <c r="AF41" i="18"/>
  <c r="AG41" i="18" s="1"/>
  <c r="W32" i="18" s="1"/>
  <c r="BM27" i="18" s="1"/>
  <c r="W25" i="18"/>
  <c r="P125" i="18" s="1"/>
  <c r="AF40" i="18"/>
  <c r="AG40" i="18" s="1"/>
  <c r="W26" i="18" s="1"/>
  <c r="W23" i="18"/>
  <c r="P124" i="18" s="1"/>
  <c r="AF39" i="18"/>
  <c r="AG39" i="18" s="1"/>
  <c r="W24" i="18" s="1"/>
  <c r="W21" i="18"/>
  <c r="P123" i="18" s="1"/>
  <c r="AF38" i="18"/>
  <c r="AG38" i="18" s="1"/>
  <c r="W22" i="18" s="1"/>
  <c r="S12" i="3"/>
  <c r="G12" i="3" s="1"/>
  <c r="T12" i="3"/>
  <c r="F12" i="3"/>
  <c r="C33" i="34"/>
  <c r="C20" i="34"/>
  <c r="C21" i="34" s="1"/>
  <c r="D8" i="34"/>
  <c r="R24" i="48"/>
  <c r="R27" i="48" s="1"/>
  <c r="J18" i="48" s="1"/>
  <c r="R42" i="48"/>
  <c r="S42" i="48"/>
  <c r="U42" i="48"/>
  <c r="T42" i="48"/>
  <c r="R35" i="3"/>
  <c r="D45" i="31"/>
  <c r="AC42" i="28"/>
  <c r="AG42" i="28"/>
  <c r="AH42" i="28" s="1"/>
  <c r="AC47" i="28"/>
  <c r="AG47" i="28"/>
  <c r="AH47" i="28" s="1"/>
  <c r="H26" i="28"/>
  <c r="AC45" i="28"/>
  <c r="AG45" i="28"/>
  <c r="AH45" i="28" s="1"/>
  <c r="H24" i="28"/>
  <c r="AC41" i="28"/>
  <c r="AG41" i="28"/>
  <c r="AG46" i="28"/>
  <c r="AC46" i="28"/>
  <c r="AC43" i="28"/>
  <c r="AG43" i="28"/>
  <c r="AH43" i="28" s="1"/>
  <c r="AG44" i="28"/>
  <c r="AC44" i="28"/>
  <c r="N45" i="28"/>
  <c r="H12" i="28" s="1"/>
  <c r="AF41" i="28"/>
  <c r="AF46" i="28"/>
  <c r="N47" i="28"/>
  <c r="H14" i="28" s="1"/>
  <c r="AF44" i="28"/>
  <c r="H21" i="28"/>
  <c r="H22" i="28"/>
  <c r="T53" i="3"/>
  <c r="H27" i="3"/>
  <c r="E7" i="33"/>
  <c r="G11" i="46"/>
  <c r="G13" i="46"/>
  <c r="E8" i="33" s="1"/>
  <c r="E16" i="34"/>
  <c r="I34" i="8"/>
  <c r="H12" i="40"/>
  <c r="J7" i="48"/>
  <c r="T47" i="48"/>
  <c r="U47" i="48"/>
  <c r="S47" i="48"/>
  <c r="S21" i="48" s="1"/>
  <c r="I6" i="40"/>
  <c r="I15" i="40" s="1"/>
  <c r="F16" i="36"/>
  <c r="V10" i="21"/>
  <c r="H16" i="46"/>
  <c r="H18" i="46" s="1"/>
  <c r="H21" i="46" s="1"/>
  <c r="I6" i="45"/>
  <c r="R55" i="28"/>
  <c r="F18" i="7"/>
  <c r="I6" i="38"/>
  <c r="E63" i="24"/>
  <c r="C9" i="3"/>
  <c r="I18" i="27"/>
  <c r="I19" i="27" s="1"/>
  <c r="G6" i="7"/>
  <c r="E33" i="34"/>
  <c r="G12" i="46" l="1"/>
  <c r="C22" i="34"/>
  <c r="H17" i="40"/>
  <c r="AK32" i="18"/>
  <c r="AN32" i="18" s="1"/>
  <c r="AO32" i="18" s="1"/>
  <c r="AP32" i="18" s="1"/>
  <c r="AQ32" i="18" s="1"/>
  <c r="O123" i="18"/>
  <c r="AK33" i="18"/>
  <c r="AN33" i="18" s="1"/>
  <c r="AO33" i="18" s="1"/>
  <c r="AP33" i="18" s="1"/>
  <c r="AQ33" i="18" s="1"/>
  <c r="O124" i="18"/>
  <c r="AK34" i="18"/>
  <c r="AP34" i="18" s="1"/>
  <c r="AQ34" i="18" s="1"/>
  <c r="O125" i="18"/>
  <c r="BM28" i="18"/>
  <c r="BM29" i="18"/>
  <c r="BM30" i="18"/>
  <c r="BM31" i="18"/>
  <c r="AK31" i="18"/>
  <c r="O122" i="18"/>
  <c r="W46" i="18"/>
  <c r="T45" i="48"/>
  <c r="U45" i="48"/>
  <c r="S45" i="48"/>
  <c r="S19" i="48" s="1"/>
  <c r="C25" i="34"/>
  <c r="C34" i="34"/>
  <c r="D8" i="35"/>
  <c r="X9" i="18"/>
  <c r="G12" i="7"/>
  <c r="G14" i="7" s="1"/>
  <c r="T67" i="3"/>
  <c r="R62" i="3"/>
  <c r="I24" i="3"/>
  <c r="L13" i="36"/>
  <c r="E67" i="24"/>
  <c r="E69" i="24"/>
  <c r="C112" i="24" s="1"/>
  <c r="E65" i="24"/>
  <c r="E66" i="24"/>
  <c r="E71" i="24"/>
  <c r="E68" i="24"/>
  <c r="E70" i="24"/>
  <c r="E74" i="24"/>
  <c r="E75" i="24"/>
  <c r="E72" i="24"/>
  <c r="C102" i="24" s="1"/>
  <c r="E73" i="24"/>
  <c r="C100" i="24" s="1"/>
  <c r="R58" i="28"/>
  <c r="R56" i="28"/>
  <c r="R59" i="28" s="1"/>
  <c r="R57" i="28"/>
  <c r="R60" i="28" s="1"/>
  <c r="I11" i="45"/>
  <c r="I12" i="45" s="1"/>
  <c r="I24" i="45" s="1"/>
  <c r="I10" i="45"/>
  <c r="V15" i="21"/>
  <c r="V17" i="21"/>
  <c r="V16" i="21"/>
  <c r="V24" i="21"/>
  <c r="V22" i="21"/>
  <c r="L25" i="36"/>
  <c r="L10" i="36"/>
  <c r="L8" i="36"/>
  <c r="K9" i="48"/>
  <c r="I16" i="40"/>
  <c r="E66" i="31"/>
  <c r="E13" i="33" s="1"/>
  <c r="K14" i="36"/>
  <c r="K12" i="36" s="1"/>
  <c r="T46" i="48"/>
  <c r="U46" i="48"/>
  <c r="S46" i="48"/>
  <c r="I40" i="8"/>
  <c r="I6" i="8"/>
  <c r="H15" i="38"/>
  <c r="E43" i="31"/>
  <c r="R53" i="3"/>
  <c r="AH44" i="28"/>
  <c r="H23" i="28"/>
  <c r="AH46" i="28"/>
  <c r="H25" i="28"/>
  <c r="AF48" i="28"/>
  <c r="F42" i="28" s="1"/>
  <c r="AH41" i="28"/>
  <c r="H20" i="28"/>
  <c r="AG48" i="28"/>
  <c r="F43" i="28" s="1"/>
  <c r="D9" i="34"/>
  <c r="D10" i="34" s="1"/>
  <c r="D46" i="31"/>
  <c r="H19" i="3"/>
  <c r="R30" i="3"/>
  <c r="E18" i="34"/>
  <c r="E19" i="34" s="1"/>
  <c r="J19" i="48"/>
  <c r="L26" i="36" l="1"/>
  <c r="L9" i="36" s="1"/>
  <c r="H17" i="38"/>
  <c r="H18" i="38" s="1"/>
  <c r="I30" i="45" a="1"/>
  <c r="I30" i="45" s="1"/>
  <c r="I31" i="45" a="1"/>
  <c r="I31" i="45" s="1"/>
  <c r="I29" i="45" s="1"/>
  <c r="AH48" i="28"/>
  <c r="N41" i="28" s="1"/>
  <c r="K11" i="36"/>
  <c r="K15" i="36" s="1"/>
  <c r="K17" i="36" s="1"/>
  <c r="W14" i="18"/>
  <c r="W13" i="18"/>
  <c r="AK35" i="18"/>
  <c r="AN31" i="18"/>
  <c r="AO31" i="18" s="1"/>
  <c r="AP31" i="18" s="1"/>
  <c r="AQ31" i="18" s="1"/>
  <c r="AQ35" i="18" s="1"/>
  <c r="AK30" i="18"/>
  <c r="AN30" i="18" s="1"/>
  <c r="AO30" i="18" s="1"/>
  <c r="AP30" i="18" s="1"/>
  <c r="AQ30" i="18" s="1"/>
  <c r="O132" i="18"/>
  <c r="BS31" i="18"/>
  <c r="BT31" i="18" s="1"/>
  <c r="P132" i="18" s="1"/>
  <c r="O131" i="18"/>
  <c r="BQ30" i="18"/>
  <c r="BR30" i="18" s="1"/>
  <c r="BS30" i="18" s="1"/>
  <c r="BT30" i="18" s="1"/>
  <c r="P131" i="18" s="1"/>
  <c r="BQ29" i="18"/>
  <c r="BR29" i="18" s="1"/>
  <c r="BS29" i="18" s="1"/>
  <c r="BT29" i="18" s="1"/>
  <c r="P130" i="18" s="1"/>
  <c r="O130" i="18"/>
  <c r="BQ28" i="18"/>
  <c r="BR28" i="18" s="1"/>
  <c r="BS28" i="18" s="1"/>
  <c r="BT28" i="18" s="1"/>
  <c r="O129" i="18"/>
  <c r="F9" i="35"/>
  <c r="E14" i="33"/>
  <c r="E15" i="33" s="1"/>
  <c r="S30" i="3"/>
  <c r="I13" i="3" s="1"/>
  <c r="S33" i="3"/>
  <c r="I17" i="3" s="1"/>
  <c r="H13" i="3"/>
  <c r="T30" i="3"/>
  <c r="R33" i="28"/>
  <c r="R29" i="3"/>
  <c r="S36" i="3"/>
  <c r="I20" i="3" s="1"/>
  <c r="S34" i="3"/>
  <c r="I18" i="3" s="1"/>
  <c r="S35" i="3"/>
  <c r="I19" i="3" s="1"/>
  <c r="D30" i="34"/>
  <c r="D11" i="34"/>
  <c r="H8" i="28"/>
  <c r="F44" i="28"/>
  <c r="J20" i="3"/>
  <c r="T51" i="3"/>
  <c r="R51" i="3" s="1"/>
  <c r="H25" i="3"/>
  <c r="H19" i="38"/>
  <c r="I10" i="8"/>
  <c r="I12" i="8"/>
  <c r="I19" i="8"/>
  <c r="J11" i="48"/>
  <c r="S20" i="48"/>
  <c r="F11" i="35"/>
  <c r="T59" i="48"/>
  <c r="T22" i="48" s="1"/>
  <c r="U59" i="48"/>
  <c r="V25" i="21"/>
  <c r="AR26" i="45"/>
  <c r="I19" i="45" s="1"/>
  <c r="I8" i="38"/>
  <c r="I28" i="45"/>
  <c r="I13" i="40" s="1"/>
  <c r="AN6" i="45"/>
  <c r="X62" i="28"/>
  <c r="X56" i="28"/>
  <c r="X59" i="28"/>
  <c r="AK61" i="28"/>
  <c r="X58" i="28"/>
  <c r="X61" i="28"/>
  <c r="X57" i="28"/>
  <c r="X60" i="28"/>
  <c r="W61" i="28"/>
  <c r="W57" i="28"/>
  <c r="W60" i="28"/>
  <c r="AK60" i="28"/>
  <c r="W62" i="28"/>
  <c r="AB62" i="28" s="1"/>
  <c r="AD62" i="28" s="1"/>
  <c r="W56" i="28"/>
  <c r="W59" i="28"/>
  <c r="AK55" i="28"/>
  <c r="N61" i="28" s="1"/>
  <c r="I13" i="28" s="1"/>
  <c r="W58" i="28"/>
  <c r="AB58" i="28" s="1"/>
  <c r="AD58" i="28" s="1"/>
  <c r="F30" i="31"/>
  <c r="C43" i="42"/>
  <c r="D43" i="42" s="1"/>
  <c r="E43" i="42" s="1"/>
  <c r="F28" i="31"/>
  <c r="C41" i="42"/>
  <c r="D41" i="42" s="1"/>
  <c r="E41" i="42" s="1"/>
  <c r="F27" i="31"/>
  <c r="E76" i="24"/>
  <c r="C42" i="42"/>
  <c r="D42" i="42" s="1"/>
  <c r="E42" i="42" s="1"/>
  <c r="C45" i="42"/>
  <c r="D45" i="42" s="1"/>
  <c r="E45" i="42" s="1"/>
  <c r="F29" i="31"/>
  <c r="L11" i="3"/>
  <c r="S62" i="3"/>
  <c r="M11" i="3" s="1"/>
  <c r="AX25" i="18"/>
  <c r="G16" i="7"/>
  <c r="M16" i="36" s="1"/>
  <c r="AX28" i="18"/>
  <c r="X41" i="18" s="1"/>
  <c r="AF45" i="18"/>
  <c r="I10" i="38" l="1"/>
  <c r="I12" i="38" s="1"/>
  <c r="I32" i="45"/>
  <c r="I11" i="40" s="1"/>
  <c r="H26" i="3"/>
  <c r="T52" i="3"/>
  <c r="R52" i="3" s="1"/>
  <c r="R47" i="3" s="1"/>
  <c r="S51" i="3" s="1"/>
  <c r="K18" i="3" s="1"/>
  <c r="O139" i="18"/>
  <c r="O147" i="18" s="1"/>
  <c r="O148" i="18" s="1"/>
  <c r="P170" i="18"/>
  <c r="AC47" i="18"/>
  <c r="AC48" i="18"/>
  <c r="AC49" i="18"/>
  <c r="AC50" i="18"/>
  <c r="AC51" i="18"/>
  <c r="AC46" i="18"/>
  <c r="P129" i="18"/>
  <c r="P139" i="18" s="1"/>
  <c r="BT27" i="18"/>
  <c r="T61" i="3"/>
  <c r="R61" i="3" s="1"/>
  <c r="F51" i="31"/>
  <c r="F15" i="34" s="1"/>
  <c r="J6" i="40"/>
  <c r="J15" i="40" s="1"/>
  <c r="F17" i="36"/>
  <c r="W10" i="21"/>
  <c r="I16" i="46"/>
  <c r="I18" i="46" s="1"/>
  <c r="I21" i="46" s="1"/>
  <c r="J6" i="38"/>
  <c r="J18" i="27"/>
  <c r="J19" i="27" s="1"/>
  <c r="G18" i="7"/>
  <c r="T10" i="18" s="1" a="1"/>
  <c r="J6" i="45"/>
  <c r="R70" i="28"/>
  <c r="E81" i="24"/>
  <c r="C10" i="3"/>
  <c r="H5" i="46"/>
  <c r="F31" i="31"/>
  <c r="F7" i="34" s="1"/>
  <c r="I24" i="42"/>
  <c r="E46" i="42"/>
  <c r="H6" i="46"/>
  <c r="F52" i="31"/>
  <c r="AF58" i="28"/>
  <c r="AB59" i="28"/>
  <c r="AD59" i="28" s="1"/>
  <c r="AB56" i="28"/>
  <c r="AF62" i="28"/>
  <c r="AK62" i="28"/>
  <c r="AB60" i="28"/>
  <c r="AD60" i="28" s="1"/>
  <c r="AB57" i="28"/>
  <c r="AD57" i="28" s="1"/>
  <c r="AB61" i="28"/>
  <c r="AD61" i="28" s="1"/>
  <c r="AA60" i="28"/>
  <c r="AE60" i="28" s="1"/>
  <c r="AA57" i="28"/>
  <c r="AE57" i="28" s="1"/>
  <c r="AA61" i="28"/>
  <c r="AE61" i="28" s="1"/>
  <c r="AA58" i="28"/>
  <c r="AE58" i="28" s="1"/>
  <c r="AA59" i="28"/>
  <c r="AE59" i="28" s="1"/>
  <c r="AA56" i="28"/>
  <c r="AE56" i="28" s="1"/>
  <c r="AA62" i="28"/>
  <c r="AE62" i="28" s="1"/>
  <c r="K8" i="48"/>
  <c r="I14" i="40"/>
  <c r="T50" i="48"/>
  <c r="U50" i="48"/>
  <c r="S50" i="48"/>
  <c r="I23" i="8"/>
  <c r="I11" i="8"/>
  <c r="I15" i="8" s="1"/>
  <c r="E53" i="31" s="1"/>
  <c r="J18" i="3"/>
  <c r="E42" i="31" s="1"/>
  <c r="E44" i="31" s="1"/>
  <c r="D31" i="34"/>
  <c r="D20" i="34"/>
  <c r="S29" i="3"/>
  <c r="I12" i="3" s="1"/>
  <c r="H12" i="3"/>
  <c r="T29" i="3"/>
  <c r="AK26" i="28"/>
  <c r="AK27" i="28" s="1"/>
  <c r="H37" i="28"/>
  <c r="I37" i="28" s="1"/>
  <c r="H36" i="28"/>
  <c r="AK33" i="28"/>
  <c r="N28" i="28" s="1"/>
  <c r="G10" i="28" s="1"/>
  <c r="D64" i="31" s="1"/>
  <c r="H9" i="46" l="1"/>
  <c r="H8" i="46"/>
  <c r="H10" i="46" s="1"/>
  <c r="H7" i="46"/>
  <c r="D21" i="34"/>
  <c r="D22" i="34" s="1"/>
  <c r="I25" i="45"/>
  <c r="I27" i="45" s="1"/>
  <c r="I14" i="38" s="1"/>
  <c r="I9" i="40"/>
  <c r="E45" i="31"/>
  <c r="E9" i="34" s="1"/>
  <c r="H38" i="28"/>
  <c r="I10" i="40"/>
  <c r="K6" i="48"/>
  <c r="L10" i="3"/>
  <c r="S61" i="3"/>
  <c r="M10" i="3" s="1"/>
  <c r="X19" i="18"/>
  <c r="P155" i="18" s="1"/>
  <c r="AF46" i="18"/>
  <c r="AG46" i="18" s="1"/>
  <c r="X20" i="18" s="1"/>
  <c r="AF51" i="18"/>
  <c r="AG51" i="18" s="1"/>
  <c r="X30" i="18" s="1"/>
  <c r="O161" i="18" s="1"/>
  <c r="X29" i="18"/>
  <c r="P161" i="18" s="1"/>
  <c r="X31" i="18"/>
  <c r="AF50" i="18"/>
  <c r="AG50" i="18" s="1"/>
  <c r="X32" i="18" s="1"/>
  <c r="BM33" i="18" s="1"/>
  <c r="X25" i="18"/>
  <c r="P158" i="18" s="1"/>
  <c r="AF49" i="18"/>
  <c r="AG49" i="18" s="1"/>
  <c r="X26" i="18" s="1"/>
  <c r="X23" i="18"/>
  <c r="P157" i="18" s="1"/>
  <c r="AF48" i="18"/>
  <c r="AG48" i="18" s="1"/>
  <c r="X24" i="18" s="1"/>
  <c r="X21" i="18"/>
  <c r="P156" i="18" s="1"/>
  <c r="AF47" i="18"/>
  <c r="AG47" i="18" s="1"/>
  <c r="X22" i="18" s="1"/>
  <c r="G36" i="28"/>
  <c r="N27" i="28"/>
  <c r="D25" i="34"/>
  <c r="D34" i="34"/>
  <c r="E8" i="35"/>
  <c r="T47" i="3"/>
  <c r="J13" i="3"/>
  <c r="S47" i="3"/>
  <c r="K13" i="3" s="1"/>
  <c r="R48" i="28"/>
  <c r="S50" i="3"/>
  <c r="K17" i="3" s="1"/>
  <c r="R46" i="3"/>
  <c r="S53" i="3"/>
  <c r="K20" i="3" s="1"/>
  <c r="E8" i="34"/>
  <c r="E14" i="34"/>
  <c r="E32" i="34" s="1"/>
  <c r="E54" i="31"/>
  <c r="I25" i="8"/>
  <c r="S24" i="48"/>
  <c r="S27" i="48" s="1"/>
  <c r="K18" i="48" s="1"/>
  <c r="S53" i="48"/>
  <c r="U53" i="48"/>
  <c r="T53" i="48"/>
  <c r="J19" i="3"/>
  <c r="S52" i="3"/>
  <c r="K19" i="3" s="1"/>
  <c r="J34" i="8"/>
  <c r="I12" i="40"/>
  <c r="K7" i="48"/>
  <c r="T58" i="48"/>
  <c r="T21" i="48" s="1"/>
  <c r="U58" i="48"/>
  <c r="AC62" i="28"/>
  <c r="AG62" i="28"/>
  <c r="AH62" i="28" s="1"/>
  <c r="I26" i="28"/>
  <c r="AG56" i="28"/>
  <c r="AC56" i="28"/>
  <c r="AG59" i="28"/>
  <c r="AC59" i="28"/>
  <c r="AC58" i="28"/>
  <c r="AG58" i="28"/>
  <c r="AH58" i="28" s="1"/>
  <c r="I22" i="28"/>
  <c r="AG61" i="28"/>
  <c r="AC61" i="28"/>
  <c r="AG57" i="28"/>
  <c r="AC57" i="28"/>
  <c r="AG60" i="28"/>
  <c r="AC60" i="28"/>
  <c r="AF61" i="28"/>
  <c r="AF57" i="28"/>
  <c r="AF60" i="28"/>
  <c r="N62" i="28"/>
  <c r="I14" i="28" s="1"/>
  <c r="I17" i="21" a="1"/>
  <c r="I17" i="21" s="1"/>
  <c r="AD56" i="28"/>
  <c r="AF59" i="28"/>
  <c r="F16" i="34"/>
  <c r="H13" i="46"/>
  <c r="F8" i="33" s="1"/>
  <c r="H11" i="46"/>
  <c r="T70" i="3"/>
  <c r="I27" i="3"/>
  <c r="F7" i="33"/>
  <c r="F33" i="34"/>
  <c r="R79" i="3"/>
  <c r="T84" i="3"/>
  <c r="J24" i="3"/>
  <c r="M13" i="36"/>
  <c r="E88" i="24"/>
  <c r="C111" i="24" s="1"/>
  <c r="E93" i="24"/>
  <c r="E91" i="24"/>
  <c r="E83" i="24"/>
  <c r="E90" i="24"/>
  <c r="C101" i="24" s="1"/>
  <c r="E87" i="24"/>
  <c r="C113" i="24" s="1"/>
  <c r="E86" i="24"/>
  <c r="C114" i="24" s="1"/>
  <c r="E89" i="24"/>
  <c r="E84" i="24"/>
  <c r="C103" i="24" s="1"/>
  <c r="E85" i="24"/>
  <c r="E92" i="24"/>
  <c r="C104" i="24" s="1"/>
  <c r="R72" i="28"/>
  <c r="R75" i="28" s="1"/>
  <c r="R71" i="28"/>
  <c r="R74" i="28" s="1"/>
  <c r="R73" i="28"/>
  <c r="J11" i="45"/>
  <c r="J12" i="45" s="1"/>
  <c r="J24" i="45" s="1"/>
  <c r="J10" i="45"/>
  <c r="T10" i="18"/>
  <c r="T11" i="18" s="1"/>
  <c r="U11" i="18"/>
  <c r="V11" i="18"/>
  <c r="W11" i="18"/>
  <c r="W15" i="21"/>
  <c r="W17" i="21"/>
  <c r="W16" i="21"/>
  <c r="W24" i="21"/>
  <c r="W22" i="21"/>
  <c r="M25" i="36"/>
  <c r="M10" i="36"/>
  <c r="M8" i="36"/>
  <c r="J16" i="40"/>
  <c r="L9" i="48"/>
  <c r="U70" i="48" s="1"/>
  <c r="U22" i="48" s="1"/>
  <c r="H12" i="46" l="1"/>
  <c r="M26" i="36"/>
  <c r="M9" i="36" s="1"/>
  <c r="J30" i="45" a="1"/>
  <c r="J30" i="45" s="1"/>
  <c r="J31" i="45" a="1"/>
  <c r="J31" i="45" s="1"/>
  <c r="J29" i="45" s="1"/>
  <c r="E46" i="31"/>
  <c r="E10" i="34"/>
  <c r="I17" i="40"/>
  <c r="AK39" i="18"/>
  <c r="AN39" i="18" s="1"/>
  <c r="AO39" i="18" s="1"/>
  <c r="AP39" i="18" s="1"/>
  <c r="AQ39" i="18" s="1"/>
  <c r="O156" i="18"/>
  <c r="AK40" i="18"/>
  <c r="AN40" i="18" s="1"/>
  <c r="AO40" i="18" s="1"/>
  <c r="AP40" i="18" s="1"/>
  <c r="AQ40" i="18" s="1"/>
  <c r="O157" i="18"/>
  <c r="AK41" i="18"/>
  <c r="AP41" i="18" s="1"/>
  <c r="AQ41" i="18" s="1"/>
  <c r="O158" i="18"/>
  <c r="BM34" i="18"/>
  <c r="BM35" i="18"/>
  <c r="BM36" i="18"/>
  <c r="BM37" i="18"/>
  <c r="AK38" i="18"/>
  <c r="O155" i="18"/>
  <c r="X46" i="18"/>
  <c r="U56" i="48"/>
  <c r="T56" i="48"/>
  <c r="W25" i="21"/>
  <c r="AY26" i="45"/>
  <c r="J19" i="45" s="1"/>
  <c r="J8" i="38"/>
  <c r="J10" i="38" s="1"/>
  <c r="J12" i="38" s="1"/>
  <c r="AU6" i="45"/>
  <c r="J28" i="45"/>
  <c r="J13" i="40" s="1"/>
  <c r="AK75" i="28"/>
  <c r="W75" i="28"/>
  <c r="W71" i="28"/>
  <c r="AB71" i="28" s="1"/>
  <c r="W74" i="28"/>
  <c r="W73" i="28"/>
  <c r="AB73" i="28" s="1"/>
  <c r="AD73" i="28" s="1"/>
  <c r="W77" i="28"/>
  <c r="AB77" i="28" s="1"/>
  <c r="AD77" i="28" s="1"/>
  <c r="W76" i="28"/>
  <c r="AK70" i="28"/>
  <c r="N76" i="28" s="1"/>
  <c r="J13" i="28" s="1"/>
  <c r="W72" i="28"/>
  <c r="AB72" i="28" s="1"/>
  <c r="AD72" i="28" s="1"/>
  <c r="AK76" i="28"/>
  <c r="X76" i="28"/>
  <c r="X71" i="28"/>
  <c r="X74" i="28"/>
  <c r="X73" i="28"/>
  <c r="X77" i="28"/>
  <c r="X75" i="28"/>
  <c r="X72" i="28"/>
  <c r="C56" i="42"/>
  <c r="D56" i="42" s="1"/>
  <c r="E56" i="42" s="1"/>
  <c r="G29" i="31"/>
  <c r="G28" i="31"/>
  <c r="C52" i="42"/>
  <c r="D52" i="42" s="1"/>
  <c r="E52" i="42" s="1"/>
  <c r="C115" i="24"/>
  <c r="D111" i="24" s="1"/>
  <c r="G27" i="31"/>
  <c r="C53" i="42"/>
  <c r="D53" i="42" s="1"/>
  <c r="E53" i="42" s="1"/>
  <c r="G30" i="31"/>
  <c r="C54" i="42"/>
  <c r="D54" i="42" s="1"/>
  <c r="E54" i="42" s="1"/>
  <c r="N11" i="3"/>
  <c r="S79" i="3"/>
  <c r="O11" i="3" s="1"/>
  <c r="F43" i="31"/>
  <c r="R70" i="3"/>
  <c r="AH59" i="28"/>
  <c r="I23" i="28"/>
  <c r="N60" i="28"/>
  <c r="I12" i="28" s="1"/>
  <c r="AF56" i="28"/>
  <c r="AH60" i="28"/>
  <c r="I24" i="28"/>
  <c r="AH57" i="28"/>
  <c r="I21" i="28"/>
  <c r="I25" i="28"/>
  <c r="AH61" i="28"/>
  <c r="AG63" i="28"/>
  <c r="F49" i="28" s="1"/>
  <c r="T57" i="48"/>
  <c r="U57" i="48"/>
  <c r="J40" i="8"/>
  <c r="J6" i="8"/>
  <c r="I15" i="38"/>
  <c r="F18" i="34"/>
  <c r="F19" i="34" s="1"/>
  <c r="K19" i="48"/>
  <c r="T46" i="3"/>
  <c r="S46" i="3"/>
  <c r="K12" i="3" s="1"/>
  <c r="J12" i="3"/>
  <c r="AK41" i="28"/>
  <c r="AK42" i="28" s="1"/>
  <c r="H42" i="28"/>
  <c r="H43" i="28"/>
  <c r="I43" i="28" s="1"/>
  <c r="AK48" i="28"/>
  <c r="N43" i="28" s="1"/>
  <c r="H10" i="28" s="1"/>
  <c r="E64" i="31" s="1"/>
  <c r="G9" i="28"/>
  <c r="D63" i="31" s="1"/>
  <c r="D65" i="31" s="1"/>
  <c r="D10" i="33" s="1"/>
  <c r="N29" i="28"/>
  <c r="G38" i="28"/>
  <c r="I38" i="28" s="1"/>
  <c r="I36" i="28"/>
  <c r="E11" i="34" l="1"/>
  <c r="I17" i="38"/>
  <c r="I18" i="38" s="1"/>
  <c r="E30" i="34"/>
  <c r="AA73" i="28"/>
  <c r="AE73" i="28" s="1"/>
  <c r="AA71" i="28"/>
  <c r="AE71" i="28" s="1"/>
  <c r="AC71" i="28" s="1"/>
  <c r="AA72" i="28"/>
  <c r="AE72" i="28" s="1"/>
  <c r="AA75" i="28"/>
  <c r="AE75" i="28" s="1"/>
  <c r="AC75" i="28" s="1"/>
  <c r="AA77" i="28"/>
  <c r="AE77" i="28" s="1"/>
  <c r="AA74" i="28"/>
  <c r="AE74" i="28" s="1"/>
  <c r="AG74" i="28" s="1"/>
  <c r="AA76" i="28"/>
  <c r="AE76" i="28" s="1"/>
  <c r="AC76" i="28" s="1"/>
  <c r="F66" i="31"/>
  <c r="F13" i="33" s="1"/>
  <c r="G11" i="35" s="1"/>
  <c r="L11" i="36"/>
  <c r="L14" i="36"/>
  <c r="L12" i="36" s="1"/>
  <c r="T19" i="48"/>
  <c r="X14" i="18"/>
  <c r="X13" i="18"/>
  <c r="AK42" i="18"/>
  <c r="AN38" i="18"/>
  <c r="AO38" i="18" s="1"/>
  <c r="AP38" i="18" s="1"/>
  <c r="AQ38" i="18" s="1"/>
  <c r="AQ42" i="18" s="1"/>
  <c r="AK37" i="18"/>
  <c r="AN37" i="18" s="1"/>
  <c r="AO37" i="18" s="1"/>
  <c r="AP37" i="18" s="1"/>
  <c r="AQ37" i="18" s="1"/>
  <c r="O165" i="18"/>
  <c r="BS37" i="18"/>
  <c r="BT37" i="18" s="1"/>
  <c r="P165" i="18" s="1"/>
  <c r="O164" i="18"/>
  <c r="BQ36" i="18"/>
  <c r="BR36" i="18" s="1"/>
  <c r="BS36" i="18" s="1"/>
  <c r="BT36" i="18" s="1"/>
  <c r="P164" i="18" s="1"/>
  <c r="BQ35" i="18"/>
  <c r="BR35" i="18" s="1"/>
  <c r="BS35" i="18" s="1"/>
  <c r="BT35" i="18" s="1"/>
  <c r="P163" i="18" s="1"/>
  <c r="O163" i="18"/>
  <c r="BQ34" i="18"/>
  <c r="BR34" i="18" s="1"/>
  <c r="BS34" i="18" s="1"/>
  <c r="BT34" i="18" s="1"/>
  <c r="O162" i="18"/>
  <c r="N33" i="28"/>
  <c r="G15" i="28" s="1"/>
  <c r="G7" i="28"/>
  <c r="D37" i="33"/>
  <c r="D11" i="33"/>
  <c r="D17" i="33" s="1"/>
  <c r="H44" i="28"/>
  <c r="G42" i="28"/>
  <c r="N42" i="28"/>
  <c r="G9" i="35"/>
  <c r="F14" i="33"/>
  <c r="E31" i="34"/>
  <c r="E20" i="34"/>
  <c r="E21" i="34" s="1"/>
  <c r="E22" i="34" s="1"/>
  <c r="I25" i="3"/>
  <c r="T68" i="3"/>
  <c r="R68" i="3" s="1"/>
  <c r="I19" i="38"/>
  <c r="J12" i="8"/>
  <c r="J10" i="8"/>
  <c r="J11" i="8" s="1"/>
  <c r="J19" i="8"/>
  <c r="J23" i="8" s="1"/>
  <c r="K11" i="48"/>
  <c r="T20" i="48"/>
  <c r="AF63" i="28"/>
  <c r="F48" i="28" s="1"/>
  <c r="F50" i="28" s="1"/>
  <c r="AH56" i="28"/>
  <c r="AH63" i="28" s="1"/>
  <c r="N56" i="28" s="1"/>
  <c r="I20" i="28"/>
  <c r="L20" i="3"/>
  <c r="I5" i="46"/>
  <c r="G31" i="31"/>
  <c r="G7" i="34" s="1"/>
  <c r="G15" i="49" s="1"/>
  <c r="D101" i="24"/>
  <c r="D106" i="24"/>
  <c r="D108" i="24"/>
  <c r="D107" i="24"/>
  <c r="D110" i="24"/>
  <c r="D105" i="24"/>
  <c r="D109" i="24"/>
  <c r="D100" i="24"/>
  <c r="D102" i="24"/>
  <c r="D112" i="24"/>
  <c r="D104" i="24"/>
  <c r="D103" i="24"/>
  <c r="D114" i="24"/>
  <c r="D113" i="24"/>
  <c r="I25" i="42"/>
  <c r="E57" i="42"/>
  <c r="I6" i="46"/>
  <c r="G52" i="31"/>
  <c r="G16" i="34" s="1"/>
  <c r="AC72" i="28"/>
  <c r="AG72" i="28"/>
  <c r="AC73" i="28"/>
  <c r="AG73" i="28"/>
  <c r="AF72" i="28"/>
  <c r="AB76" i="28"/>
  <c r="AD76" i="28" s="1"/>
  <c r="AF77" i="28"/>
  <c r="AF73" i="28"/>
  <c r="AB74" i="28"/>
  <c r="AD74" i="28" s="1"/>
  <c r="AD71" i="28"/>
  <c r="AB75" i="28"/>
  <c r="AK77" i="28"/>
  <c r="L8" i="48"/>
  <c r="U69" i="48" s="1"/>
  <c r="U21" i="48" s="1"/>
  <c r="J14" i="40"/>
  <c r="J32" i="45"/>
  <c r="J11" i="40" s="1"/>
  <c r="J25" i="45"/>
  <c r="J27" i="45" s="1"/>
  <c r="J14" i="38" s="1"/>
  <c r="J9" i="40"/>
  <c r="L6" i="48" s="1"/>
  <c r="I9" i="46" l="1"/>
  <c r="I8" i="46"/>
  <c r="I10" i="46" s="1"/>
  <c r="I7" i="46"/>
  <c r="AG71" i="28"/>
  <c r="AG77" i="28"/>
  <c r="AC77" i="28"/>
  <c r="AG75" i="28"/>
  <c r="AC74" i="28"/>
  <c r="AG76" i="28"/>
  <c r="L15" i="36"/>
  <c r="F15" i="33"/>
  <c r="O172" i="18"/>
  <c r="O180" i="18" s="1"/>
  <c r="O181" i="18" s="1"/>
  <c r="J15" i="8"/>
  <c r="F53" i="31" s="1"/>
  <c r="F14" i="34" s="1"/>
  <c r="F32" i="34" s="1"/>
  <c r="P162" i="18"/>
  <c r="P172" i="18" s="1"/>
  <c r="BT33" i="18"/>
  <c r="G51" i="31"/>
  <c r="G15" i="34" s="1"/>
  <c r="G33" i="34" s="1"/>
  <c r="T78" i="3"/>
  <c r="R78" i="3" s="1"/>
  <c r="X11" i="18"/>
  <c r="J10" i="40"/>
  <c r="U67" i="48"/>
  <c r="K34" i="8"/>
  <c r="J12" i="40"/>
  <c r="L7" i="48"/>
  <c r="U68" i="48" s="1"/>
  <c r="U20" i="48" s="1"/>
  <c r="N77" i="28"/>
  <c r="J14" i="28" s="1"/>
  <c r="AD75" i="28"/>
  <c r="N75" i="28" s="1"/>
  <c r="J12" i="28" s="1"/>
  <c r="J17" i="21" a="1"/>
  <c r="J17" i="21" s="1"/>
  <c r="AF71" i="28"/>
  <c r="AF74" i="28"/>
  <c r="AH73" i="28"/>
  <c r="J22" i="28"/>
  <c r="AH77" i="28"/>
  <c r="J26" i="28"/>
  <c r="AF76" i="28"/>
  <c r="AH72" i="28"/>
  <c r="J21" i="28"/>
  <c r="I13" i="46"/>
  <c r="G8" i="33" s="1"/>
  <c r="I11" i="46"/>
  <c r="T87" i="3"/>
  <c r="J27" i="3"/>
  <c r="D115" i="24"/>
  <c r="G7" i="33"/>
  <c r="I8" i="28"/>
  <c r="T61" i="48"/>
  <c r="T64" i="48" s="1"/>
  <c r="U61" i="48"/>
  <c r="L18" i="3"/>
  <c r="F42" i="31" s="1"/>
  <c r="F44" i="31" s="1"/>
  <c r="E34" i="34"/>
  <c r="E25" i="34"/>
  <c r="F8" i="35"/>
  <c r="H9" i="28"/>
  <c r="E63" i="31" s="1"/>
  <c r="E65" i="31" s="1"/>
  <c r="E10" i="33" s="1"/>
  <c r="N44" i="28"/>
  <c r="G44" i="28"/>
  <c r="I44" i="28" s="1"/>
  <c r="I42" i="28"/>
  <c r="I12" i="46" l="1"/>
  <c r="T69" i="3"/>
  <c r="R69" i="3" s="1"/>
  <c r="R64" i="3" s="1"/>
  <c r="S68" i="3" s="1"/>
  <c r="M18" i="3" s="1"/>
  <c r="L17" i="36"/>
  <c r="AG78" i="28"/>
  <c r="F55" i="28" s="1"/>
  <c r="F45" i="31"/>
  <c r="F9" i="34" s="1"/>
  <c r="F54" i="31"/>
  <c r="I26" i="3"/>
  <c r="J25" i="8"/>
  <c r="J17" i="40"/>
  <c r="M11" i="36" s="1"/>
  <c r="S78" i="3"/>
  <c r="O10" i="3" s="1"/>
  <c r="N10" i="3"/>
  <c r="N48" i="28"/>
  <c r="H15" i="28" s="1"/>
  <c r="H7" i="28"/>
  <c r="E37" i="33"/>
  <c r="E11" i="33"/>
  <c r="E17" i="33" s="1"/>
  <c r="R63" i="28"/>
  <c r="S64" i="3"/>
  <c r="M13" i="3" s="1"/>
  <c r="S67" i="3"/>
  <c r="M17" i="3" s="1"/>
  <c r="L13" i="3"/>
  <c r="T64" i="3"/>
  <c r="R63" i="3"/>
  <c r="S70" i="3"/>
  <c r="M20" i="3" s="1"/>
  <c r="F8" i="34"/>
  <c r="F46" i="31"/>
  <c r="U64" i="48"/>
  <c r="T24" i="48"/>
  <c r="T27" i="48" s="1"/>
  <c r="L18" i="48" s="1"/>
  <c r="L19" i="3"/>
  <c r="S69" i="3"/>
  <c r="M19" i="3" s="1"/>
  <c r="G43" i="31"/>
  <c r="R87" i="3"/>
  <c r="AH76" i="28"/>
  <c r="J25" i="28"/>
  <c r="J23" i="28"/>
  <c r="AH74" i="28"/>
  <c r="AH71" i="28"/>
  <c r="J20" i="28"/>
  <c r="AF75" i="28"/>
  <c r="J15" i="38"/>
  <c r="K6" i="8"/>
  <c r="K40" i="8"/>
  <c r="U19" i="48"/>
  <c r="J17" i="38" l="1"/>
  <c r="J18" i="38" s="1"/>
  <c r="F10" i="34"/>
  <c r="G66" i="31"/>
  <c r="G13" i="33" s="1"/>
  <c r="M14" i="36"/>
  <c r="M12" i="36" s="1"/>
  <c r="M15" i="36" s="1"/>
  <c r="M17" i="36" s="1"/>
  <c r="K19" i="8"/>
  <c r="K23" i="8" s="1"/>
  <c r="L11" i="48"/>
  <c r="U72" i="48" s="1"/>
  <c r="K10" i="8"/>
  <c r="K12" i="8"/>
  <c r="T85" i="3"/>
  <c r="R85" i="3" s="1"/>
  <c r="J25" i="3"/>
  <c r="J19" i="38"/>
  <c r="AH75" i="28"/>
  <c r="AH78" i="28" s="1"/>
  <c r="N71" i="28" s="1"/>
  <c r="J24" i="28"/>
  <c r="AF78" i="28"/>
  <c r="F54" i="28" s="1"/>
  <c r="N20" i="3"/>
  <c r="F30" i="34"/>
  <c r="F11" i="34"/>
  <c r="G18" i="34"/>
  <c r="G19" i="34" s="1"/>
  <c r="L19" i="48"/>
  <c r="T63" i="3"/>
  <c r="S63" i="3"/>
  <c r="M12" i="3" s="1"/>
  <c r="L12" i="3"/>
  <c r="AK56" i="28"/>
  <c r="AK57" i="28" s="1"/>
  <c r="H48" i="28"/>
  <c r="H49" i="28"/>
  <c r="I49" i="28" s="1"/>
  <c r="AK63" i="28"/>
  <c r="N58" i="28" s="1"/>
  <c r="I10" i="28" s="1"/>
  <c r="F64" i="31" s="1"/>
  <c r="H50" i="28" l="1"/>
  <c r="N57" i="28"/>
  <c r="G48" i="28"/>
  <c r="H9" i="35"/>
  <c r="I9" i="35" s="1"/>
  <c r="G14" i="33"/>
  <c r="G15" i="33" s="1"/>
  <c r="F31" i="34"/>
  <c r="F20" i="34"/>
  <c r="F21" i="34" s="1"/>
  <c r="F22" i="34" s="1"/>
  <c r="J8" i="28"/>
  <c r="F56" i="28"/>
  <c r="N18" i="3"/>
  <c r="G42" i="31" s="1"/>
  <c r="G44" i="31" s="1"/>
  <c r="K11" i="8"/>
  <c r="K15" i="8" s="1"/>
  <c r="U24" i="48"/>
  <c r="U27" i="48" s="1"/>
  <c r="U75" i="48"/>
  <c r="J26" i="3"/>
  <c r="T86" i="3"/>
  <c r="H11" i="35"/>
  <c r="I11" i="35" s="1"/>
  <c r="R86" i="3" l="1"/>
  <c r="G45" i="31"/>
  <c r="G9" i="34" s="1"/>
  <c r="G53" i="31"/>
  <c r="K25" i="8"/>
  <c r="G8" i="34"/>
  <c r="F34" i="34"/>
  <c r="F25" i="34"/>
  <c r="G8" i="35"/>
  <c r="G50" i="28"/>
  <c r="I50" i="28" s="1"/>
  <c r="I48" i="28"/>
  <c r="I9" i="28"/>
  <c r="F63" i="31" s="1"/>
  <c r="F65" i="31" s="1"/>
  <c r="F10" i="33" s="1"/>
  <c r="N59" i="28"/>
  <c r="G46" i="31" l="1"/>
  <c r="I7" i="28"/>
  <c r="N63" i="28"/>
  <c r="I15" i="28" s="1"/>
  <c r="F37" i="33"/>
  <c r="F11" i="33"/>
  <c r="F17" i="33" s="1"/>
  <c r="G14" i="34"/>
  <c r="G32" i="34" s="1"/>
  <c r="G54" i="31"/>
  <c r="G10" i="34"/>
  <c r="N19" i="3"/>
  <c r="R81" i="3"/>
  <c r="R78" i="28" l="1"/>
  <c r="S81" i="3"/>
  <c r="O13" i="3" s="1"/>
  <c r="N13" i="3"/>
  <c r="T81" i="3"/>
  <c r="S84" i="3"/>
  <c r="O17" i="3" s="1"/>
  <c r="R80" i="3"/>
  <c r="S87" i="3"/>
  <c r="O20" i="3" s="1"/>
  <c r="S85" i="3"/>
  <c r="O18" i="3" s="1"/>
  <c r="S86" i="3"/>
  <c r="O19" i="3" s="1"/>
  <c r="G30" i="34"/>
  <c r="G11" i="34"/>
  <c r="E17" i="46" a="1"/>
  <c r="H15" i="46" l="1"/>
  <c r="F15" i="46"/>
  <c r="G15" i="46"/>
  <c r="I15" i="46"/>
  <c r="E17" i="46"/>
  <c r="E15" i="46" s="1"/>
  <c r="G31" i="34"/>
  <c r="G20" i="34"/>
  <c r="G21" i="34" s="1"/>
  <c r="G22" i="34" s="1"/>
  <c r="T80" i="3"/>
  <c r="S80" i="3"/>
  <c r="O12" i="3" s="1"/>
  <c r="N12" i="3"/>
  <c r="AK71" i="28"/>
  <c r="AK72" i="28" s="1"/>
  <c r="H55" i="28"/>
  <c r="I55" i="28" s="1"/>
  <c r="H54" i="28"/>
  <c r="AK78" i="28"/>
  <c r="N73" i="28" s="1"/>
  <c r="J10" i="28" s="1"/>
  <c r="G64" i="31" s="1"/>
  <c r="I19" i="46" l="1"/>
  <c r="G19" i="46"/>
  <c r="F19" i="46"/>
  <c r="H19" i="46"/>
  <c r="E19" i="46"/>
  <c r="E20" i="46" s="1"/>
  <c r="E22" i="46"/>
  <c r="G20" i="33"/>
  <c r="G21" i="33" s="1"/>
  <c r="I20" i="46"/>
  <c r="I22" i="46" s="1"/>
  <c r="E20" i="33"/>
  <c r="E21" i="33" s="1"/>
  <c r="E32" i="33" s="1"/>
  <c r="G20" i="46"/>
  <c r="G22" i="46" s="1"/>
  <c r="D20" i="33"/>
  <c r="D21" i="33" s="1"/>
  <c r="D32" i="33" s="1"/>
  <c r="F20" i="46"/>
  <c r="F22" i="46" s="1"/>
  <c r="F20" i="33"/>
  <c r="F21" i="33" s="1"/>
  <c r="F32" i="33" s="1"/>
  <c r="H20" i="46"/>
  <c r="H22" i="46" s="1"/>
  <c r="E41" i="33"/>
  <c r="H56" i="28"/>
  <c r="N72" i="28"/>
  <c r="G54" i="28"/>
  <c r="G34" i="34"/>
  <c r="G25" i="34"/>
  <c r="H8" i="35"/>
  <c r="C20" i="33"/>
  <c r="C21" i="33" s="1"/>
  <c r="C32" i="33" s="1"/>
  <c r="E10" i="35" s="1"/>
  <c r="E12" i="35" s="1"/>
  <c r="D19" i="46"/>
  <c r="B20" i="33" s="1"/>
  <c r="G10" i="35"/>
  <c r="G12" i="35" s="1"/>
  <c r="F10" i="35"/>
  <c r="F12" i="35" s="1"/>
  <c r="B21" i="33" l="1"/>
  <c r="B32" i="33" s="1"/>
  <c r="D14" i="31"/>
  <c r="E26" i="34"/>
  <c r="E27" i="34" s="1"/>
  <c r="F16" i="35"/>
  <c r="F26" i="34"/>
  <c r="F27" i="34" s="1"/>
  <c r="G16" i="35"/>
  <c r="C10" i="35"/>
  <c r="C12" i="35" s="1"/>
  <c r="D10" i="35"/>
  <c r="D12" i="35" s="1"/>
  <c r="E16" i="35"/>
  <c r="D26" i="34"/>
  <c r="D27" i="34" s="1"/>
  <c r="I8" i="35"/>
  <c r="G56" i="28"/>
  <c r="I56" i="28" s="1"/>
  <c r="I54" i="28"/>
  <c r="J9" i="28"/>
  <c r="G63" i="31" s="1"/>
  <c r="G65" i="31" s="1"/>
  <c r="G10" i="33" s="1"/>
  <c r="N74" i="28"/>
  <c r="J7" i="28" l="1"/>
  <c r="N78" i="28"/>
  <c r="J15" i="28" s="1"/>
  <c r="G37" i="33"/>
  <c r="G11" i="33"/>
  <c r="D16" i="35"/>
  <c r="C26" i="34"/>
  <c r="C27" i="34" s="1"/>
  <c r="C16" i="35"/>
  <c r="B26" i="34"/>
  <c r="B27" i="34" s="1"/>
  <c r="B24" i="33" s="1"/>
  <c r="C24" i="33" l="1"/>
  <c r="B23" i="33"/>
  <c r="B25" i="33" s="1"/>
  <c r="B27" i="33" s="1"/>
  <c r="B30" i="33" s="1"/>
  <c r="D24" i="33"/>
  <c r="E24" i="33" s="1"/>
  <c r="F24" i="33" s="1"/>
  <c r="G17" i="33"/>
  <c r="G32" i="33"/>
  <c r="G14" i="49" s="1"/>
  <c r="H10" i="35" l="1"/>
  <c r="J17" i="35"/>
  <c r="F14" i="49"/>
  <c r="C23" i="33"/>
  <c r="C25" i="33" s="1"/>
  <c r="C27" i="33" s="1"/>
  <c r="C30" i="33" s="1"/>
  <c r="I10" i="35"/>
  <c r="I12" i="35" s="1"/>
  <c r="H12" i="35"/>
  <c r="I14" i="35" l="1"/>
  <c r="J16" i="35"/>
  <c r="G26" i="34"/>
  <c r="G27" i="34" s="1"/>
  <c r="G24" i="33" s="1"/>
  <c r="H16" i="35"/>
  <c r="D23" i="33"/>
  <c r="D25" i="33"/>
  <c r="D27" i="33" s="1"/>
  <c r="D30" i="33" s="1"/>
  <c r="E23" i="33"/>
  <c r="B21" i="35" l="1"/>
  <c r="B19" i="35"/>
  <c r="E25" i="33"/>
  <c r="E27" i="33" s="1"/>
  <c r="E30" i="33" s="1"/>
  <c r="F23" i="33"/>
  <c r="F25" i="33" l="1"/>
  <c r="F27" i="33" s="1"/>
  <c r="F30" i="33" s="1"/>
  <c r="G23" i="33"/>
  <c r="G25" i="33" s="1"/>
  <c r="E14" i="49" s="1"/>
  <c r="AJ13" i="23"/>
  <c r="AI13" i="23"/>
  <c r="AJ12" i="23"/>
  <c r="AI12" i="23"/>
  <c r="AJ11" i="23"/>
  <c r="AI11" i="23"/>
  <c r="AJ10" i="23"/>
  <c r="AI10" i="23"/>
  <c r="AJ9" i="23"/>
  <c r="G27" i="33" l="1"/>
  <c r="G30" i="33" s="1"/>
  <c r="W24" i="45"/>
  <c r="F19" i="45" s="1"/>
  <c r="W20" i="45" l="1"/>
  <c r="W13" i="45"/>
  <c r="W26" i="45" s="1"/>
  <c r="F20" i="45" s="1"/>
  <c r="AD20" i="45"/>
  <c r="AD11" i="45"/>
  <c r="AD26" i="45" s="1"/>
  <c r="G20" i="45" s="1"/>
  <c r="AD24" i="45" l="1"/>
  <c r="G19" i="4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<sst xmlns="http://schemas.openxmlformats.org/spreadsheetml/2006/main" count="3833" uniqueCount="1350">
  <si>
    <t>Index</t>
  </si>
  <si>
    <t>Marketing</t>
  </si>
  <si>
    <t>Operations</t>
  </si>
  <si>
    <t>Finance</t>
  </si>
  <si>
    <t>BASES Model</t>
  </si>
  <si>
    <t>Operations Assumptions</t>
  </si>
  <si>
    <t>FE Assumptions</t>
  </si>
  <si>
    <t>Purchase Intent &amp; Price</t>
  </si>
  <si>
    <t>Time 0 Startup Inventory</t>
  </si>
  <si>
    <t>FE Income Statement</t>
  </si>
  <si>
    <t>IMC Schedule</t>
  </si>
  <si>
    <t>Production Capacity Analysis</t>
  </si>
  <si>
    <t>FE Balance Sheet</t>
  </si>
  <si>
    <t>Distribution Reach</t>
  </si>
  <si>
    <t>Inventory Management</t>
  </si>
  <si>
    <t>FE Cash Flow</t>
  </si>
  <si>
    <t>Profile of Retail Environment</t>
  </si>
  <si>
    <t>Logistics &amp; Transportation</t>
  </si>
  <si>
    <t>Depreciation Schedule</t>
  </si>
  <si>
    <t>Capital Expenditure</t>
  </si>
  <si>
    <t>AR&amp;AP Calculations</t>
  </si>
  <si>
    <t>Information Systems Expense</t>
  </si>
  <si>
    <t>Comparable Companies</t>
  </si>
  <si>
    <t>General and Administrative</t>
  </si>
  <si>
    <t>Financial Ratios</t>
  </si>
  <si>
    <t>Manufacturing Overhead</t>
  </si>
  <si>
    <t>Labor Planning</t>
  </si>
  <si>
    <t>COGS</t>
  </si>
  <si>
    <t>Bill of Materials</t>
  </si>
  <si>
    <t>Location Analysis</t>
  </si>
  <si>
    <t>BASES Model (Base Case)</t>
  </si>
  <si>
    <t>This tab incorporates marketing mix elements and creates a demand forecast based off of our original target segment size</t>
  </si>
  <si>
    <t>Back to Index</t>
  </si>
  <si>
    <t>Year:</t>
  </si>
  <si>
    <t>Target Market Size</t>
  </si>
  <si>
    <t>Segment growth rate</t>
  </si>
  <si>
    <t>Adjusted Purchase Intent</t>
  </si>
  <si>
    <t>Awareness</t>
  </si>
  <si>
    <t>ACV</t>
  </si>
  <si>
    <t>Units at Trial</t>
  </si>
  <si>
    <t>Trial Units</t>
  </si>
  <si>
    <t>Repeat Units</t>
  </si>
  <si>
    <t>BASES Sales Unit</t>
  </si>
  <si>
    <t>Competition Adjustment</t>
  </si>
  <si>
    <t>TOTAL UNITS</t>
  </si>
  <si>
    <t>Manufacturer's Selling Price</t>
  </si>
  <si>
    <t>Manufacturer's Sales (rev)</t>
  </si>
  <si>
    <t>Purchase Intent and Price</t>
  </si>
  <si>
    <t>This tab uses our marketing questionnaire data to calculate purchase intent at different price points</t>
  </si>
  <si>
    <t>Survey Data</t>
  </si>
  <si>
    <t>Adjusting Purchase Intent</t>
  </si>
  <si>
    <t>Purchase Intent Calculation</t>
  </si>
  <si>
    <t>Price</t>
  </si>
  <si>
    <t>Def Not (1)</t>
  </si>
  <si>
    <t>Prob Not (2)</t>
  </si>
  <si>
    <t>Maybe (3)</t>
  </si>
  <si>
    <t>Prob Yes (4)</t>
  </si>
  <si>
    <t>Def Yes (5)</t>
  </si>
  <si>
    <t>Prob yes (4)</t>
  </si>
  <si>
    <t>30% Adjust (4)</t>
  </si>
  <si>
    <t>80% Adjust (5)</t>
  </si>
  <si>
    <t>Sum</t>
  </si>
  <si>
    <t>Total Sample</t>
  </si>
  <si>
    <t>% PI</t>
  </si>
  <si>
    <t>Purchase Intent at Price</t>
  </si>
  <si>
    <t>Quantity Sold at Price</t>
  </si>
  <si>
    <t>Total Revenue at Price</t>
  </si>
  <si>
    <t>Demand Curve Equation</t>
  </si>
  <si>
    <t>Y int</t>
  </si>
  <si>
    <t>Slope</t>
  </si>
  <si>
    <t>Tester</t>
  </si>
  <si>
    <t>PI</t>
  </si>
  <si>
    <t>Revenue</t>
  </si>
  <si>
    <t>Year</t>
  </si>
  <si>
    <t>Cumulative PI</t>
  </si>
  <si>
    <t>Year 1</t>
  </si>
  <si>
    <t>Year 2</t>
  </si>
  <si>
    <t>Year 3</t>
  </si>
  <si>
    <t>Year 4</t>
  </si>
  <si>
    <t>Year 5</t>
  </si>
  <si>
    <t>Below are survey findings when filtering based on different segment criteria</t>
  </si>
  <si>
    <t>Purchase Intent target segment vs not in target segment</t>
  </si>
  <si>
    <t>Segment</t>
  </si>
  <si>
    <t xml:space="preserve">Definitely Not </t>
  </si>
  <si>
    <t>Probably Not</t>
  </si>
  <si>
    <t>Not Sure</t>
  </si>
  <si>
    <t>Probably Buy</t>
  </si>
  <si>
    <t>Definitely buy</t>
  </si>
  <si>
    <t>Grand Total</t>
  </si>
  <si>
    <t>PB %</t>
  </si>
  <si>
    <t>DB%</t>
  </si>
  <si>
    <t>Adj PI</t>
  </si>
  <si>
    <t>Target</t>
  </si>
  <si>
    <t>Not in Target</t>
  </si>
  <si>
    <t>Overall</t>
  </si>
  <si>
    <t>Purchase Intent amongst respondents by age group</t>
  </si>
  <si>
    <t>Age Group</t>
  </si>
  <si>
    <t>Under 25</t>
  </si>
  <si>
    <t>25-34</t>
  </si>
  <si>
    <t>35-44</t>
  </si>
  <si>
    <t>45-50</t>
  </si>
  <si>
    <t>51+</t>
  </si>
  <si>
    <t>Purchase Intent amongst respondents by number of times cooking at home</t>
  </si>
  <si>
    <t>Cooking Frequency</t>
  </si>
  <si>
    <t>less than 1</t>
  </si>
  <si>
    <t>1-2 times</t>
  </si>
  <si>
    <t>3-5 times</t>
  </si>
  <si>
    <t>5+ times</t>
  </si>
  <si>
    <t>Purchase Intent amongst respondents by number of tools used per cooking session</t>
  </si>
  <si>
    <t>Tools</t>
  </si>
  <si>
    <t>Purchase Intent amongst respondents by gender</t>
  </si>
  <si>
    <t>Gender</t>
  </si>
  <si>
    <t>Male</t>
  </si>
  <si>
    <t>Female</t>
  </si>
  <si>
    <t>Prefer not to say</t>
  </si>
  <si>
    <t>Purchase Intent amongst respondents that own a dishwasher vs do not own a dishwasher</t>
  </si>
  <si>
    <t>Dishwasher</t>
  </si>
  <si>
    <t>Yes</t>
  </si>
  <si>
    <t>No</t>
  </si>
  <si>
    <t>Target Segment Preferences</t>
  </si>
  <si>
    <t>Preference</t>
  </si>
  <si>
    <t>Most Important</t>
  </si>
  <si>
    <t>%</t>
  </si>
  <si>
    <t>Very Important</t>
  </si>
  <si>
    <t>Somewhat Important</t>
  </si>
  <si>
    <t>Slightly Important</t>
  </si>
  <si>
    <t>Not Important</t>
  </si>
  <si>
    <t>Preservation of tools</t>
  </si>
  <si>
    <t>Time-saving</t>
  </si>
  <si>
    <t>Cleaning ability</t>
  </si>
  <si>
    <t>Safety</t>
  </si>
  <si>
    <t>Sustainibility</t>
  </si>
  <si>
    <t>This tab includes coordinated timing of IMC activities across various channels and cost using predicted data from BASES model</t>
  </si>
  <si>
    <t>Year 0</t>
  </si>
  <si>
    <t>IMC Calculations</t>
  </si>
  <si>
    <t>Calculation Details</t>
  </si>
  <si>
    <t>Push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</si>
  <si>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</si>
  <si>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</si>
  <si>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</si>
  <si>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</si>
  <si>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</si>
  <si>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</si>
  <si>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</si>
  <si>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</si>
  <si>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</si>
  <si>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</si>
  <si>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</si>
  <si>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</si>
  <si>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Cost</t>
  </si>
  <si>
    <t>Total Summary</t>
  </si>
  <si>
    <t>Online Media Marketing</t>
  </si>
  <si>
    <t>Influencer Marketing</t>
  </si>
  <si>
    <t>Transit Marketing</t>
  </si>
  <si>
    <t>Other Paid Media</t>
  </si>
  <si>
    <t>Push Marketing</t>
  </si>
  <si>
    <t>One-Time Booth and Setup Costs</t>
  </si>
  <si>
    <t>Y1</t>
  </si>
  <si>
    <t>Y2</t>
  </si>
  <si>
    <t>Y3</t>
  </si>
  <si>
    <t>Y4</t>
  </si>
  <si>
    <t>Y5</t>
  </si>
  <si>
    <t>Weight</t>
  </si>
  <si>
    <t>CPM/CPC</t>
  </si>
  <si>
    <t>People Aware</t>
  </si>
  <si>
    <t>Cost</t>
  </si>
  <si>
    <t>Suggested Budget</t>
  </si>
  <si>
    <t>CPM</t>
  </si>
  <si>
    <t xml:space="preserve">Cost Per Click </t>
  </si>
  <si>
    <t>Targeted</t>
  </si>
  <si>
    <t>Ad Impact</t>
  </si>
  <si>
    <t># of People Aware</t>
  </si>
  <si>
    <t>Budget</t>
  </si>
  <si>
    <t>Split</t>
  </si>
  <si>
    <t>% of Budget</t>
  </si>
  <si>
    <t>Cost Per Click</t>
  </si>
  <si>
    <t>Y0</t>
  </si>
  <si>
    <t>Event</t>
  </si>
  <si>
    <t>Month</t>
  </si>
  <si>
    <t>Exhibitor Cost</t>
  </si>
  <si>
    <t>Other Costs</t>
  </si>
  <si>
    <t>Atlanta Home Show</t>
  </si>
  <si>
    <t>Size of Target Market</t>
  </si>
  <si>
    <t>Total</t>
  </si>
  <si>
    <t>Social Media</t>
  </si>
  <si>
    <t>4 or 5 nano + 1 micro</t>
  </si>
  <si>
    <t># of Locations</t>
  </si>
  <si>
    <t>Kitchen &amp; Bath Industry Show (KBIS)</t>
  </si>
  <si>
    <t>Kitchen Bath Industry Show</t>
  </si>
  <si>
    <t>Meta</t>
  </si>
  <si>
    <t>4 micro + 2 or 3 nano</t>
  </si>
  <si>
    <t># of Times</t>
  </si>
  <si>
    <t>Podcast(Pre-rec)</t>
  </si>
  <si>
    <t>Total Push</t>
  </si>
  <si>
    <t>Cost as % of Revenue</t>
  </si>
  <si>
    <t>Tik Tok</t>
  </si>
  <si>
    <t xml:space="preserve">TikTok </t>
  </si>
  <si>
    <t>2 mid-tier + 1 micro + 1 nano</t>
  </si>
  <si>
    <t>Total Cost:</t>
  </si>
  <si>
    <t>Podcast(HotRead)</t>
  </si>
  <si>
    <t>One time setup costs</t>
  </si>
  <si>
    <t>Total Awareness %</t>
  </si>
  <si>
    <t>YouTube</t>
  </si>
  <si>
    <t xml:space="preserve">Youtube </t>
  </si>
  <si>
    <t>1 macro + 1 mid-tier + 2 or 3 nano</t>
  </si>
  <si>
    <t>Costs per city</t>
  </si>
  <si>
    <t>New York City</t>
  </si>
  <si>
    <t>Buffalo</t>
  </si>
  <si>
    <t xml:space="preserve">Dallas </t>
  </si>
  <si>
    <t xml:space="preserve">Austin </t>
  </si>
  <si>
    <t>Philedalphia</t>
  </si>
  <si>
    <t>Streaming TV Ads</t>
  </si>
  <si>
    <t>Y1 Total Costs</t>
  </si>
  <si>
    <t>Production Costs</t>
  </si>
  <si>
    <t>Total IMC Cost</t>
  </si>
  <si>
    <t>Google</t>
  </si>
  <si>
    <t>Google Search</t>
  </si>
  <si>
    <t>1 macro + 1 mid-tier + 1 micro + 1 nano</t>
  </si>
  <si>
    <t xml:space="preserve">Los Angeles </t>
  </si>
  <si>
    <t>Phoenix</t>
  </si>
  <si>
    <t xml:space="preserve">Miami </t>
  </si>
  <si>
    <t xml:space="preserve">Atlanta </t>
  </si>
  <si>
    <t>Baltimore</t>
  </si>
  <si>
    <t xml:space="preserve">Amazon </t>
  </si>
  <si>
    <t>TOTAL IMC BUDGET</t>
  </si>
  <si>
    <t>Total Pull Cost</t>
  </si>
  <si>
    <t>Other</t>
  </si>
  <si>
    <t xml:space="preserve">Chicago </t>
  </si>
  <si>
    <t xml:space="preserve">Fort Lauderdale </t>
  </si>
  <si>
    <t xml:space="preserve">Las Vegas </t>
  </si>
  <si>
    <t>Pittsburg</t>
  </si>
  <si>
    <t>Total Push Cost</t>
  </si>
  <si>
    <t>Transit</t>
  </si>
  <si>
    <t>Category</t>
  </si>
  <si>
    <t>Influencers</t>
  </si>
  <si>
    <t>Followers</t>
  </si>
  <si>
    <t>Price Per Post</t>
  </si>
  <si>
    <t xml:space="preserve">Houston </t>
  </si>
  <si>
    <t>Boulder</t>
  </si>
  <si>
    <t>Salt Lake City</t>
  </si>
  <si>
    <t>Nano</t>
  </si>
  <si>
    <t>Liv @simply_styled_liv on TikTok</t>
  </si>
  <si>
    <t>500-2000</t>
  </si>
  <si>
    <t xml:space="preserve">Seattle </t>
  </si>
  <si>
    <t xml:space="preserve">San Francisco </t>
  </si>
  <si>
    <t>Micro</t>
  </si>
  <si>
    <t>Amanda @amandacooksneats on TikTok</t>
  </si>
  <si>
    <t>1000-8000</t>
  </si>
  <si>
    <t>Paid Media</t>
  </si>
  <si>
    <t>Mid-tier</t>
  </si>
  <si>
    <t>Brianna Koehler @bitsofbri on instagram</t>
  </si>
  <si>
    <t>5000-20000</t>
  </si>
  <si>
    <t>The Inspired Home Show</t>
  </si>
  <si>
    <t>Pull</t>
  </si>
  <si>
    <t>Meta Ads Awareness</t>
  </si>
  <si>
    <t>Macro</t>
  </si>
  <si>
    <t>Sophia Lee @bysophialee on TikTok</t>
  </si>
  <si>
    <t>20000-45000</t>
  </si>
  <si>
    <t>Magazines</t>
  </si>
  <si>
    <t>Months</t>
  </si>
  <si>
    <t># of months</t>
  </si>
  <si>
    <t>Cost / Month</t>
  </si>
  <si>
    <t>Mega</t>
  </si>
  <si>
    <t>Melissa Maker @cleanmyspace on YouTube</t>
  </si>
  <si>
    <t>45000+</t>
  </si>
  <si>
    <t>Home &amp; Design Magazine</t>
  </si>
  <si>
    <t>May - July</t>
  </si>
  <si>
    <t>Meta Advertising</t>
  </si>
  <si>
    <t>Tik Tok Ads Awareness</t>
  </si>
  <si>
    <t>Tik Tok Ads</t>
  </si>
  <si>
    <t>Youtube Ads</t>
  </si>
  <si>
    <t>YouTube Ads Awareness</t>
  </si>
  <si>
    <t>Word of Mouth</t>
  </si>
  <si>
    <t>City Number</t>
  </si>
  <si>
    <t xml:space="preserve">City </t>
  </si>
  <si>
    <t xml:space="preserve">Links </t>
  </si>
  <si>
    <t>Unit Cost</t>
  </si>
  <si>
    <t>Type</t>
  </si>
  <si>
    <t>Parameters</t>
  </si>
  <si>
    <t>Google Search Awareness</t>
  </si>
  <si>
    <t>Trial Households</t>
  </si>
  <si>
    <t>https://www.bluelinemedia.com/bus-advertising/new-york-city-ny</t>
  </si>
  <si>
    <t>Exterior Bus</t>
  </si>
  <si>
    <t>% Aware/$1K</t>
  </si>
  <si>
    <t xml:space="preserve">Other Paid Media </t>
  </si>
  <si>
    <t># Buzz Users</t>
  </si>
  <si>
    <t>https://www.bluelinemedia.com/bus-advertising/los-angeles-ca</t>
  </si>
  <si>
    <t>Bus Stop Advertising</t>
  </si>
  <si>
    <t>Influencer Marketing Awareness</t>
  </si>
  <si>
    <t># People Aware</t>
  </si>
  <si>
    <t>https://www.bluelinemedia.com/outdoor-advertising/chicago-il#:~:text=Chicago%2C%20IL%20Outdoor%20%2F%20Out%20of%20Home%20Advertising%20Rates&amp;text=Range%20of%20%24450%20%2D%20%247%2C500%20per,week%20period%20for%20bus%20interior.</t>
  </si>
  <si>
    <t>Podcast(Pre-recorded)</t>
  </si>
  <si>
    <t>% Awareness</t>
  </si>
  <si>
    <t>https://www.bluelinemedia.com/outdoor-advertising/houston-tx</t>
  </si>
  <si>
    <t>Taxi Ads</t>
  </si>
  <si>
    <t>Podcast(Hot Read)</t>
  </si>
  <si>
    <t>Transit Advertising Awareness</t>
  </si>
  <si>
    <t>https://www.bluelinemedia.com/bus-advertising/seattle-wa</t>
  </si>
  <si>
    <t>May - Dec</t>
  </si>
  <si>
    <t>Assumptions</t>
  </si>
  <si>
    <t>https://www.bluelinemedia.com/bus-advertising/dallas-tx</t>
  </si>
  <si>
    <t>Y2 Total Costs</t>
  </si>
  <si>
    <t>Other Paid Media Awareness</t>
  </si>
  <si>
    <t>Type of Product</t>
  </si>
  <si>
    <t>Semi Private</t>
  </si>
  <si>
    <t>https://www.bluelinemedia.com/bus-advertising/miami-fl</t>
  </si>
  <si>
    <t>Owned Media</t>
  </si>
  <si>
    <t>% of Buzz users</t>
  </si>
  <si>
    <t>https://www.bluelinemedia.com/bus-advertising/las-vegas-nv</t>
  </si>
  <si>
    <t>Website</t>
  </si>
  <si>
    <t>People / Buzz</t>
  </si>
  <si>
    <t>https://www.billboardsin.com/market/boulder-colorado/transit-advertising/</t>
  </si>
  <si>
    <t>Earned Media</t>
  </si>
  <si>
    <t>https://www.bluelinemedia.com/bus-advertising/san-francisco-ca</t>
  </si>
  <si>
    <t>Social Media Amp</t>
  </si>
  <si>
    <t>https://www.bluelinemedia.com/bus-advertising/austin-tx</t>
  </si>
  <si>
    <t>https://www.bluelinemedia.com/bus-advertising/atlanta-ga</t>
  </si>
  <si>
    <t>Public Relations</t>
  </si>
  <si>
    <t>https://www.bluelinemedia.com/bus-advertising/pittsburgh-pa</t>
  </si>
  <si>
    <t>Jan - Dec</t>
  </si>
  <si>
    <t>Total Pull</t>
  </si>
  <si>
    <t>https://www.bluelinemedia.com/bus-advertising/salt-lake-city-ut#:~:text=Salt%20Lake%20City%2C%20UT%20Bus%20Advertising%20Rates&amp;text=Range%20of%20%2450%20%2D%20%24100%20per%20display%20per%204%20week%20period.</t>
  </si>
  <si>
    <t>Y3 Total Costs</t>
  </si>
  <si>
    <t>Social Media Amplification</t>
  </si>
  <si>
    <t>https://www.bluelinemedia.com/bus-advertising/philadelphia-pa</t>
  </si>
  <si>
    <t>https://www.bluelinemedia.com/bus-advertising/baltimore-md</t>
  </si>
  <si>
    <t>https://www.bluelinemedia.com/bus-advertising/fort-lauderdale-fl</t>
  </si>
  <si>
    <t>https://www.bluelinemedia.com/bus-advertising/phoenix-az</t>
  </si>
  <si>
    <t>Public Relations + Social Media</t>
  </si>
  <si>
    <t>https://www.bluelinemedia.com/bus-advertising/buffalo-ny#:~:text=Buffalo%2C%20NY%20Bus%20Advertising%20Rates&amp;text=Range%20of%20%24460%20%2D%20%245%2C250%20per%20display%20per%204%20week%20period.</t>
  </si>
  <si>
    <t>Jan -  Dec</t>
  </si>
  <si>
    <t>Total Pull Costs</t>
  </si>
  <si>
    <t>Y4 Total Costs</t>
  </si>
  <si>
    <t>IMC as a % of sales</t>
  </si>
  <si>
    <t>Total Push Costs</t>
  </si>
  <si>
    <t>Y5 Total Costs</t>
  </si>
  <si>
    <t>Online Media</t>
  </si>
  <si>
    <t>Profile of the Retail Environment</t>
  </si>
  <si>
    <t>This tab illustrates our research on the retail environment based off weights for total revenue per channel</t>
  </si>
  <si>
    <r>
      <rPr>
        <b/>
        <sz val="11"/>
        <color rgb="FF000000"/>
        <rFont val="Calibri"/>
        <family val="2"/>
        <scheme val="minor"/>
      </rPr>
      <t>Product Category:</t>
    </r>
    <r>
      <rPr>
        <sz val="11"/>
        <color rgb="FF000000"/>
        <rFont val="Calibri"/>
        <family val="2"/>
        <scheme val="minor"/>
      </rPr>
      <t xml:space="preserve"> Kitchen Gadgets</t>
    </r>
  </si>
  <si>
    <t>Sales Revenue</t>
  </si>
  <si>
    <t>Department Stores</t>
  </si>
  <si>
    <t>Dillard's</t>
  </si>
  <si>
    <t>Macy's</t>
  </si>
  <si>
    <t>Montgomery Ward</t>
  </si>
  <si>
    <t>Online</t>
  </si>
  <si>
    <t>Mass Merchandisers</t>
  </si>
  <si>
    <t>Independent Stores</t>
  </si>
  <si>
    <t>Everything Kitchens</t>
  </si>
  <si>
    <t>Chefs' Toys</t>
  </si>
  <si>
    <t>Kitchen Outfitters</t>
  </si>
  <si>
    <t>The Wooden Spoon</t>
  </si>
  <si>
    <t>LeRoux Kitchen</t>
  </si>
  <si>
    <t>Other Independent Stores</t>
  </si>
  <si>
    <t>Chain Stores</t>
  </si>
  <si>
    <t>Sur La Table</t>
  </si>
  <si>
    <t>Le Creuset</t>
  </si>
  <si>
    <t>Kroger</t>
  </si>
  <si>
    <t>Williams Sonoma</t>
  </si>
  <si>
    <t>Revenue Calculations</t>
  </si>
  <si>
    <t>Retailer</t>
  </si>
  <si>
    <t># of Locations
(for independents)</t>
  </si>
  <si>
    <t>Annual Sales Revenue</t>
  </si>
  <si>
    <t>Revenue Sources</t>
  </si>
  <si>
    <t>Kitchen Gadget Sales 
(% of overall sales)</t>
  </si>
  <si>
    <t>---</t>
  </si>
  <si>
    <t>Link</t>
  </si>
  <si>
    <t>This tab calculates ACV and units sold in various marketing base on our research about profile of retail environment</t>
  </si>
  <si>
    <t>ACV Calculations</t>
  </si>
  <si>
    <t>Units Y1:</t>
  </si>
  <si>
    <t>Y1 Adjusted Retail Price</t>
  </si>
  <si>
    <t>% Manufacturer Total Units</t>
  </si>
  <si>
    <t>Manufacturer Selling Price</t>
  </si>
  <si>
    <t>Retailer Margin</t>
  </si>
  <si>
    <t>Retailer Selling Price</t>
  </si>
  <si>
    <t>% of Sales</t>
  </si>
  <si>
    <t>Units Sold</t>
  </si>
  <si>
    <t>Units into Independent</t>
  </si>
  <si>
    <t>Units into Chain Stores</t>
  </si>
  <si>
    <t>Units into Online Stores</t>
  </si>
  <si>
    <t>Units into Mass Merchandisers</t>
  </si>
  <si>
    <t>Units into Department Stores</t>
  </si>
  <si>
    <t>Average weighted manufacturer's selling price to channel</t>
  </si>
  <si>
    <t>Average weighted retailer selling price</t>
  </si>
  <si>
    <t>Amazon</t>
  </si>
  <si>
    <t>Units Y2:</t>
  </si>
  <si>
    <t>Y2 Adjusted Retail Price</t>
  </si>
  <si>
    <t>Units Y3:</t>
  </si>
  <si>
    <t>Y3 Adjusted Retail Price</t>
  </si>
  <si>
    <t>Units Y4:</t>
  </si>
  <si>
    <t>Y4 Adjusted Retail Price</t>
  </si>
  <si>
    <t>Units Y5:</t>
  </si>
  <si>
    <t>Y5 Adjusted Retail Price</t>
  </si>
  <si>
    <t>General Assumptions and Calculations</t>
  </si>
  <si>
    <t>Total Units Y1 - Y5</t>
  </si>
  <si>
    <t>Static Retailer Values</t>
  </si>
  <si>
    <t>Margin</t>
  </si>
  <si>
    <t>Total Units</t>
  </si>
  <si>
    <t>% Total Units</t>
  </si>
  <si>
    <t xml:space="preserve">Total </t>
  </si>
  <si>
    <t>OM Assumptions</t>
  </si>
  <si>
    <t>This tab displays assumptions, both given and researched, which are used for calculations within our operations</t>
  </si>
  <si>
    <t>Time 0 Assumptions</t>
  </si>
  <si>
    <t># Months Operating at Time 0</t>
  </si>
  <si>
    <t># Months of Cash on hand</t>
  </si>
  <si>
    <t>Labor Assumptions</t>
  </si>
  <si>
    <t>Working Hours per Day</t>
  </si>
  <si>
    <t>Working Days per Year</t>
  </si>
  <si>
    <t>Working Hours per Year</t>
  </si>
  <si>
    <t>Starting Wage</t>
  </si>
  <si>
    <t>Rates as a % of salary / wage</t>
  </si>
  <si>
    <t>Fringe Benefits</t>
  </si>
  <si>
    <t>Salary / Wage Growth Rate</t>
  </si>
  <si>
    <t>Part Time Premium</t>
  </si>
  <si>
    <t>Night Time (Shift 2) Premium</t>
  </si>
  <si>
    <t>General and Administrative Assumptions</t>
  </si>
  <si>
    <t>Bill of Materials Assumptions</t>
  </si>
  <si>
    <t>China Lead Time</t>
  </si>
  <si>
    <t>US Lead Time</t>
  </si>
  <si>
    <t>Inbound Cost (% of COGS)</t>
  </si>
  <si>
    <t>Manufacturing Overhead Assumptions</t>
  </si>
  <si>
    <t>Rent Price / Square Foot</t>
  </si>
  <si>
    <t>Facility Square Foot</t>
  </si>
  <si>
    <t>Physical Conversion Costs / sqft</t>
  </si>
  <si>
    <t>Starting Utilities Cost</t>
  </si>
  <si>
    <t>Utilities Growth (as % of sales)</t>
  </si>
  <si>
    <t>Equipment Maintinence Cost</t>
  </si>
  <si>
    <t># Units / Warehouse Personel</t>
  </si>
  <si>
    <t>Inventory Assumptions</t>
  </si>
  <si>
    <t>Service Level</t>
  </si>
  <si>
    <t>Least Likely Demand (as a % of demand)</t>
  </si>
  <si>
    <t>Most Likely Demand (as a % of demand)</t>
  </si>
  <si>
    <t>Lead Times in Days by Source Location</t>
  </si>
  <si>
    <t>China</t>
  </si>
  <si>
    <t>US</t>
  </si>
  <si>
    <t>Inventory Holding Costs (as a % of COGS)</t>
  </si>
  <si>
    <t>Ordering Costs</t>
  </si>
  <si>
    <t>Finished Goods Lead Time (weeks)</t>
  </si>
  <si>
    <t>Product Capacity Assumptions</t>
  </si>
  <si>
    <t>Injection Mold Capacity</t>
  </si>
  <si>
    <t>Capital Expenditures Assumptions</t>
  </si>
  <si>
    <t>Injection Molding Machine Cost</t>
  </si>
  <si>
    <t>Injection Mold Cost</t>
  </si>
  <si>
    <t>Bristle Machine Cost</t>
  </si>
  <si>
    <t>Conveyor Belt Cost</t>
  </si>
  <si>
    <t>Information Systems Expense Assumptions</t>
  </si>
  <si>
    <t>Costs</t>
  </si>
  <si>
    <t>Upfront Cost</t>
  </si>
  <si>
    <t>Licencing fee per employee per month</t>
  </si>
  <si>
    <t>Microsoft Office Premium Cost (user/month)</t>
  </si>
  <si>
    <t>Shopify Credit Card Processing (per month)</t>
  </si>
  <si>
    <t>Laptop per Executives (3-year Warranty)</t>
  </si>
  <si>
    <t xml:space="preserve">Laptop per other personal </t>
  </si>
  <si>
    <t>High Speed Printer</t>
  </si>
  <si>
    <t xml:space="preserve">Virtual Private Network </t>
  </si>
  <si>
    <t xml:space="preserve">Hi end networking equipment </t>
  </si>
  <si>
    <t>Rates</t>
  </si>
  <si>
    <t>Yearly Fee per licence</t>
  </si>
  <si>
    <t xml:space="preserve">Licencing Fee Cost Growth Rate </t>
  </si>
  <si>
    <t># of Execs per printer</t>
  </si>
  <si>
    <t>Timelines</t>
  </si>
  <si>
    <t># of months Y1-Y5</t>
  </si>
  <si>
    <t># of months Y0</t>
  </si>
  <si>
    <t>Injection Mold Machine Cost</t>
  </si>
  <si>
    <t>Conveyors / 100,000 units</t>
  </si>
  <si>
    <t>Equipment Assumptions</t>
  </si>
  <si>
    <t>Cost per unit</t>
  </si>
  <si>
    <t>Useful Life (yrs)</t>
  </si>
  <si>
    <t>Injection Mold Machine</t>
  </si>
  <si>
    <t>Injection Mold</t>
  </si>
  <si>
    <t>Bristle Machine</t>
  </si>
  <si>
    <t xml:space="preserve">Conveyor Belt </t>
  </si>
  <si>
    <t>Management Laptop</t>
  </si>
  <si>
    <t>Other Employee Laptop</t>
  </si>
  <si>
    <t>High End Networking Device</t>
  </si>
  <si>
    <t>This tab provides our startup spending of material, MOH, and G&amp;A, as well as our cash on hand in Y0</t>
  </si>
  <si>
    <t>Materials</t>
  </si>
  <si>
    <t>Cash on hand Y0</t>
  </si>
  <si>
    <t>Quantity</t>
  </si>
  <si>
    <t xml:space="preserve">Rent </t>
  </si>
  <si>
    <t xml:space="preserve">Raw Materials </t>
  </si>
  <si>
    <t>Utilities</t>
  </si>
  <si>
    <t>Work in Progress</t>
  </si>
  <si>
    <t>Salaries</t>
  </si>
  <si>
    <t>Finished Goods</t>
  </si>
  <si>
    <t>Direct Labor</t>
  </si>
  <si>
    <t>Equipment Insurance</t>
  </si>
  <si>
    <t>IS Expense</t>
  </si>
  <si>
    <t>This tab displays our production process design, as well as specific workstation and task details</t>
  </si>
  <si>
    <t>Task</t>
  </si>
  <si>
    <t>Time (sec)</t>
  </si>
  <si>
    <t>Description</t>
  </si>
  <si>
    <t>Total Units Demanded</t>
  </si>
  <si>
    <t xml:space="preserve">A </t>
  </si>
  <si>
    <t>Injection molding - front piece</t>
  </si>
  <si>
    <t>Takt Time (sec):</t>
  </si>
  <si>
    <t>Cycle Time (sec):</t>
  </si>
  <si>
    <t>Work hours per day</t>
  </si>
  <si>
    <t>B</t>
  </si>
  <si>
    <t>Injection molding - back piece</t>
  </si>
  <si>
    <t>Workstation</t>
  </si>
  <si>
    <t># workers</t>
  </si>
  <si>
    <t>Task Group</t>
  </si>
  <si>
    <t>Utilization</t>
  </si>
  <si>
    <t>Task group</t>
  </si>
  <si>
    <t>Work days per year</t>
  </si>
  <si>
    <t>C</t>
  </si>
  <si>
    <t>Injection molding - soap plate</t>
  </si>
  <si>
    <t>Station 1</t>
  </si>
  <si>
    <t>Front Piece</t>
  </si>
  <si>
    <t>E</t>
  </si>
  <si>
    <t>Working hours per year</t>
  </si>
  <si>
    <t>D</t>
  </si>
  <si>
    <t>Injection molding - bristle plate</t>
  </si>
  <si>
    <t>F</t>
  </si>
  <si>
    <t>Demanded Units per day</t>
  </si>
  <si>
    <t>Soap Dispenser Assembly - Front Piece</t>
  </si>
  <si>
    <t>Sponge Plate</t>
  </si>
  <si>
    <t>H</t>
  </si>
  <si>
    <t>Bristle</t>
  </si>
  <si>
    <t>K</t>
  </si>
  <si>
    <t>Back Piece</t>
  </si>
  <si>
    <t>G</t>
  </si>
  <si>
    <t>Demanded Units per hour</t>
  </si>
  <si>
    <t>Attach Soap Dispenser - Front Piece</t>
  </si>
  <si>
    <t>I</t>
  </si>
  <si>
    <t>Cut Bristle</t>
  </si>
  <si>
    <t>J</t>
  </si>
  <si>
    <t>Takt Time (seconds)</t>
  </si>
  <si>
    <t>Glue Suction Cups - Back Piece</t>
  </si>
  <si>
    <t>Station 2</t>
  </si>
  <si>
    <t>Required Labor and Machinery</t>
  </si>
  <si>
    <t>Cut Sponge - Sponge Plate</t>
  </si>
  <si>
    <t>Production Line Employees</t>
  </si>
  <si>
    <t>Glue Sponge - Sponge Plate</t>
  </si>
  <si>
    <t xml:space="preserve">Back Piece </t>
  </si>
  <si>
    <t>IM Supervisor Day</t>
  </si>
  <si>
    <t>Cut Bristle Wire - Bristle Plate</t>
  </si>
  <si>
    <t>IM Supervisor Night</t>
  </si>
  <si>
    <t>Bundle and Insert Bristles  - Bristle Plate</t>
  </si>
  <si>
    <t>Assembly</t>
  </si>
  <si>
    <t>L</t>
  </si>
  <si>
    <t># Injection Molding Machines</t>
  </si>
  <si>
    <t>Attach Detachable Sponge Plate - Assembly</t>
  </si>
  <si>
    <t>M</t>
  </si>
  <si>
    <t>Station 3</t>
  </si>
  <si>
    <t># Bristle Machines</t>
  </si>
  <si>
    <t>Attach Detachable Bristle Plate - Assembly</t>
  </si>
  <si>
    <t>N</t>
  </si>
  <si>
    <t>Capacity Utilization</t>
  </si>
  <si>
    <t>Insert ball bearings - Assembly</t>
  </si>
  <si>
    <t>O</t>
  </si>
  <si>
    <t>Efficiency</t>
  </si>
  <si>
    <t>Fit and lock pieces together - Assembly</t>
  </si>
  <si>
    <t>Throughput Time (secs):</t>
  </si>
  <si>
    <t>Injection Molding</t>
  </si>
  <si>
    <t>IM Supervisors</t>
  </si>
  <si>
    <t>Summary</t>
  </si>
  <si>
    <t>Throughput - IM (secs):</t>
  </si>
  <si>
    <t># of machines</t>
  </si>
  <si>
    <t>Day</t>
  </si>
  <si>
    <t>Total prodline</t>
  </si>
  <si>
    <t>Theoretical Required Labor and Machinery</t>
  </si>
  <si>
    <t># of worker</t>
  </si>
  <si>
    <t>Night</t>
  </si>
  <si>
    <t>Total Workers</t>
  </si>
  <si>
    <t># of Workstations needed</t>
  </si>
  <si>
    <t># of hours</t>
  </si>
  <si>
    <t>Hours day</t>
  </si>
  <si>
    <t>Capacity</t>
  </si>
  <si>
    <t>Hours Day</t>
  </si>
  <si>
    <t># of IM Supervisors</t>
  </si>
  <si>
    <t>Hours night</t>
  </si>
  <si>
    <t>Demanded</t>
  </si>
  <si>
    <t>Hours Night</t>
  </si>
  <si>
    <t>IM Supervisors Day</t>
  </si>
  <si>
    <t>Demand</t>
  </si>
  <si>
    <t>IM Supervisors Night</t>
  </si>
  <si>
    <t># Bristle Machines needed</t>
  </si>
  <si>
    <t># IM Machines needed</t>
  </si>
  <si>
    <t>Required w/ 1 shift</t>
  </si>
  <si>
    <t>Required w/ 2 shifts</t>
  </si>
  <si>
    <t># IM Molds needed</t>
  </si>
  <si>
    <t>Configuration</t>
  </si>
  <si>
    <t>8hr Capacity</t>
  </si>
  <si>
    <t>Demand vs Injection Molding Machine Capacity</t>
  </si>
  <si>
    <t>1 Machine</t>
  </si>
  <si>
    <t>Number of IM Machines</t>
  </si>
  <si>
    <t>Capacity 8 hrs</t>
  </si>
  <si>
    <t>Capacity 16 hrs</t>
  </si>
  <si>
    <t>Count Config 4</t>
  </si>
  <si>
    <t>Count Config 2</t>
  </si>
  <si>
    <t>Count Config 1</t>
  </si>
  <si>
    <t>2 Machines</t>
  </si>
  <si>
    <t>4 Machines</t>
  </si>
  <si>
    <t>Allowance per Machine</t>
  </si>
  <si>
    <t xml:space="preserve"> </t>
  </si>
  <si>
    <t>This tab calculates our optimal inventory levels given our chosen service level</t>
  </si>
  <si>
    <t>Total Value</t>
  </si>
  <si>
    <t>Z-Score</t>
  </si>
  <si>
    <t>Raw Materials Value</t>
  </si>
  <si>
    <t>Inv Holding Cost</t>
  </si>
  <si>
    <t>Work in Progress Value</t>
  </si>
  <si>
    <t>Raw Materials</t>
  </si>
  <si>
    <t>Material Details</t>
  </si>
  <si>
    <t>Material Demand</t>
  </si>
  <si>
    <t>Lead Time</t>
  </si>
  <si>
    <t>Ordering</t>
  </si>
  <si>
    <t>Stocking</t>
  </si>
  <si>
    <t>Value</t>
  </si>
  <si>
    <t>Order Cost</t>
  </si>
  <si>
    <t>Finished Goods Value</t>
  </si>
  <si>
    <t>Inventory Levels</t>
  </si>
  <si>
    <t>Annual Demand</t>
  </si>
  <si>
    <t>Material</t>
  </si>
  <si>
    <t>Q per Unit</t>
  </si>
  <si>
    <t>Avg D</t>
  </si>
  <si>
    <t>Std D</t>
  </si>
  <si>
    <t>Avg LT</t>
  </si>
  <si>
    <t>Std LT</t>
  </si>
  <si>
    <t>Std DDLT</t>
  </si>
  <si>
    <t>EOQ</t>
  </si>
  <si>
    <t>ROP</t>
  </si>
  <si>
    <t>Cycle Stock</t>
  </si>
  <si>
    <t>Safety Stock</t>
  </si>
  <si>
    <t>Cycle</t>
  </si>
  <si>
    <t>WIP Units</t>
  </si>
  <si>
    <t>Avg Production LT</t>
  </si>
  <si>
    <t>Average</t>
  </si>
  <si>
    <t>Plastic Resin</t>
  </si>
  <si>
    <t>WIP Value per Unit</t>
  </si>
  <si>
    <t>Raw Materials Quantity</t>
  </si>
  <si>
    <t>Standard Deviation</t>
  </si>
  <si>
    <t>Waterproof Springs</t>
  </si>
  <si>
    <t>Total WIP Value</t>
  </si>
  <si>
    <t>Work in Progress Quantity</t>
  </si>
  <si>
    <t>Weekly Demand</t>
  </si>
  <si>
    <t>Ball Bearings</t>
  </si>
  <si>
    <t>Finished Goods Quantity</t>
  </si>
  <si>
    <t>Suction Cups</t>
  </si>
  <si>
    <t>Weeks of Supply</t>
  </si>
  <si>
    <t>Bristles</t>
  </si>
  <si>
    <t>Cost per Unit</t>
  </si>
  <si>
    <t>Sponge</t>
  </si>
  <si>
    <t>Raw Material</t>
  </si>
  <si>
    <t>Soap Dispenser</t>
  </si>
  <si>
    <t>Total FG Inventory</t>
  </si>
  <si>
    <t>Total COGS</t>
  </si>
  <si>
    <t>Total FG Value</t>
  </si>
  <si>
    <t>Inventory Turns</t>
  </si>
  <si>
    <t>RM</t>
  </si>
  <si>
    <t>WIP</t>
  </si>
  <si>
    <t>FG</t>
  </si>
  <si>
    <t>Total Inventory</t>
  </si>
  <si>
    <t>Average Cycle Stock</t>
  </si>
  <si>
    <t>Average Safety Stock</t>
  </si>
  <si>
    <t>This tab  involve the costs of the movement of goods and materials from suppliers to various channels based on research and the estimated size of our product</t>
  </si>
  <si>
    <t>Calculations</t>
  </si>
  <si>
    <t>Costs By Channel</t>
  </si>
  <si>
    <t>Y1 Total Units</t>
  </si>
  <si>
    <t>Y1 Number of Boxes</t>
  </si>
  <si>
    <t>Y1 Shipping Costs</t>
  </si>
  <si>
    <t>Swift Shift</t>
  </si>
  <si>
    <t>Cost Calculations (Excluding Online)</t>
  </si>
  <si>
    <t>Weight per unit (lbs)</t>
  </si>
  <si>
    <t>Cost Per Box</t>
  </si>
  <si>
    <t>Length (inches)</t>
  </si>
  <si>
    <t>Width (inches)</t>
  </si>
  <si>
    <t>Height (inches)</t>
  </si>
  <si>
    <t>Fedex Shipping Information</t>
  </si>
  <si>
    <t>Standard freight box base (inches)</t>
  </si>
  <si>
    <t>Standard freight box height (inches)</t>
  </si>
  <si>
    <t>Krogers</t>
  </si>
  <si>
    <t>Box capacity</t>
  </si>
  <si>
    <t>Units per box</t>
  </si>
  <si>
    <t>Y2 Total Units</t>
  </si>
  <si>
    <t>Y2 Number of Boxes</t>
  </si>
  <si>
    <t>Y2 Shipping Costs</t>
  </si>
  <si>
    <t>Package weight (lbs)</t>
  </si>
  <si>
    <t>Transportation Costs By Year</t>
  </si>
  <si>
    <t>Online Cost Calculations</t>
  </si>
  <si>
    <t>Costs Per Unit</t>
  </si>
  <si>
    <t>Units</t>
  </si>
  <si>
    <t>Cost Per Unit</t>
  </si>
  <si>
    <t>Y3 Total Units</t>
  </si>
  <si>
    <t>Y3 Number of Boxes</t>
  </si>
  <si>
    <t>Y3 Shipping Costs</t>
  </si>
  <si>
    <t>Y4 Total Units</t>
  </si>
  <si>
    <t>Y4 Number of Boxes</t>
  </si>
  <si>
    <t>Y4 Shipping Costs</t>
  </si>
  <si>
    <t>Y5 Total Units</t>
  </si>
  <si>
    <t>Y5 Number of Boxes</t>
  </si>
  <si>
    <t>Y5 Shipping Costs</t>
  </si>
  <si>
    <t>Capital Expenditures</t>
  </si>
  <si>
    <t>This tab represent the investments made in long-term assets based on demand</t>
  </si>
  <si>
    <t>Y0-Y1</t>
  </si>
  <si>
    <t>Physical conversion cost</t>
  </si>
  <si>
    <t>Machinery Purchased</t>
  </si>
  <si>
    <t># of injection molding machines</t>
  </si>
  <si>
    <t>Injection molding machine costs</t>
  </si>
  <si>
    <t>link</t>
  </si>
  <si>
    <t># of molds</t>
  </si>
  <si>
    <t>Mold costs</t>
  </si>
  <si>
    <t># of bristle machines</t>
  </si>
  <si>
    <t>Bristle machine cost</t>
  </si>
  <si>
    <t># of conveyor</t>
  </si>
  <si>
    <t>Conveyor cost</t>
  </si>
  <si>
    <t>Total cost</t>
  </si>
  <si>
    <t>This tab involves the costs associated with technology infrastructure and digital resources to support the organization's information technology functions</t>
  </si>
  <si>
    <t>https://www.microsoft.com/en-us/microsoft-365/business</t>
  </si>
  <si>
    <t xml:space="preserve"># of Employees </t>
  </si>
  <si>
    <t>https://www.oracle.com/erp/#rc30p6</t>
  </si>
  <si>
    <t>not including direct labor</t>
  </si>
  <si>
    <t>https://docs.oracle.com/en/cloud/saas/supply-chain-and-manufacturing/24a/faumf/how-you-print-labels.html#s20055711</t>
  </si>
  <si>
    <t>SOFTWARE</t>
  </si>
  <si>
    <t>https://www.shopify.com/pricing?term=shopify%20pricing&amp;adid=565799981884&amp;campaignid=15436644439&amp;branded_enterprise=1&amp;BOID=brand&amp;utm_medium=cpc&amp;utm_source=google&amp;gad_source=1&amp;gclid=Cj0KCQjwqpSwBhClARIsADlZ_TllAqP1Vrq2nIVN9PP7cQezFMPACb5noQM7hiGI_q3jStIqzKvLM4MaAoWdEALw_wcB&amp;cmadid=516586854;cmadvertiserid=10730501;cmcampaignid=26990768;cmplacementid=324494812;cmcreativeid=163722649;cmsiteid=5500011</t>
  </si>
  <si>
    <t xml:space="preserve">Upfront Cost </t>
  </si>
  <si>
    <t>Licencing Fee (Total Monthly)</t>
  </si>
  <si>
    <t>Licencing Fee (Yearly Fee)</t>
  </si>
  <si>
    <t xml:space="preserve">Microsoft Office Premium </t>
  </si>
  <si>
    <t>Shopify Credit Card Processing</t>
  </si>
  <si>
    <t>Total Cost of Software</t>
  </si>
  <si>
    <t xml:space="preserve">Hardware </t>
  </si>
  <si>
    <t xml:space="preserve"> Management Laptops </t>
  </si>
  <si>
    <t xml:space="preserve">Other Employee Laptops </t>
  </si>
  <si>
    <t xml:space="preserve">High Speed Printer </t>
  </si>
  <si>
    <t>High end Networking Equipment</t>
  </si>
  <si>
    <t xml:space="preserve">Total Cost of Hardware </t>
  </si>
  <si>
    <t xml:space="preserve">Total Cost of Software, Hardware, &amp; Internet </t>
  </si>
  <si>
    <t xml:space="preserve">Licencing Fee per Employee per month </t>
  </si>
  <si>
    <t xml:space="preserve">Number of Executives &amp; Managers </t>
  </si>
  <si>
    <t>Other Personnel (Warehouse, Indirect Labor)</t>
  </si>
  <si>
    <t xml:space="preserve"># of Printers </t>
  </si>
  <si>
    <t>Purchase Schedule</t>
  </si>
  <si>
    <t>Management Laptops</t>
  </si>
  <si>
    <t>This tab offers detailed salary assumption to employees who are involved in administrative tasks and support functions within the company</t>
  </si>
  <si>
    <t>Total Compensation Cost (Salary + Benefits)</t>
  </si>
  <si>
    <t>Hiring Plan and Base Salaries</t>
  </si>
  <si>
    <t>Employee</t>
  </si>
  <si>
    <t>CEO</t>
  </si>
  <si>
    <t>Salary</t>
  </si>
  <si>
    <t>CMO</t>
  </si>
  <si>
    <t>Starting Salary Assumptions</t>
  </si>
  <si>
    <t>COO</t>
  </si>
  <si>
    <t>Accountant</t>
  </si>
  <si>
    <t>CFO</t>
  </si>
  <si>
    <t>Product Director</t>
  </si>
  <si>
    <t>Network Admin</t>
  </si>
  <si>
    <t>Human Resources</t>
  </si>
  <si>
    <t>Operations Manager</t>
  </si>
  <si>
    <t xml:space="preserve">Customer Service </t>
  </si>
  <si>
    <t>G&amp;A Per Unit</t>
  </si>
  <si>
    <t>This tab includes all indirect production costs incurred during the manufacturing process in our factory</t>
  </si>
  <si>
    <t>Production Facility Costs</t>
  </si>
  <si>
    <t>Manufacturing Overhead Costs</t>
  </si>
  <si>
    <t>Rent $/Sqft</t>
  </si>
  <si>
    <t>Yearly Rent Cost</t>
  </si>
  <si>
    <t>One Time Physical conversion cost</t>
  </si>
  <si>
    <t>Rent</t>
  </si>
  <si>
    <t>Yearly utilities cost</t>
  </si>
  <si>
    <t>Utilities cost</t>
  </si>
  <si>
    <t>Indirect Labor</t>
  </si>
  <si>
    <t xml:space="preserve">Indirect materials </t>
  </si>
  <si>
    <t>Maintenance cost</t>
  </si>
  <si>
    <t>Total Insurance</t>
  </si>
  <si>
    <t>Liability Insurance (as % of revs)</t>
  </si>
  <si>
    <t xml:space="preserve">Product liability </t>
  </si>
  <si>
    <t xml:space="preserve">Equipment </t>
  </si>
  <si>
    <t>MOH per Unit</t>
  </si>
  <si>
    <t>Indirect Material Costs</t>
  </si>
  <si>
    <t>Supplier</t>
  </si>
  <si>
    <t xml:space="preserve">Price / Order </t>
  </si>
  <si>
    <t>Price / Unit</t>
  </si>
  <si>
    <t>Waterproof adhesive (g)</t>
  </si>
  <si>
    <t>Hopson</t>
  </si>
  <si>
    <t>Adhesive (kgs conversion)</t>
  </si>
  <si>
    <t>Warehouse Personnel</t>
  </si>
  <si>
    <t>Wage Rates</t>
  </si>
  <si>
    <t xml:space="preserve">Hourly Wage </t>
  </si>
  <si>
    <t>Hourly Wage + Benefits</t>
  </si>
  <si>
    <t>Hours</t>
  </si>
  <si>
    <t>This tab involves forecasting and scheduling the appropriate number of workers based on the OM assumptions</t>
  </si>
  <si>
    <t>DAY</t>
  </si>
  <si>
    <t>Production line workers</t>
  </si>
  <si>
    <t>Yearly Wage Growth Rate</t>
  </si>
  <si>
    <t>IM Supervisor</t>
  </si>
  <si>
    <t>Total Day Workers</t>
  </si>
  <si>
    <t>Total Hours / Year</t>
  </si>
  <si>
    <t>https://www.ziprecruiter.com/Salaries/Factory-Worker-Salary--in-Missouri#:~:text=As%20of%20Apr%209%2C%202024,Missouri%20is%20%2414.43%20an%20hour.</t>
  </si>
  <si>
    <t>Total Annual Wage</t>
  </si>
  <si>
    <t>NIGHT</t>
  </si>
  <si>
    <t>Total Night Workers</t>
  </si>
  <si>
    <t>Total Direct Labor</t>
  </si>
  <si>
    <t>Direct Labor per unit</t>
  </si>
  <si>
    <t>Cost of Goods Sold</t>
  </si>
  <si>
    <t>This tab represents the direct expenses incurred in producing the Swift Shift sold for five years, including cost of materials, direct labor, MOH, and outbound freight cost</t>
  </si>
  <si>
    <t>Percentage</t>
  </si>
  <si>
    <t>Average Retail Price per unit</t>
  </si>
  <si>
    <t>Channel Margin per unit (45%)</t>
  </si>
  <si>
    <t>Manufacturer's price per unit (55%)</t>
  </si>
  <si>
    <t>Sales and Marketing per unit</t>
  </si>
  <si>
    <t>General and Administrative per unit</t>
  </si>
  <si>
    <t>Marginal Profit per unit</t>
  </si>
  <si>
    <t>Final Calculated COGS</t>
  </si>
  <si>
    <t>Final COGS</t>
  </si>
  <si>
    <t>Structure of COGS</t>
  </si>
  <si>
    <t>Cost of Materials per unit</t>
  </si>
  <si>
    <t>Manufacturing Overhead per unit</t>
  </si>
  <si>
    <t>Outbound freight per unit</t>
  </si>
  <si>
    <t>Cost of Materials</t>
  </si>
  <si>
    <t>Outbound freight</t>
  </si>
  <si>
    <t>This tab provides detailed list of all the components, parts, and materials required to manufacture the Swift Shift, also serving as a crucial reference for other OM worksheets</t>
  </si>
  <si>
    <t>Price / Order</t>
  </si>
  <si>
    <t>Units / Order</t>
  </si>
  <si>
    <t>Units / Swift Shift</t>
  </si>
  <si>
    <t>Price / Swift Shift</t>
  </si>
  <si>
    <t>Lead Time (days)</t>
  </si>
  <si>
    <t>Supplier Location</t>
  </si>
  <si>
    <t>Supplier Name &amp; Link</t>
  </si>
  <si>
    <t>American COGS</t>
  </si>
  <si>
    <t>Lbs</t>
  </si>
  <si>
    <t>Cedar Grove, NJ</t>
  </si>
  <si>
    <t>Emco Industrial Plastics</t>
  </si>
  <si>
    <t>Chinese COGS</t>
  </si>
  <si>
    <t>Waterproof Springs (1.75 inch)</t>
  </si>
  <si>
    <t>Springs</t>
  </si>
  <si>
    <t>Wilder, KY</t>
  </si>
  <si>
    <t>WB Jones</t>
  </si>
  <si>
    <t>Supplier Link</t>
  </si>
  <si>
    <t>Inbound Cost (% of raw materials)</t>
  </si>
  <si>
    <t>Suction cups</t>
  </si>
  <si>
    <t>Allentown, PA</t>
  </si>
  <si>
    <t>Uline</t>
  </si>
  <si>
    <t>Ball bearings</t>
  </si>
  <si>
    <t>Alibaba</t>
  </si>
  <si>
    <t>Kgs</t>
  </si>
  <si>
    <t>Total RM per unit</t>
  </si>
  <si>
    <t>Sponges</t>
  </si>
  <si>
    <t>Enworld</t>
  </si>
  <si>
    <t>American + in</t>
  </si>
  <si>
    <t xml:space="preserve">Soap Dispenser </t>
  </si>
  <si>
    <t>Dispensers</t>
  </si>
  <si>
    <t>Chinese + in</t>
  </si>
  <si>
    <t>Labor per unit</t>
  </si>
  <si>
    <t>MOH per unit</t>
  </si>
  <si>
    <t>Transportation per unit</t>
  </si>
  <si>
    <t>Labor</t>
  </si>
  <si>
    <t>MOH</t>
  </si>
  <si>
    <t>Transportation</t>
  </si>
  <si>
    <t>Total RM</t>
  </si>
  <si>
    <t>Chinese total</t>
  </si>
  <si>
    <t>Raw Material Costs Per Swift Shift</t>
  </si>
  <si>
    <t>American total</t>
  </si>
  <si>
    <t>Location Analysis (Center of Gravity)</t>
  </si>
  <si>
    <t>This tab collects closest distribution center locations for our top 5 distributors in each of our top 25 states with largest number of households in target market in order to find the optimal location for our factory</t>
  </si>
  <si>
    <t>State Weights by Target Household Population</t>
  </si>
  <si>
    <t>Top 25 States with largest # of households in target market</t>
  </si>
  <si>
    <t>Closest Distribution Center Locations for Top 25 States per Retailer</t>
  </si>
  <si>
    <t>Summary of Distribution Center Locations by Retailer and State</t>
  </si>
  <si>
    <t>State</t>
  </si>
  <si>
    <t>Target Households</t>
  </si>
  <si>
    <t>Relative Weight</t>
  </si>
  <si>
    <t>Overall Weight</t>
  </si>
  <si>
    <t>California</t>
  </si>
  <si>
    <t>Weighted Center of States by Target Population</t>
  </si>
  <si>
    <t>Weighted Center of Distributors by Volume</t>
  </si>
  <si>
    <t>Final Location</t>
  </si>
  <si>
    <t>Texas</t>
  </si>
  <si>
    <t>City</t>
  </si>
  <si>
    <t>Address</t>
  </si>
  <si>
    <t>Latitude</t>
  </si>
  <si>
    <t>Longitude</t>
  </si>
  <si>
    <t>Distributor</t>
  </si>
  <si>
    <t>Florida</t>
  </si>
  <si>
    <t>Ontario, CA</t>
  </si>
  <si>
    <t>2053 East Jay Street, Ontario, CA 91764</t>
  </si>
  <si>
    <t>New York</t>
  </si>
  <si>
    <t>Houston, TX</t>
  </si>
  <si>
    <t>10550 Ella Blvd, Houston, TX 77038</t>
  </si>
  <si>
    <t>New Madrid, MO</t>
  </si>
  <si>
    <t>Illinois</t>
  </si>
  <si>
    <t>Homestead, FL</t>
  </si>
  <si>
    <t>3750 Palm Drive, Homestead, FL 33035</t>
  </si>
  <si>
    <t>Pennsylvania</t>
  </si>
  <si>
    <t>Clay, NY</t>
  </si>
  <si>
    <t>7211 Morgan Rd, Liverpool, NY 13090</t>
  </si>
  <si>
    <t>Factory Link</t>
  </si>
  <si>
    <t>Ohio</t>
  </si>
  <si>
    <t>Chicago, IL</t>
  </si>
  <si>
    <t>750 S Halsted St, Student Center East, #214, Chicago, IL, 60607</t>
  </si>
  <si>
    <t>Georgia</t>
  </si>
  <si>
    <t>York, PA</t>
  </si>
  <si>
    <t>5197 Commerce Drive, YORK, PA 17408</t>
  </si>
  <si>
    <t>North Carolina</t>
  </si>
  <si>
    <t>Etna, OH</t>
  </si>
  <si>
    <t>11903 National RD SW Etna Township Park, Etna, OH 43062</t>
  </si>
  <si>
    <t>Michigan</t>
  </si>
  <si>
    <t>Appling, GA</t>
  </si>
  <si>
    <t>2150 Discovery Dr, Appling, GA 30802</t>
  </si>
  <si>
    <t>Washington</t>
  </si>
  <si>
    <t>Garner, NC</t>
  </si>
  <si>
    <t>4851 Jones Sausage Road, Garner, NC 27529</t>
  </si>
  <si>
    <t>Virginia</t>
  </si>
  <si>
    <t>Detroit,MI</t>
  </si>
  <si>
    <t>20110 Woodward Ave, Detroit, MI 48203</t>
  </si>
  <si>
    <t>New Jersey</t>
  </si>
  <si>
    <t>Washington, D.C</t>
  </si>
  <si>
    <t>7213 Blair Rd NW, Washington, DC 20012</t>
  </si>
  <si>
    <t>Colorado</t>
  </si>
  <si>
    <t>Sterling, VA</t>
  </si>
  <si>
    <t>45121 Global Plz, Sterling, VA 20166</t>
  </si>
  <si>
    <t>Tennessee</t>
  </si>
  <si>
    <t>Robbinsville Twp, NJ</t>
  </si>
  <si>
    <t>18 Applegate Dr, Robbinsville Twp, NJ 08691</t>
  </si>
  <si>
    <t>Massachusetts</t>
  </si>
  <si>
    <t>Denver, CO</t>
  </si>
  <si>
    <t>875 W 64th Ave, Denver, CO 80221</t>
  </si>
  <si>
    <t>Arizona</t>
  </si>
  <si>
    <t>Nashville, TN</t>
  </si>
  <si>
    <t>50 Airways Blvd, Nashville, TN 37217</t>
  </si>
  <si>
    <t>Indiana</t>
  </si>
  <si>
    <t>Revere, MA</t>
  </si>
  <si>
    <t>561 Squire Rd, Revere, MA 02151</t>
  </si>
  <si>
    <t>Minnesota</t>
  </si>
  <si>
    <t>Pheonix, AZ</t>
  </si>
  <si>
    <t>5050 W Mohave St #5094, Phoenix, AZ 85043</t>
  </si>
  <si>
    <t>Missouri</t>
  </si>
  <si>
    <t>Indianapolis, IN</t>
  </si>
  <si>
    <t>710 S Girls School Rd, Indianapolis, IN 46231</t>
  </si>
  <si>
    <t>Maryland</t>
  </si>
  <si>
    <t>Maple Grove, MN</t>
  </si>
  <si>
    <t>10725 County Rd 81, Maple Grove, MN 55369</t>
  </si>
  <si>
    <t>Wisconsin</t>
  </si>
  <si>
    <t>St. Louis, MO</t>
  </si>
  <si>
    <t>4000 Premier Pkwy, St Peters, MO 63376</t>
  </si>
  <si>
    <t>South Carolina</t>
  </si>
  <si>
    <t>Baltimore, MD</t>
  </si>
  <si>
    <t>2010 Broening Hwy, Baltimore, MD 21224</t>
  </si>
  <si>
    <t>Oregon</t>
  </si>
  <si>
    <t>Greenville, WI</t>
  </si>
  <si>
    <t>W6331 Wally Way, Greenville, WI 54942</t>
  </si>
  <si>
    <t>Alabama</t>
  </si>
  <si>
    <t>West Columbia, SC</t>
  </si>
  <si>
    <t>4400 12th St Ext, West Columbia, SC 29172</t>
  </si>
  <si>
    <t>Kentucky</t>
  </si>
  <si>
    <t>Portland, OR</t>
  </si>
  <si>
    <t>15075-15001 N Lombard St, Portland, OR 97203</t>
  </si>
  <si>
    <t>Louisiana</t>
  </si>
  <si>
    <t>Theodore, AL</t>
  </si>
  <si>
    <t>6735 Trippel Rd, Theodore, AL 36582</t>
  </si>
  <si>
    <t>Oklahoma</t>
  </si>
  <si>
    <t>Utah</t>
  </si>
  <si>
    <t>Top 5 Retailers with Largest Quantity of Units Sold Y1-Y5</t>
  </si>
  <si>
    <t>Connecticut</t>
  </si>
  <si>
    <t>Iowa</t>
  </si>
  <si>
    <t>City Of Industry, CA</t>
  </si>
  <si>
    <t>21508 Baker Pkwy, Walnut, CA 91789</t>
  </si>
  <si>
    <t>Nevada</t>
  </si>
  <si>
    <t>Dallas, TX</t>
  </si>
  <si>
    <t>4900 Sherry St, Arlington, TX 76018</t>
  </si>
  <si>
    <t>Kansas</t>
  </si>
  <si>
    <t>Braselton, GA</t>
  </si>
  <si>
    <t>11510 Lewis Braselton Blvd, Braselton, GA 30517</t>
  </si>
  <si>
    <t>Arkansas</t>
  </si>
  <si>
    <t>South Brunswick, NJ</t>
  </si>
  <si>
    <t>340 Middlesex Center Blvd, Monroe Township, NJ 08831</t>
  </si>
  <si>
    <t>Mississippi</t>
  </si>
  <si>
    <t>Memphis, TN</t>
  </si>
  <si>
    <t>4637 Sonoma Cove, Memphis, TN 38118</t>
  </si>
  <si>
    <t>Nebraska</t>
  </si>
  <si>
    <t>Idaho</t>
  </si>
  <si>
    <t>New Mexico</t>
  </si>
  <si>
    <t>West Virginia</t>
  </si>
  <si>
    <t>Maine</t>
  </si>
  <si>
    <t>New Hampshire</t>
  </si>
  <si>
    <t>Washington, D.C.</t>
  </si>
  <si>
    <t>Montana</t>
  </si>
  <si>
    <t>Hawaii</t>
  </si>
  <si>
    <t>Rhode Island</t>
  </si>
  <si>
    <t>North Dakota</t>
  </si>
  <si>
    <t>South Dakota</t>
  </si>
  <si>
    <t>Delaware</t>
  </si>
  <si>
    <t>Alaska</t>
  </si>
  <si>
    <t>Vermont</t>
  </si>
  <si>
    <t>Wyoming</t>
  </si>
  <si>
    <t>Distribution Channel Weights by Total Units Sold</t>
  </si>
  <si>
    <t>Total Units Sold</t>
  </si>
  <si>
    <t>Rialto, CA</t>
  </si>
  <si>
    <t>3105 N Mango Ave, Rialto, CA 92377</t>
  </si>
  <si>
    <t>Midlothian, TX</t>
  </si>
  <si>
    <t>4333 Power Way, Midlothian, TX 76065</t>
  </si>
  <si>
    <t>Hialeah, FL</t>
  </si>
  <si>
    <t>3811 W 108th St, Hialeah, FL 33018</t>
  </si>
  <si>
    <t>Perth Amboy, NJ</t>
  </si>
  <si>
    <t>980 HIGH ST, PERTH AMBOY, NJ 08861</t>
  </si>
  <si>
    <t>Elmhurst, IL</t>
  </si>
  <si>
    <t>615 W Lake St, Elmhurst, IL 60126</t>
  </si>
  <si>
    <t>West Jefferson, OH</t>
  </si>
  <si>
    <t>42 Commerce Pkwy, West Jefferson, OH 43162</t>
  </si>
  <si>
    <t>Hampton, GA</t>
  </si>
  <si>
    <t>1000 Site Pkwy, Hampton, GA 30228</t>
  </si>
  <si>
    <t>Newton, NC</t>
  </si>
  <si>
    <t>1880 Stover Ct, Newton, NC 28658</t>
  </si>
  <si>
    <t>Galesburg, MI</t>
  </si>
  <si>
    <t>12735 E L Ave, Galesburg, MI 49053</t>
  </si>
  <si>
    <t>1290 Prince Georges Blvd, Upper Marlboro, MD, 20774</t>
  </si>
  <si>
    <t>Suffolk, VA</t>
  </si>
  <si>
    <t>300 Manning Bridge Rd, Suffolk, VA, 23434</t>
  </si>
  <si>
    <t>Topeka, KS</t>
  </si>
  <si>
    <t>1100 SW 57th St, Topeka, KS, 66609</t>
  </si>
  <si>
    <t>Tucson, AZ</t>
  </si>
  <si>
    <t>8940 East Rita Park Drive, Tucson, AZ, 85747</t>
  </si>
  <si>
    <t>7551 W Morris St, Indianapolis, IN, 46231</t>
  </si>
  <si>
    <t>Minneapolis, MN</t>
  </si>
  <si>
    <t>1090 73rd Ave NE, Fridley, MN, 55432</t>
  </si>
  <si>
    <t>Kansas City, MO</t>
  </si>
  <si>
    <t>20255 W 154th St, Olathe, KS, 66062</t>
  </si>
  <si>
    <t>Oconomowoc, Wisconsin</t>
  </si>
  <si>
    <t>1100 E Valley Rd, Oconomowoc, WI, 53066</t>
  </si>
  <si>
    <t>Lugoff, SC</t>
  </si>
  <si>
    <t>22 Corporate Drive, Lugoff, SC, 29078</t>
  </si>
  <si>
    <t>Albany, OR</t>
  </si>
  <si>
    <t>875 Beta Dr SW, Albany, OR, 97321</t>
  </si>
  <si>
    <t>Early Branch, SC</t>
  </si>
  <si>
    <t>114 Bob Gifford Blvd, Early Branch, SC 29916</t>
  </si>
  <si>
    <t>Bethpage, NY</t>
  </si>
  <si>
    <t>999 South Oyster Bay Rd. Bethpage, NY 11714</t>
  </si>
  <si>
    <t>Paramount</t>
  </si>
  <si>
    <t>14900 Garfield S, Paramount, CA 90723</t>
  </si>
  <si>
    <t>Houston</t>
  </si>
  <si>
    <t>701 Gelhorn Drive, Houston, TX 77029</t>
  </si>
  <si>
    <t>Atlanta, GA</t>
  </si>
  <si>
    <t>2000 Anvil Block Road, Forest Park, GA, 30297</t>
  </si>
  <si>
    <t>Cincinnati, OH</t>
  </si>
  <si>
    <t>98 Glendale Milford Road, Cincinnati, OH 45215</t>
  </si>
  <si>
    <t>New Lenox, IL</t>
  </si>
  <si>
    <t>2301 Ellis Court, New Lenox, IL 60451</t>
  </si>
  <si>
    <t>New Baltimore, MI</t>
  </si>
  <si>
    <t>26090 23 Mile Road, New Baltimore, MI 48051</t>
  </si>
  <si>
    <t>Salem, VA</t>
  </si>
  <si>
    <t>3800 Garman Road, Salem, VA 23153</t>
  </si>
  <si>
    <t>10251 East 51st Avenue, Denver, CO 80239</t>
  </si>
  <si>
    <t>5079 Bledsoe Cove, Memphis, TN 38141</t>
  </si>
  <si>
    <t>Tolleson, AZ</t>
  </si>
  <si>
    <t>500 South 99th Avenue, Tolleson, AZ 85353</t>
  </si>
  <si>
    <t>Shelbyville, IN</t>
  </si>
  <si>
    <t>1670 West 400 North, Shelbyville, IN 46176</t>
  </si>
  <si>
    <t>Mazomanie, WI</t>
  </si>
  <si>
    <t>400 Walter Road, Mazomanie, WI 53560</t>
  </si>
  <si>
    <t>Hutchinson, KS</t>
  </si>
  <si>
    <t>2700 East 4th, Hutchinson, KS 67504</t>
  </si>
  <si>
    <t>Clackamas, OR</t>
  </si>
  <si>
    <t>11506 SE Hwy 212, Clackamas, OR 97015</t>
  </si>
  <si>
    <t>(In US Dollars)</t>
  </si>
  <si>
    <t>Start-up</t>
  </si>
  <si>
    <t>Link To</t>
  </si>
  <si>
    <t xml:space="preserve">Initial Startup Costs (Startup Column Only) </t>
  </si>
  <si>
    <t xml:space="preserve">  INITIAL INVESTMENT IN FIXED ASSETS</t>
  </si>
  <si>
    <t>Long Term Balance Sheet Items (Can be depreciated - includes IS equip &amp; Factory/office buildout costs)</t>
  </si>
  <si>
    <t>build these out in handouts for final!</t>
  </si>
  <si>
    <t>OM</t>
  </si>
  <si>
    <t xml:space="preserve">  INITIAL INVESTMENT IN NET WORKING CAPITAL</t>
  </si>
  <si>
    <t xml:space="preserve">     Cash (Additional Cash required in addition to Start Up costs)</t>
  </si>
  <si>
    <t>FE</t>
  </si>
  <si>
    <t>Raw Materials &amp; Work in Process, Start-Up Period Only  (Put Years 1-5 in table Below)</t>
  </si>
  <si>
    <t>Finished Goods Start-up Period Only (Put Years 1-5 in table Below)</t>
  </si>
  <si>
    <t xml:space="preserve">  INITIAL OPERATING EXPENSES (INCOME STATEMENT, TAX DEDUCTIBLE)</t>
  </si>
  <si>
    <t xml:space="preserve">      Product Development (Prototype, engineer, etc.)</t>
  </si>
  <si>
    <t xml:space="preserve">      Pre-Marketing Expenses (Marketing expenses before Year 1) See Sales Projection Tutorial</t>
  </si>
  <si>
    <t>MK</t>
  </si>
  <si>
    <t xml:space="preserve">      All Other (Miscellaneous non depreciated expenses, additional salaries, Rent etc.)</t>
  </si>
  <si>
    <t>MK, OM</t>
  </si>
  <si>
    <t>Subtotal Start Up Operating Expenses</t>
  </si>
  <si>
    <t xml:space="preserve">  vbnm, </t>
  </si>
  <si>
    <t xml:space="preserve">  UNITS SOLD</t>
  </si>
  <si>
    <t xml:space="preserve">   Units into independent retailers</t>
  </si>
  <si>
    <t xml:space="preserve">   Units online</t>
  </si>
  <si>
    <t xml:space="preserve">   Units Department Stores</t>
  </si>
  <si>
    <t xml:space="preserve">   Units into chain retailer</t>
  </si>
  <si>
    <t xml:space="preserve">   Units into mass merchants</t>
  </si>
  <si>
    <t xml:space="preserve">  MANUFACTURER SELLING PRICE</t>
  </si>
  <si>
    <t xml:space="preserve">   To independent retailers</t>
  </si>
  <si>
    <t xml:space="preserve">   For online sales</t>
  </si>
  <si>
    <t xml:space="preserve">   To Department Stores </t>
  </si>
  <si>
    <t xml:space="preserve">   To chain retailer</t>
  </si>
  <si>
    <t xml:space="preserve">   To mass merchants</t>
  </si>
  <si>
    <t xml:space="preserve"> Average WEIGHTED manufacturer's selling price to channel</t>
  </si>
  <si>
    <t xml:space="preserve">  COST OF GOODS SOLD</t>
  </si>
  <si>
    <r>
      <t xml:space="preserve">        Variable Cost </t>
    </r>
    <r>
      <rPr>
        <b/>
        <sz val="10"/>
        <rFont val="Arial"/>
        <family val="2"/>
      </rPr>
      <t>Per Unit</t>
    </r>
    <r>
      <rPr>
        <sz val="10"/>
        <rFont val="Arial"/>
        <family val="2"/>
      </rPr>
      <t xml:space="preserve"> ($/Unit) (Total Direct Cost = Direct Labor + Direct Materials )</t>
    </r>
  </si>
  <si>
    <r>
      <t xml:space="preserve">       </t>
    </r>
    <r>
      <rPr>
        <b/>
        <sz val="10"/>
        <rFont val="Arial"/>
        <family val="2"/>
      </rPr>
      <t xml:space="preserve"> Total </t>
    </r>
    <r>
      <rPr>
        <sz val="10"/>
        <rFont val="Arial"/>
        <family val="2"/>
      </rPr>
      <t>Outbound Freight ($) (The gross amount, Not Per Unit)</t>
    </r>
  </si>
  <si>
    <t>Total Variable Costs Including Freight ($)</t>
  </si>
  <si>
    <t xml:space="preserve">        Fixed Production Costs ($) (Total MOH per year)</t>
  </si>
  <si>
    <t>Total Cost of Goods Sold</t>
  </si>
  <si>
    <t xml:space="preserve">  SELLING &amp; GENERAL ADMINISTRATIVE EXPENSES</t>
  </si>
  <si>
    <t xml:space="preserve">      Production costs not included in Cost of Good sold (if any, you may not have any)</t>
  </si>
  <si>
    <t xml:space="preserve">       Fixed Administrative Costs </t>
  </si>
  <si>
    <t xml:space="preserve">       Marketing Expenses (Push and Pull) Excluding Manufacturers Reps ($)</t>
  </si>
  <si>
    <t xml:space="preserve">     Manufacturer's Sales Reps Commission Expense (10% - excludes Online Units)</t>
  </si>
  <si>
    <t xml:space="preserve">  IS EXPENSES</t>
  </si>
  <si>
    <t xml:space="preserve">Total SG&amp;A Expenses </t>
  </si>
  <si>
    <t>Balance Sheet Information (Year 1-5)</t>
  </si>
  <si>
    <t>Accounts Receivable (Days AR Outstanding) - Online Sales Channel</t>
  </si>
  <si>
    <t>5 Days</t>
  </si>
  <si>
    <t>Given Assumption, no further research required</t>
  </si>
  <si>
    <t>Accounts Receivable (Days AR Outstanding) - All other Sales Channels</t>
  </si>
  <si>
    <t>45 Days</t>
  </si>
  <si>
    <t>Accounts Payable (Days Payable Outstanding) - US Sourced  Vendors</t>
  </si>
  <si>
    <t>30 Days</t>
  </si>
  <si>
    <t>Accounts Payable (Days Payable Outstanding) - Non-US Sourced  Vendors</t>
  </si>
  <si>
    <t>0 Days</t>
  </si>
  <si>
    <t>Raw Materials &amp; Work in Process (Time 0 is above in Start Up Section)</t>
  </si>
  <si>
    <t>Finished Goods (Time 0 is above in Start Up Section)</t>
  </si>
  <si>
    <t xml:space="preserve">  Total Inventories</t>
  </si>
  <si>
    <t>Additional Investment in Fixed Assets, more capacity or replacement</t>
  </si>
  <si>
    <t xml:space="preserve">  OTHER ASSUMPTIONS</t>
  </si>
  <si>
    <t xml:space="preserve">       Discount Rate </t>
  </si>
  <si>
    <t>TBD from 10%-30%. Use CAPM.</t>
  </si>
  <si>
    <t xml:space="preserve">       Commission Paid to Manufacturers Reps</t>
    <phoneticPr fontId="0" type="noConversion"/>
  </si>
  <si>
    <t>See MK Instructions</t>
  </si>
  <si>
    <t xml:space="preserve">       Tax Rate</t>
  </si>
  <si>
    <t>Given Assumption (21% Federal, 6% State), no further research required</t>
  </si>
  <si>
    <t xml:space="preserve">       Cash as a Percentage Sales </t>
  </si>
  <si>
    <t>Given Assumption, up to a max of $300K, no further research required</t>
  </si>
  <si>
    <t>Income Statement</t>
  </si>
  <si>
    <t>Notes</t>
  </si>
  <si>
    <t>TOTAL REVENUES</t>
    <phoneticPr fontId="0" type="noConversion"/>
  </si>
  <si>
    <t xml:space="preserve">     Variable Costs</t>
    <phoneticPr fontId="0" type="noConversion"/>
  </si>
  <si>
    <t xml:space="preserve">     Fixed Production Costs (allocated Manufacturing overhead)</t>
  </si>
  <si>
    <t>TOTAL COST OF GOODS SOLD</t>
    <phoneticPr fontId="0" type="noConversion"/>
  </si>
  <si>
    <t>GROSS PROFIT</t>
    <phoneticPr fontId="0" type="noConversion"/>
  </si>
  <si>
    <t>One-time  Start Up Expenses</t>
  </si>
  <si>
    <t xml:space="preserve">Administrative Overhead (salaries) </t>
  </si>
  <si>
    <t>General operating expenses not already part of COGS</t>
  </si>
  <si>
    <t>Marketing Expenses  Excluding Mfg Reps Commission</t>
  </si>
  <si>
    <t>Manufacturer's Sales Reps Commission Expense</t>
  </si>
  <si>
    <t xml:space="preserve"> Depreciation on original PP&amp;E</t>
  </si>
  <si>
    <t xml:space="preserve"> Depreciation on new PP&amp;E (purchased after start-up)</t>
  </si>
  <si>
    <t>Total Depreciation</t>
  </si>
  <si>
    <t>Earnings Before Tax</t>
    <phoneticPr fontId="0" type="noConversion"/>
  </si>
  <si>
    <t xml:space="preserve">      Taxes</t>
    <phoneticPr fontId="0" type="noConversion"/>
  </si>
  <si>
    <t>NET INCOME</t>
    <phoneticPr fontId="0" type="noConversion"/>
  </si>
  <si>
    <t>Statement of Retained Earnings</t>
  </si>
  <si>
    <t xml:space="preserve">Net Income </t>
  </si>
  <si>
    <t>minus cash returned to investors (dividends)</t>
  </si>
  <si>
    <t>Increase (Decrease) in Retained Earnings</t>
  </si>
  <si>
    <t>Income Statement Financial Ratios</t>
  </si>
  <si>
    <t>COGS % Sales</t>
  </si>
  <si>
    <t>Gross Margin % Sales</t>
  </si>
  <si>
    <t>SG&amp;A % Sales</t>
  </si>
  <si>
    <t>Marketing Expenses % Sales</t>
  </si>
  <si>
    <t>Net Income % Sales</t>
  </si>
  <si>
    <t>Balance Sheet</t>
  </si>
  <si>
    <t>Time 0</t>
    <phoneticPr fontId="0" type="noConversion"/>
  </si>
  <si>
    <t>Current Assets</t>
  </si>
  <si>
    <t>Cash reserves</t>
  </si>
  <si>
    <t>FE assumptions</t>
  </si>
  <si>
    <t>Accounts Receivable</t>
  </si>
  <si>
    <t>OM worksheets.  By the end of the semester you must separate this line into FPI and RM+WIP</t>
  </si>
  <si>
    <t xml:space="preserve">    Current Assets</t>
  </si>
  <si>
    <t>Fixed Assets</t>
  </si>
  <si>
    <t>Gross Fixed Assets</t>
  </si>
  <si>
    <t>OM asset schedule</t>
  </si>
  <si>
    <t xml:space="preserve"> Accumulated Depreciation (cumulative)</t>
  </si>
  <si>
    <t>Net Fixed Assets</t>
  </si>
  <si>
    <t>TOTAL ASSETS</t>
  </si>
  <si>
    <t>Current Liabilities</t>
  </si>
  <si>
    <t>Accounts Payable</t>
  </si>
  <si>
    <t xml:space="preserve">     Current Liabilities</t>
  </si>
  <si>
    <t>Equity</t>
  </si>
  <si>
    <t>Paid in Capital (cumulative)</t>
  </si>
  <si>
    <t>See FE Cash Flow Tab for any year with Negative FCF</t>
  </si>
  <si>
    <t>Retained Earnings (cumulative)</t>
  </si>
  <si>
    <t>See FE Income Statement Tab for changes in Retained Earnings</t>
  </si>
  <si>
    <t xml:space="preserve">      Total Equity</t>
  </si>
  <si>
    <t>TOTAL LIABILTIES AND EQUITY</t>
  </si>
  <si>
    <t>Check Total Assets - Total Liabilities &amp; Equity</t>
  </si>
  <si>
    <t>&lt;&lt;Do not delete or hide this line - you may move.</t>
  </si>
  <si>
    <t>Net Working Capital Balance (Current Assets - Current Liabilities)</t>
  </si>
  <si>
    <t>link to FE Cash Flow schedule</t>
  </si>
  <si>
    <t>Balance Sheet Financial Ratios</t>
  </si>
  <si>
    <t xml:space="preserve">Accounts Receivable Days Online </t>
  </si>
  <si>
    <t xml:space="preserve">Accounts Receivable Days Other </t>
  </si>
  <si>
    <t>These should be calculated Outputs</t>
  </si>
  <si>
    <t>Total Inventory Days DOH (include RM, FPI &amp; WIP categories)</t>
  </si>
  <si>
    <t>Accounts Payable Days U.S</t>
  </si>
  <si>
    <t>Accounts Payable Days Non-U.S.</t>
  </si>
  <si>
    <t>Statement of Cash Flow</t>
  </si>
  <si>
    <t>Year 5 Adj</t>
  </si>
  <si>
    <t>Initial Investment in Fixed Assets</t>
  </si>
  <si>
    <t>FE Balance Sheet, OM  asset planning</t>
  </si>
  <si>
    <t>Net Income</t>
  </si>
  <si>
    <t xml:space="preserve"> + Depreciation</t>
  </si>
  <si>
    <t>+/- Change in Net Working Capital</t>
  </si>
  <si>
    <t xml:space="preserve"> - Change in Fixed Assets</t>
  </si>
  <si>
    <t>OM asset planning, FE Balance Sheet</t>
  </si>
  <si>
    <t>Net Free Cash Flow</t>
  </si>
  <si>
    <r>
      <rPr>
        <b/>
        <sz val="10"/>
        <rFont val="Arial"/>
        <family val="2"/>
      </rPr>
      <t xml:space="preserve">Cash Flow: </t>
    </r>
    <r>
      <rPr>
        <sz val="10"/>
        <rFont val="Arial"/>
        <family val="2"/>
      </rPr>
      <t>If positive, treat as a dividend,</t>
    </r>
  </si>
  <si>
    <t xml:space="preserve">   if negative, treat as additional paid-in capital.</t>
  </si>
  <si>
    <t>Terminal Value of Business</t>
  </si>
  <si>
    <t>See Note on Terminal Value</t>
  </si>
  <si>
    <t xml:space="preserve">Total Cash Flow </t>
  </si>
  <si>
    <t xml:space="preserve">Growing Perpetuity </t>
  </si>
  <si>
    <t>Liquidate</t>
  </si>
  <si>
    <t>Net Present Value: Including TV</t>
  </si>
  <si>
    <t>(requires Total  cash-flows and a discount rate)</t>
  </si>
  <si>
    <t xml:space="preserve"> </t>
    <phoneticPr fontId="0" type="noConversion"/>
  </si>
  <si>
    <t>Internal Rate of Return: Including TV</t>
  </si>
  <si>
    <t xml:space="preserve">Terminal Growth Rate </t>
  </si>
  <si>
    <t>(requires Total cash-flows)</t>
  </si>
  <si>
    <t xml:space="preserve">  </t>
  </si>
  <si>
    <t>Deprec / yr</t>
  </si>
  <si>
    <t>Depreciation on Original PP&amp;E</t>
  </si>
  <si>
    <t>Y6</t>
  </si>
  <si>
    <t>Physical Conversion Costs</t>
  </si>
  <si>
    <t>Injection Molding Machines</t>
  </si>
  <si>
    <t>Injection Molds</t>
  </si>
  <si>
    <t>Bristle Machines</t>
  </si>
  <si>
    <t>Conveyor Belt</t>
  </si>
  <si>
    <t>Other Employee Laptops</t>
  </si>
  <si>
    <t>High End Networking</t>
  </si>
  <si>
    <t>Original PP&amp;E</t>
  </si>
  <si>
    <t>Depreciation on New PP&amp;E</t>
  </si>
  <si>
    <t>New PP&amp;E</t>
  </si>
  <si>
    <t xml:space="preserve">Total Depreciation </t>
  </si>
  <si>
    <t>Depreciation on New PP&amp;E By Year</t>
  </si>
  <si>
    <t>Depreciation on Y2 PP&amp;E</t>
  </si>
  <si>
    <t>Year of Purchase</t>
  </si>
  <si>
    <t>Depreciation on Y3 PP&amp;E</t>
  </si>
  <si>
    <t>Depreciation on Y4 PP&amp;E</t>
  </si>
  <si>
    <t>Depreciation on Y5 PP&amp;E</t>
  </si>
  <si>
    <t xml:space="preserve">Accounts Receivable &amp; Payable Calculations </t>
  </si>
  <si>
    <t xml:space="preserve">Revenues from online </t>
  </si>
  <si>
    <t>Revenues from other</t>
  </si>
  <si>
    <t xml:space="preserve">Total Revenues </t>
  </si>
  <si>
    <t xml:space="preserve">AR from Online </t>
  </si>
  <si>
    <t xml:space="preserve">AR from Other </t>
  </si>
  <si>
    <t>Check</t>
  </si>
  <si>
    <t xml:space="preserve">Check </t>
  </si>
  <si>
    <t>Total AR Days (Weighted Average)</t>
  </si>
  <si>
    <t>Total AR</t>
  </si>
  <si>
    <t xml:space="preserve">COGS from US </t>
  </si>
  <si>
    <t xml:space="preserve">COGS from Other </t>
  </si>
  <si>
    <t xml:space="preserve">AP from Other </t>
  </si>
  <si>
    <t>AP from US</t>
  </si>
  <si>
    <t>Total AP Days (Weighted Average)</t>
  </si>
  <si>
    <t>Peer Group Comparison</t>
  </si>
  <si>
    <t xml:space="preserve">Company </t>
  </si>
  <si>
    <t xml:space="preserve">Metrics </t>
  </si>
  <si>
    <t xml:space="preserve">Company Name </t>
  </si>
  <si>
    <t xml:space="preserve">Ticker </t>
  </si>
  <si>
    <t>Comparison</t>
  </si>
  <si>
    <t>EV (M)</t>
  </si>
  <si>
    <t>Market Cap (M)</t>
  </si>
  <si>
    <t>Revenues (M)</t>
  </si>
  <si>
    <t>EBITDA (M)</t>
  </si>
  <si>
    <t>EBIT (M)</t>
  </si>
  <si>
    <t>NI (M)</t>
  </si>
  <si>
    <t xml:space="preserve">Price </t>
  </si>
  <si>
    <t>P/E</t>
  </si>
  <si>
    <t>Beta</t>
  </si>
  <si>
    <t xml:space="preserve">Berry Gobal Group </t>
  </si>
  <si>
    <t>BERY</t>
  </si>
  <si>
    <t xml:space="preserve">AP/Margin </t>
  </si>
  <si>
    <t xml:space="preserve">Silgan </t>
  </si>
  <si>
    <t>SLGN</t>
  </si>
  <si>
    <t>AP/Inventory/Margin</t>
  </si>
  <si>
    <t xml:space="preserve">Newell Brands </t>
  </si>
  <si>
    <t xml:space="preserve">NWL </t>
  </si>
  <si>
    <t>AR</t>
  </si>
  <si>
    <t xml:space="preserve">Helen of Troy </t>
  </si>
  <si>
    <t>HELE</t>
  </si>
  <si>
    <t>AR/Inventoy</t>
  </si>
  <si>
    <t>Clorox Company</t>
  </si>
  <si>
    <t>CLX</t>
  </si>
  <si>
    <t>AP/AR</t>
  </si>
  <si>
    <t xml:space="preserve">Proter &amp; Gamble </t>
  </si>
  <si>
    <t>PG</t>
  </si>
  <si>
    <t>AP</t>
  </si>
  <si>
    <t xml:space="preserve">Lifetime Brands </t>
  </si>
  <si>
    <t>LCUT</t>
  </si>
  <si>
    <t>AP/AR/Inventory</t>
  </si>
  <si>
    <t xml:space="preserve">Fortune Brands Innovation </t>
  </si>
  <si>
    <t>FBIN</t>
  </si>
  <si>
    <t>SEB SA</t>
  </si>
  <si>
    <t>SK FP</t>
  </si>
  <si>
    <t xml:space="preserve">AP/AR </t>
  </si>
  <si>
    <t xml:space="preserve">Mean </t>
  </si>
  <si>
    <t xml:space="preserve">Median </t>
  </si>
  <si>
    <t xml:space="preserve">Beta Calculations </t>
  </si>
  <si>
    <t xml:space="preserve">Market Inputs </t>
  </si>
  <si>
    <t>CAPM</t>
  </si>
  <si>
    <t>75th Percentile Beta</t>
  </si>
  <si>
    <t xml:space="preserve">Risk Free </t>
  </si>
  <si>
    <t>75th Percentile Cost of Equity</t>
  </si>
  <si>
    <t xml:space="preserve">Median Beta </t>
  </si>
  <si>
    <t xml:space="preserve">Market Risk Premium </t>
  </si>
  <si>
    <t xml:space="preserve">Median Cost of Equity </t>
  </si>
  <si>
    <t>25th Percentile Beta</t>
  </si>
  <si>
    <t xml:space="preserve">Micro Cap Premium </t>
  </si>
  <si>
    <t xml:space="preserve">25th Percentile Cost of Equity </t>
  </si>
  <si>
    <t>Accounts Payable Days Comparison</t>
  </si>
  <si>
    <t>Accounts Recivable Days Comparison</t>
  </si>
  <si>
    <t xml:space="preserve">Companies </t>
  </si>
  <si>
    <t xml:space="preserve">AP Days </t>
  </si>
  <si>
    <t>Revenues</t>
  </si>
  <si>
    <t xml:space="preserve">AR Days </t>
  </si>
  <si>
    <t>Median</t>
  </si>
  <si>
    <t>Inventory Days Comparison</t>
  </si>
  <si>
    <t>Inventory</t>
  </si>
  <si>
    <t>Median Comparable Companies Data</t>
  </si>
  <si>
    <t>Accounts Payable Days</t>
  </si>
  <si>
    <t>Accounts Recievable Days</t>
  </si>
  <si>
    <t>Inventory Days</t>
  </si>
  <si>
    <t>Return on Equity (%)</t>
  </si>
  <si>
    <t>Return on Assets (%)</t>
  </si>
  <si>
    <t>Return on Investmented Capital (%)</t>
  </si>
  <si>
    <t xml:space="preserve">Gross Margin </t>
  </si>
  <si>
    <t xml:space="preserve">Berry Global Group Net Income </t>
  </si>
  <si>
    <t xml:space="preserve">Return Comparables </t>
  </si>
  <si>
    <t xml:space="preserve">Operating Margin </t>
  </si>
  <si>
    <t>(in millions of dollars)</t>
  </si>
  <si>
    <t>Ticker</t>
  </si>
  <si>
    <t>ROE (%)</t>
  </si>
  <si>
    <t>ROA (%)</t>
  </si>
  <si>
    <t>ROIC (%)</t>
  </si>
  <si>
    <t xml:space="preserve">Profit Margin </t>
  </si>
  <si>
    <t xml:space="preserve">Net Sales </t>
  </si>
  <si>
    <t>Berry Global Group</t>
  </si>
  <si>
    <t xml:space="preserve">COGS </t>
  </si>
  <si>
    <t xml:space="preserve">Silgna Holdings </t>
  </si>
  <si>
    <t>7.09 (2022)</t>
  </si>
  <si>
    <t xml:space="preserve">Clorox Company </t>
  </si>
  <si>
    <t>Operating Expense</t>
  </si>
  <si>
    <t xml:space="preserve">Operating Income </t>
  </si>
  <si>
    <t>Interest &amp; Other Expenses</t>
  </si>
  <si>
    <t xml:space="preserve">Pre-Tax Income </t>
  </si>
  <si>
    <t xml:space="preserve">Berry </t>
  </si>
  <si>
    <t>P&amp;G</t>
  </si>
  <si>
    <t xml:space="preserve">Revenues </t>
  </si>
  <si>
    <t xml:space="preserve">AR </t>
  </si>
  <si>
    <t xml:space="preserve">Newel Brands </t>
  </si>
  <si>
    <t>Fortune Brand Innovation</t>
  </si>
  <si>
    <t xml:space="preserve">SEB SA </t>
  </si>
  <si>
    <t xml:space="preserve">Helen of Tro </t>
  </si>
  <si>
    <t>COGs</t>
  </si>
  <si>
    <t xml:space="preserve">Inventory </t>
  </si>
  <si>
    <t xml:space="preserve">Swift Shfit </t>
  </si>
  <si>
    <t>SWST</t>
  </si>
  <si>
    <t>CAGR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</si>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</sst>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"/>
    <numFmt numFmtId="167" formatCode="0.0"/>
    <numFmt numFmtId="168" formatCode="0.000%"/>
    <numFmt numFmtId="169" formatCode="_([$$-409]* #,##0.00_);_([$$-409]* \(#,##0.00\);_([$$-409]* &quot;-&quot;??_);_(@_)"/>
    <numFmt numFmtId="170" formatCode="0.0000"/>
    <numFmt numFmtId="171" formatCode="0.0%"/>
    <numFmt numFmtId="172" formatCode="_([$$-409]* #,##0_);_([$$-409]* \(#,##0\);_([$$-409]* &quot;-&quot;??_);_(@_)"/>
    <numFmt numFmtId="173" formatCode="0.000"/>
    <numFmt numFmtId="174" formatCode="0.00000"/>
    <numFmt numFmtId="175" formatCode="_-[$$-409]* #,##0_ ;_-[$$-409]* \-#,##0\ ;_-[$$-409]* &quot;-&quot;??_ ;_-@_ "/>
    <numFmt numFmtId="176" formatCode="_(* #,##0_);_(* \(#,##0\);_(* &quot;-&quot;?_);_(@_)"/>
    <numFmt numFmtId="177" formatCode="#,##0.0"/>
    <numFmt numFmtId="178" formatCode="_(* #,##0.0_);_(* \(#,##0.0\);_(* &quot;-&quot;??_);_(@_)"/>
    <numFmt numFmtId="179" formatCode="_ * #,##0_ ;_ * \-#,##0_ ;_ * &quot;-&quot;??_ ;_ @_ "/>
    <numFmt numFmtId="180" formatCode="&quot;$&quot;#,##0.0"/>
    <numFmt numFmtId="181" formatCode="_(* #,##0.0_);_(* \(#,##0.0\);_(* &quot;-&quot;?_);_(@_)"/>
    <numFmt numFmtId="182" formatCode="0.0000%"/>
    <numFmt numFmtId="183" formatCode="_(&quot;$&quot;* #,##0_);_(&quot;$&quot;* \(#,##0\);_(&quot;$&quot;* &quot;-&quot;??_);_(@_)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u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2"/>
      <color rgb="FF000000"/>
      <name val="Calibri"/>
      <family val="2"/>
    </font>
    <font>
      <sz val="9"/>
      <color rgb="FF595959"/>
      <name val="Calibri"/>
      <family val="2"/>
    </font>
    <font>
      <b/>
      <sz val="11"/>
      <color rgb="FF000000"/>
      <name val="Calibri"/>
      <family val="2"/>
    </font>
    <font>
      <sz val="11"/>
      <color rgb="FF0D0D0D"/>
      <name val="Calibri"/>
      <family val="2"/>
    </font>
    <font>
      <sz val="8"/>
      <color theme="1"/>
      <name val="G_D0_F3"/>
      <family val="2"/>
      <charset val="1"/>
    </font>
    <font>
      <sz val="16"/>
      <color rgb="FF000000"/>
      <name val="Calibri"/>
      <family val="2"/>
      <scheme val="minor"/>
    </font>
    <font>
      <sz val="12"/>
      <color rgb="FF0D0D0D"/>
      <name val="Söhne"/>
      <charset val="1"/>
    </font>
    <font>
      <i/>
      <sz val="10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D0D0D"/>
      <name val="Calibri"/>
      <family val="2"/>
    </font>
    <font>
      <sz val="14"/>
      <color rgb="FF000000"/>
      <name val="Calibri"/>
      <family val="2"/>
    </font>
    <font>
      <b/>
      <sz val="2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93ED"/>
        <bgColor indexed="64"/>
      </patternFill>
    </fill>
    <fill>
      <patternFill patternType="solid">
        <fgColor rgb="FF9670CF"/>
        <bgColor indexed="64"/>
      </patternFill>
    </fill>
    <fill>
      <patternFill patternType="solid">
        <fgColor rgb="FFB26DBF"/>
        <bgColor indexed="64"/>
      </patternFill>
    </fill>
    <fill>
      <patternFill patternType="solid">
        <fgColor rgb="FF87458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97CC9"/>
        <bgColor indexed="64"/>
      </patternFill>
    </fill>
    <fill>
      <patternFill patternType="solid">
        <fgColor rgb="FF754BC9"/>
        <bgColor indexed="64"/>
      </patternFill>
    </fill>
    <fill>
      <patternFill patternType="solid">
        <fgColor rgb="FF8498CF"/>
        <bgColor indexed="64"/>
      </patternFill>
    </fill>
    <fill>
      <patternFill patternType="solid">
        <fgColor rgb="FFBA8EDE"/>
        <bgColor indexed="64"/>
      </patternFill>
    </fill>
    <fill>
      <patternFill patternType="solid">
        <fgColor rgb="FF9B51AD"/>
        <bgColor indexed="64"/>
      </patternFill>
    </fill>
    <fill>
      <patternFill patternType="solid">
        <fgColor rgb="FF522480"/>
        <bgColor indexed="64"/>
      </patternFill>
    </fill>
    <fill>
      <patternFill patternType="solid">
        <fgColor rgb="FF522580"/>
        <bgColor indexed="64"/>
      </patternFill>
    </fill>
    <fill>
      <patternFill patternType="solid">
        <fgColor rgb="FF251763"/>
        <bgColor indexed="64"/>
      </patternFill>
    </fill>
    <fill>
      <patternFill patternType="solid">
        <fgColor rgb="FF443DBF"/>
        <bgColor indexed="64"/>
      </patternFill>
    </fill>
    <fill>
      <patternFill patternType="solid">
        <fgColor rgb="FF5D73DE"/>
        <bgColor indexed="64"/>
      </patternFill>
    </fill>
    <fill>
      <patternFill patternType="solid">
        <fgColor rgb="FFA1A6ED"/>
        <bgColor indexed="64"/>
      </patternFill>
    </fill>
    <fill>
      <patternFill patternType="solid">
        <fgColor rgb="FFD5B5E7"/>
        <bgColor indexed="64"/>
      </patternFill>
    </fill>
    <fill>
      <patternFill patternType="solid">
        <fgColor rgb="FFC88DCC"/>
        <bgColor indexed="64"/>
      </patternFill>
    </fill>
    <fill>
      <patternFill patternType="solid">
        <fgColor rgb="FFA6629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354">
    <xf numFmtId="0" fontId="0" fillId="0" borderId="0" xfId="0"/>
    <xf numFmtId="0" fontId="5" fillId="0" borderId="0" xfId="0" applyFont="1"/>
    <xf numFmtId="0" fontId="0" fillId="0" borderId="1" xfId="0" applyBorder="1"/>
    <xf numFmtId="164" fontId="0" fillId="0" borderId="1" xfId="1" applyNumberFormat="1" applyFont="1" applyBorder="1"/>
    <xf numFmtId="9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4" fillId="0" borderId="1" xfId="0" applyFont="1" applyBorder="1"/>
    <xf numFmtId="9" fontId="0" fillId="0" borderId="0" xfId="0" applyNumberFormat="1"/>
    <xf numFmtId="164" fontId="0" fillId="0" borderId="0" xfId="1" applyNumberFormat="1" applyFont="1" applyBorder="1"/>
    <xf numFmtId="0" fontId="0" fillId="0" borderId="5" xfId="0" applyBorder="1"/>
    <xf numFmtId="9" fontId="0" fillId="0" borderId="6" xfId="0" applyNumberFormat="1" applyBorder="1"/>
    <xf numFmtId="10" fontId="0" fillId="0" borderId="6" xfId="0" applyNumberFormat="1" applyBorder="1"/>
    <xf numFmtId="164" fontId="0" fillId="0" borderId="6" xfId="1" applyNumberFormat="1" applyFont="1" applyBorder="1"/>
    <xf numFmtId="166" fontId="0" fillId="0" borderId="6" xfId="1" applyNumberFormat="1" applyFont="1" applyBorder="1"/>
    <xf numFmtId="0" fontId="0" fillId="0" borderId="7" xfId="0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6" fontId="0" fillId="0" borderId="6" xfId="0" applyNumberFormat="1" applyBorder="1"/>
    <xf numFmtId="164" fontId="0" fillId="0" borderId="6" xfId="1" applyNumberFormat="1" applyFont="1" applyFill="1" applyBorder="1"/>
    <xf numFmtId="164" fontId="0" fillId="0" borderId="9" xfId="1" applyNumberFormat="1" applyFont="1" applyFill="1" applyBorder="1"/>
    <xf numFmtId="165" fontId="0" fillId="0" borderId="0" xfId="2" applyNumberFormat="1" applyFont="1" applyBorder="1"/>
    <xf numFmtId="9" fontId="0" fillId="0" borderId="0" xfId="3" applyFont="1" applyBorder="1"/>
    <xf numFmtId="10" fontId="0" fillId="0" borderId="0" xfId="0" applyNumberFormat="1"/>
    <xf numFmtId="1" fontId="0" fillId="0" borderId="0" xfId="0" applyNumberFormat="1"/>
    <xf numFmtId="1" fontId="0" fillId="0" borderId="8" xfId="0" applyNumberForma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/>
    <xf numFmtId="164" fontId="4" fillId="0" borderId="1" xfId="1" applyNumberFormat="1" applyFont="1" applyBorder="1"/>
    <xf numFmtId="0" fontId="6" fillId="0" borderId="21" xfId="4" applyBorder="1"/>
    <xf numFmtId="0" fontId="4" fillId="0" borderId="0" xfId="0" applyFont="1"/>
    <xf numFmtId="0" fontId="8" fillId="0" borderId="0" xfId="0" applyFont="1"/>
    <xf numFmtId="166" fontId="0" fillId="0" borderId="0" xfId="0" applyNumberFormat="1"/>
    <xf numFmtId="0" fontId="0" fillId="0" borderId="21" xfId="0" applyBorder="1"/>
    <xf numFmtId="0" fontId="10" fillId="0" borderId="0" xfId="0" applyFont="1" applyAlignment="1">
      <alignment wrapText="1"/>
    </xf>
    <xf numFmtId="6" fontId="0" fillId="0" borderId="0" xfId="0" applyNumberFormat="1"/>
    <xf numFmtId="0" fontId="4" fillId="5" borderId="22" xfId="0" applyFont="1" applyFill="1" applyBorder="1"/>
    <xf numFmtId="0" fontId="0" fillId="0" borderId="22" xfId="0" applyBorder="1"/>
    <xf numFmtId="164" fontId="0" fillId="0" borderId="0" xfId="0" applyNumberFormat="1"/>
    <xf numFmtId="0" fontId="0" fillId="0" borderId="14" xfId="0" applyBorder="1"/>
    <xf numFmtId="0" fontId="4" fillId="0" borderId="17" xfId="0" applyFont="1" applyBorder="1"/>
    <xf numFmtId="168" fontId="0" fillId="0" borderId="18" xfId="0" applyNumberFormat="1" applyBorder="1"/>
    <xf numFmtId="0" fontId="0" fillId="0" borderId="17" xfId="0" applyBorder="1"/>
    <xf numFmtId="0" fontId="4" fillId="0" borderId="19" xfId="0" applyFont="1" applyBorder="1"/>
    <xf numFmtId="0" fontId="4" fillId="0" borderId="13" xfId="0" applyFont="1" applyBorder="1"/>
    <xf numFmtId="0" fontId="0" fillId="0" borderId="15" xfId="0" applyBorder="1"/>
    <xf numFmtId="0" fontId="4" fillId="5" borderId="16" xfId="0" applyFont="1" applyFill="1" applyBorder="1" applyAlignment="1">
      <alignment wrapText="1"/>
    </xf>
    <xf numFmtId="0" fontId="0" fillId="0" borderId="13" xfId="0" applyBorder="1"/>
    <xf numFmtId="0" fontId="0" fillId="0" borderId="18" xfId="0" applyBorder="1"/>
    <xf numFmtId="0" fontId="0" fillId="0" borderId="19" xfId="0" applyBorder="1"/>
    <xf numFmtId="10" fontId="0" fillId="0" borderId="21" xfId="0" applyNumberFormat="1" applyBorder="1"/>
    <xf numFmtId="10" fontId="0" fillId="0" borderId="20" xfId="0" applyNumberFormat="1" applyBorder="1"/>
    <xf numFmtId="6" fontId="0" fillId="0" borderId="14" xfId="0" applyNumberFormat="1" applyBorder="1"/>
    <xf numFmtId="6" fontId="0" fillId="0" borderId="15" xfId="0" applyNumberFormat="1" applyBorder="1"/>
    <xf numFmtId="6" fontId="0" fillId="0" borderId="21" xfId="0" applyNumberFormat="1" applyBorder="1"/>
    <xf numFmtId="6" fontId="0" fillId="0" borderId="20" xfId="0" applyNumberFormat="1" applyBorder="1"/>
    <xf numFmtId="6" fontId="0" fillId="0" borderId="18" xfId="0" applyNumberFormat="1" applyBorder="1"/>
    <xf numFmtId="0" fontId="0" fillId="0" borderId="24" xfId="0" applyBorder="1"/>
    <xf numFmtId="0" fontId="0" fillId="0" borderId="25" xfId="0" applyBorder="1"/>
    <xf numFmtId="0" fontId="0" fillId="0" borderId="20" xfId="0" applyBorder="1"/>
    <xf numFmtId="166" fontId="0" fillId="0" borderId="21" xfId="0" applyNumberFormat="1" applyBorder="1"/>
    <xf numFmtId="0" fontId="6" fillId="0" borderId="0" xfId="4" applyBorder="1"/>
    <xf numFmtId="0" fontId="7" fillId="0" borderId="18" xfId="4" applyFont="1" applyBorder="1"/>
    <xf numFmtId="3" fontId="0" fillId="0" borderId="0" xfId="0" applyNumberFormat="1"/>
    <xf numFmtId="170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8" fontId="0" fillId="0" borderId="0" xfId="0" applyNumberFormat="1"/>
    <xf numFmtId="0" fontId="0" fillId="0" borderId="29" xfId="0" applyBorder="1"/>
    <xf numFmtId="0" fontId="11" fillId="0" borderId="0" xfId="0" applyFont="1" applyAlignment="1">
      <alignment horizontal="center"/>
    </xf>
    <xf numFmtId="0" fontId="11" fillId="5" borderId="24" xfId="0" applyFont="1" applyFill="1" applyBorder="1"/>
    <xf numFmtId="0" fontId="0" fillId="0" borderId="17" xfId="0" applyBorder="1" applyAlignment="1">
      <alignment horizontal="left"/>
    </xf>
    <xf numFmtId="0" fontId="4" fillId="5" borderId="24" xfId="0" applyFont="1" applyFill="1" applyBorder="1"/>
    <xf numFmtId="0" fontId="4" fillId="5" borderId="25" xfId="0" applyFont="1" applyFill="1" applyBorder="1"/>
    <xf numFmtId="0" fontId="4" fillId="5" borderId="23" xfId="0" applyFont="1" applyFill="1" applyBorder="1"/>
    <xf numFmtId="0" fontId="11" fillId="5" borderId="13" xfId="0" applyFont="1" applyFill="1" applyBorder="1"/>
    <xf numFmtId="0" fontId="10" fillId="0" borderId="17" xfId="0" applyFont="1" applyBorder="1" applyAlignment="1">
      <alignment horizontal="left" wrapText="1"/>
    </xf>
    <xf numFmtId="0" fontId="10" fillId="0" borderId="17" xfId="0" applyFont="1" applyBorder="1" applyAlignment="1">
      <alignment horizontal="left" wrapText="1" indent="1"/>
    </xf>
    <xf numFmtId="169" fontId="0" fillId="0" borderId="0" xfId="0" applyNumberFormat="1"/>
    <xf numFmtId="164" fontId="0" fillId="0" borderId="21" xfId="0" applyNumberFormat="1" applyBorder="1"/>
    <xf numFmtId="168" fontId="0" fillId="0" borderId="20" xfId="0" applyNumberFormat="1" applyBorder="1"/>
    <xf numFmtId="0" fontId="4" fillId="0" borderId="24" xfId="0" applyFont="1" applyBorder="1"/>
    <xf numFmtId="164" fontId="0" fillId="0" borderId="18" xfId="0" applyNumberFormat="1" applyBorder="1"/>
    <xf numFmtId="0" fontId="11" fillId="5" borderId="17" xfId="0" applyFont="1" applyFill="1" applyBorder="1" applyAlignment="1">
      <alignment vertical="top"/>
    </xf>
    <xf numFmtId="0" fontId="4" fillId="5" borderId="27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0" fillId="0" borderId="16" xfId="0" applyBorder="1"/>
    <xf numFmtId="0" fontId="0" fillId="5" borderId="25" xfId="0" applyFill="1" applyBorder="1"/>
    <xf numFmtId="0" fontId="0" fillId="5" borderId="23" xfId="0" applyFill="1" applyBorder="1"/>
    <xf numFmtId="0" fontId="4" fillId="5" borderId="30" xfId="0" applyFont="1" applyFill="1" applyBorder="1"/>
    <xf numFmtId="0" fontId="0" fillId="5" borderId="24" xfId="0" applyFill="1" applyBorder="1"/>
    <xf numFmtId="0" fontId="8" fillId="5" borderId="16" xfId="0" applyFont="1" applyFill="1" applyBorder="1"/>
    <xf numFmtId="0" fontId="0" fillId="0" borderId="0" xfId="0" applyAlignment="1">
      <alignment horizontal="center"/>
    </xf>
    <xf numFmtId="0" fontId="11" fillId="5" borderId="19" xfId="0" applyFont="1" applyFill="1" applyBorder="1"/>
    <xf numFmtId="166" fontId="11" fillId="0" borderId="19" xfId="0" applyNumberFormat="1" applyFont="1" applyBorder="1" applyAlignment="1">
      <alignment horizontal="left"/>
    </xf>
    <xf numFmtId="0" fontId="4" fillId="5" borderId="0" xfId="0" applyFont="1" applyFill="1"/>
    <xf numFmtId="0" fontId="0" fillId="5" borderId="13" xfId="0" applyFill="1" applyBorder="1"/>
    <xf numFmtId="0" fontId="0" fillId="5" borderId="17" xfId="0" applyFill="1" applyBorder="1"/>
    <xf numFmtId="0" fontId="4" fillId="5" borderId="14" xfId="0" applyFont="1" applyFill="1" applyBorder="1"/>
    <xf numFmtId="0" fontId="0" fillId="5" borderId="31" xfId="0" applyFill="1" applyBorder="1"/>
    <xf numFmtId="0" fontId="0" fillId="5" borderId="30" xfId="0" applyFill="1" applyBorder="1"/>
    <xf numFmtId="0" fontId="4" fillId="5" borderId="15" xfId="0" applyFont="1" applyFill="1" applyBorder="1"/>
    <xf numFmtId="0" fontId="4" fillId="5" borderId="16" xfId="0" applyFont="1" applyFill="1" applyBorder="1"/>
    <xf numFmtId="0" fontId="4" fillId="5" borderId="13" xfId="0" applyFont="1" applyFill="1" applyBorder="1" applyAlignment="1">
      <alignment wrapText="1"/>
    </xf>
    <xf numFmtId="0" fontId="4" fillId="5" borderId="18" xfId="0" applyFont="1" applyFill="1" applyBorder="1"/>
    <xf numFmtId="0" fontId="0" fillId="5" borderId="16" xfId="0" applyFill="1" applyBorder="1"/>
    <xf numFmtId="167" fontId="0" fillId="0" borderId="0" xfId="0" applyNumberFormat="1"/>
    <xf numFmtId="165" fontId="0" fillId="0" borderId="0" xfId="0" applyNumberFormat="1" applyAlignment="1">
      <alignment horizontal="center"/>
    </xf>
    <xf numFmtId="171" fontId="0" fillId="0" borderId="1" xfId="3" applyNumberFormat="1" applyFont="1" applyBorder="1"/>
    <xf numFmtId="166" fontId="4" fillId="0" borderId="0" xfId="0" applyNumberFormat="1" applyFont="1"/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0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13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166" fontId="0" fillId="0" borderId="18" xfId="0" applyNumberFormat="1" applyBorder="1"/>
    <xf numFmtId="166" fontId="0" fillId="0" borderId="20" xfId="0" applyNumberFormat="1" applyBorder="1"/>
    <xf numFmtId="0" fontId="0" fillId="3" borderId="18" xfId="0" applyFill="1" applyBorder="1"/>
    <xf numFmtId="10" fontId="0" fillId="0" borderId="18" xfId="0" applyNumberFormat="1" applyBorder="1"/>
    <xf numFmtId="0" fontId="0" fillId="0" borderId="31" xfId="0" applyBorder="1"/>
    <xf numFmtId="0" fontId="0" fillId="0" borderId="30" xfId="0" applyBorder="1"/>
    <xf numFmtId="165" fontId="0" fillId="0" borderId="21" xfId="0" applyNumberFormat="1" applyBorder="1"/>
    <xf numFmtId="0" fontId="4" fillId="0" borderId="31" xfId="0" applyFont="1" applyBorder="1"/>
    <xf numFmtId="0" fontId="0" fillId="5" borderId="20" xfId="0" applyFill="1" applyBorder="1"/>
    <xf numFmtId="0" fontId="0" fillId="5" borderId="3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12" fillId="0" borderId="21" xfId="0" applyFont="1" applyBorder="1"/>
    <xf numFmtId="0" fontId="14" fillId="6" borderId="0" xfId="0" applyFont="1" applyFill="1"/>
    <xf numFmtId="0" fontId="14" fillId="7" borderId="0" xfId="0" applyFont="1" applyFill="1"/>
    <xf numFmtId="0" fontId="14" fillId="8" borderId="0" xfId="0" applyFont="1" applyFill="1"/>
    <xf numFmtId="0" fontId="14" fillId="9" borderId="0" xfId="0" applyFont="1" applyFill="1"/>
    <xf numFmtId="0" fontId="0" fillId="10" borderId="0" xfId="0" applyFill="1"/>
    <xf numFmtId="0" fontId="0" fillId="11" borderId="0" xfId="0" applyFill="1"/>
    <xf numFmtId="0" fontId="7" fillId="0" borderId="17" xfId="0" applyFont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4" fillId="16" borderId="0" xfId="0" applyFont="1" applyFill="1"/>
    <xf numFmtId="0" fontId="14" fillId="17" borderId="0" xfId="0" applyFont="1" applyFill="1"/>
    <xf numFmtId="0" fontId="14" fillId="18" borderId="0" xfId="0" applyFont="1" applyFill="1"/>
    <xf numFmtId="0" fontId="14" fillId="19" borderId="0" xfId="0" applyFont="1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9" fontId="0" fillId="0" borderId="18" xfId="0" applyNumberFormat="1" applyBorder="1"/>
    <xf numFmtId="0" fontId="7" fillId="0" borderId="31" xfId="0" applyFont="1" applyBorder="1"/>
    <xf numFmtId="0" fontId="14" fillId="7" borderId="17" xfId="0" applyFont="1" applyFill="1" applyBorder="1"/>
    <xf numFmtId="0" fontId="14" fillId="8" borderId="18" xfId="0" applyFont="1" applyFill="1" applyBorder="1"/>
    <xf numFmtId="0" fontId="0" fillId="9" borderId="17" xfId="0" applyFill="1" applyBorder="1"/>
    <xf numFmtId="0" fontId="0" fillId="9" borderId="0" xfId="0" applyFill="1"/>
    <xf numFmtId="0" fontId="0" fillId="9" borderId="18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12" borderId="17" xfId="0" applyFill="1" applyBorder="1"/>
    <xf numFmtId="0" fontId="0" fillId="13" borderId="18" xfId="0" applyFill="1" applyBorder="1"/>
    <xf numFmtId="0" fontId="0" fillId="15" borderId="17" xfId="0" applyFill="1" applyBorder="1"/>
    <xf numFmtId="0" fontId="0" fillId="15" borderId="18" xfId="0" applyFill="1" applyBorder="1"/>
    <xf numFmtId="0" fontId="0" fillId="17" borderId="17" xfId="0" applyFill="1" applyBorder="1"/>
    <xf numFmtId="0" fontId="0" fillId="17" borderId="0" xfId="0" applyFill="1"/>
    <xf numFmtId="0" fontId="0" fillId="17" borderId="18" xfId="0" applyFill="1" applyBorder="1"/>
    <xf numFmtId="0" fontId="0" fillId="18" borderId="17" xfId="0" applyFill="1" applyBorder="1"/>
    <xf numFmtId="0" fontId="0" fillId="18" borderId="0" xfId="0" applyFill="1"/>
    <xf numFmtId="0" fontId="0" fillId="18" borderId="18" xfId="0" applyFill="1" applyBorder="1"/>
    <xf numFmtId="0" fontId="0" fillId="19" borderId="17" xfId="0" applyFill="1" applyBorder="1"/>
    <xf numFmtId="0" fontId="0" fillId="19" borderId="0" xfId="0" applyFill="1"/>
    <xf numFmtId="0" fontId="0" fillId="19" borderId="18" xfId="0" applyFill="1" applyBorder="1"/>
    <xf numFmtId="0" fontId="0" fillId="24" borderId="18" xfId="0" applyFill="1" applyBorder="1"/>
    <xf numFmtId="0" fontId="0" fillId="5" borderId="18" xfId="0" applyFill="1" applyBorder="1"/>
    <xf numFmtId="0" fontId="0" fillId="24" borderId="17" xfId="0" applyFill="1" applyBorder="1"/>
    <xf numFmtId="6" fontId="0" fillId="0" borderId="31" xfId="0" applyNumberFormat="1" applyBorder="1"/>
    <xf numFmtId="0" fontId="14" fillId="7" borderId="18" xfId="0" applyFont="1" applyFill="1" applyBorder="1"/>
    <xf numFmtId="0" fontId="13" fillId="5" borderId="13" xfId="0" applyFont="1" applyFill="1" applyBorder="1"/>
    <xf numFmtId="0" fontId="0" fillId="5" borderId="14" xfId="0" applyFill="1" applyBorder="1"/>
    <xf numFmtId="0" fontId="13" fillId="5" borderId="24" xfId="0" applyFont="1" applyFill="1" applyBorder="1"/>
    <xf numFmtId="0" fontId="13" fillId="5" borderId="22" xfId="0" applyFont="1" applyFill="1" applyBorder="1"/>
    <xf numFmtId="0" fontId="0" fillId="5" borderId="21" xfId="0" applyFill="1" applyBorder="1"/>
    <xf numFmtId="0" fontId="15" fillId="5" borderId="24" xfId="0" applyFont="1" applyFill="1" applyBorder="1"/>
    <xf numFmtId="0" fontId="0" fillId="25" borderId="0" xfId="0" applyFill="1"/>
    <xf numFmtId="0" fontId="0" fillId="25" borderId="18" xfId="0" applyFill="1" applyBorder="1"/>
    <xf numFmtId="0" fontId="4" fillId="25" borderId="31" xfId="0" applyFont="1" applyFill="1" applyBorder="1"/>
    <xf numFmtId="0" fontId="4" fillId="0" borderId="16" xfId="0" applyFont="1" applyBorder="1"/>
    <xf numFmtId="0" fontId="4" fillId="25" borderId="17" xfId="0" applyFont="1" applyFill="1" applyBorder="1"/>
    <xf numFmtId="0" fontId="0" fillId="25" borderId="17" xfId="0" applyFill="1" applyBorder="1"/>
    <xf numFmtId="0" fontId="4" fillId="25" borderId="19" xfId="0" applyFont="1" applyFill="1" applyBorder="1"/>
    <xf numFmtId="0" fontId="0" fillId="25" borderId="19" xfId="0" applyFill="1" applyBorder="1"/>
    <xf numFmtId="0" fontId="0" fillId="25" borderId="21" xfId="0" applyFill="1" applyBorder="1"/>
    <xf numFmtId="0" fontId="0" fillId="25" borderId="20" xfId="0" applyFill="1" applyBorder="1"/>
    <xf numFmtId="10" fontId="0" fillId="0" borderId="23" xfId="0" applyNumberFormat="1" applyBorder="1"/>
    <xf numFmtId="0" fontId="4" fillId="0" borderId="25" xfId="0" applyFont="1" applyBorder="1"/>
    <xf numFmtId="0" fontId="4" fillId="0" borderId="23" xfId="0" applyFont="1" applyBorder="1"/>
    <xf numFmtId="10" fontId="0" fillId="0" borderId="31" xfId="0" applyNumberFormat="1" applyBorder="1"/>
    <xf numFmtId="173" fontId="0" fillId="0" borderId="0" xfId="0" applyNumberFormat="1"/>
    <xf numFmtId="173" fontId="0" fillId="0" borderId="18" xfId="0" applyNumberFormat="1" applyBorder="1"/>
    <xf numFmtId="0" fontId="4" fillId="0" borderId="21" xfId="0" applyFont="1" applyBorder="1"/>
    <xf numFmtId="0" fontId="4" fillId="0" borderId="20" xfId="0" applyFont="1" applyBorder="1"/>
    <xf numFmtId="6" fontId="4" fillId="4" borderId="17" xfId="0" applyNumberFormat="1" applyFont="1" applyFill="1" applyBorder="1" applyAlignment="1">
      <alignment horizontal="center"/>
    </xf>
    <xf numFmtId="6" fontId="4" fillId="5" borderId="17" xfId="0" applyNumberFormat="1" applyFont="1" applyFill="1" applyBorder="1" applyAlignment="1">
      <alignment horizontal="center"/>
    </xf>
    <xf numFmtId="6" fontId="4" fillId="5" borderId="19" xfId="0" applyNumberFormat="1" applyFont="1" applyFill="1" applyBorder="1" applyAlignment="1">
      <alignment horizontal="center"/>
    </xf>
    <xf numFmtId="10" fontId="0" fillId="0" borderId="17" xfId="0" applyNumberFormat="1" applyBorder="1"/>
    <xf numFmtId="10" fontId="0" fillId="0" borderId="19" xfId="0" applyNumberFormat="1" applyBorder="1"/>
    <xf numFmtId="173" fontId="0" fillId="0" borderId="14" xfId="0" applyNumberFormat="1" applyBorder="1"/>
    <xf numFmtId="173" fontId="0" fillId="0" borderId="15" xfId="0" applyNumberFormat="1" applyBorder="1"/>
    <xf numFmtId="0" fontId="4" fillId="0" borderId="14" xfId="0" applyFont="1" applyBorder="1"/>
    <xf numFmtId="0" fontId="4" fillId="0" borderId="15" xfId="0" applyFont="1" applyBorder="1"/>
    <xf numFmtId="0" fontId="17" fillId="0" borderId="0" xfId="0" applyFont="1"/>
    <xf numFmtId="0" fontId="4" fillId="5" borderId="14" xfId="0" applyFont="1" applyFill="1" applyBorder="1" applyAlignment="1">
      <alignment horizontal="right"/>
    </xf>
    <xf numFmtId="164" fontId="4" fillId="5" borderId="15" xfId="0" applyNumberFormat="1" applyFont="1" applyFill="1" applyBorder="1"/>
    <xf numFmtId="164" fontId="4" fillId="25" borderId="20" xfId="0" applyNumberFormat="1" applyFont="1" applyFill="1" applyBorder="1"/>
    <xf numFmtId="0" fontId="4" fillId="25" borderId="24" xfId="0" applyFont="1" applyFill="1" applyBorder="1"/>
    <xf numFmtId="164" fontId="4" fillId="25" borderId="23" xfId="0" applyNumberFormat="1" applyFont="1" applyFill="1" applyBorder="1"/>
    <xf numFmtId="0" fontId="4" fillId="25" borderId="13" xfId="0" applyFont="1" applyFill="1" applyBorder="1"/>
    <xf numFmtId="164" fontId="4" fillId="25" borderId="15" xfId="0" applyNumberFormat="1" applyFont="1" applyFill="1" applyBorder="1"/>
    <xf numFmtId="164" fontId="4" fillId="25" borderId="18" xfId="0" applyNumberFormat="1" applyFont="1" applyFill="1" applyBorder="1"/>
    <xf numFmtId="173" fontId="0" fillId="0" borderId="21" xfId="0" applyNumberFormat="1" applyBorder="1"/>
    <xf numFmtId="173" fontId="0" fillId="0" borderId="20" xfId="0" applyNumberFormat="1" applyBorder="1"/>
    <xf numFmtId="0" fontId="16" fillId="0" borderId="0" xfId="0" applyFont="1"/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164" fontId="0" fillId="0" borderId="31" xfId="0" applyNumberFormat="1" applyBorder="1"/>
    <xf numFmtId="173" fontId="0" fillId="0" borderId="17" xfId="0" applyNumberFormat="1" applyBorder="1"/>
    <xf numFmtId="2" fontId="0" fillId="0" borderId="21" xfId="0" applyNumberFormat="1" applyBorder="1"/>
    <xf numFmtId="10" fontId="0" fillId="0" borderId="20" xfId="0" applyNumberFormat="1" applyBorder="1" applyAlignment="1">
      <alignment horizontal="center"/>
    </xf>
    <xf numFmtId="0" fontId="4" fillId="0" borderId="30" xfId="0" applyFont="1" applyBorder="1"/>
    <xf numFmtId="0" fontId="4" fillId="0" borderId="2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" fontId="0" fillId="0" borderId="14" xfId="0" applyNumberFormat="1" applyBorder="1"/>
    <xf numFmtId="1" fontId="0" fillId="0" borderId="21" xfId="0" applyNumberFormat="1" applyBorder="1"/>
    <xf numFmtId="0" fontId="0" fillId="0" borderId="17" xfId="0" applyBorder="1" applyAlignment="1">
      <alignment horizontal="right"/>
    </xf>
    <xf numFmtId="0" fontId="7" fillId="0" borderId="17" xfId="0" applyFont="1" applyBorder="1" applyAlignment="1">
      <alignment horizontal="right"/>
    </xf>
    <xf numFmtId="0" fontId="4" fillId="5" borderId="13" xfId="0" applyFont="1" applyFill="1" applyBorder="1"/>
    <xf numFmtId="165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6" borderId="13" xfId="0" applyFill="1" applyBorder="1"/>
    <xf numFmtId="0" fontId="4" fillId="26" borderId="15" xfId="0" applyFont="1" applyFill="1" applyBorder="1" applyAlignment="1">
      <alignment horizontal="center"/>
    </xf>
    <xf numFmtId="10" fontId="0" fillId="0" borderId="31" xfId="0" applyNumberFormat="1" applyBorder="1" applyAlignment="1">
      <alignment horizontal="center"/>
    </xf>
    <xf numFmtId="6" fontId="0" fillId="0" borderId="18" xfId="0" applyNumberFormat="1" applyBorder="1" applyAlignment="1">
      <alignment horizontal="center"/>
    </xf>
    <xf numFmtId="0" fontId="4" fillId="27" borderId="24" xfId="0" applyFont="1" applyFill="1" applyBorder="1"/>
    <xf numFmtId="10" fontId="0" fillId="27" borderId="22" xfId="0" applyNumberFormat="1" applyFill="1" applyBorder="1" applyAlignment="1">
      <alignment horizontal="center"/>
    </xf>
    <xf numFmtId="6" fontId="0" fillId="27" borderId="23" xfId="0" applyNumberFormat="1" applyFill="1" applyBorder="1" applyAlignment="1">
      <alignment horizontal="center"/>
    </xf>
    <xf numFmtId="0" fontId="4" fillId="27" borderId="13" xfId="0" applyFont="1" applyFill="1" applyBorder="1"/>
    <xf numFmtId="10" fontId="0" fillId="27" borderId="16" xfId="0" applyNumberFormat="1" applyFill="1" applyBorder="1" applyAlignment="1">
      <alignment horizontal="center"/>
    </xf>
    <xf numFmtId="6" fontId="0" fillId="27" borderId="15" xfId="0" applyNumberFormat="1" applyFill="1" applyBorder="1" applyAlignment="1">
      <alignment horizontal="center"/>
    </xf>
    <xf numFmtId="0" fontId="4" fillId="27" borderId="24" xfId="0" applyFont="1" applyFill="1" applyBorder="1" applyAlignment="1">
      <alignment horizontal="left"/>
    </xf>
    <xf numFmtId="10" fontId="4" fillId="27" borderId="24" xfId="0" applyNumberFormat="1" applyFont="1" applyFill="1" applyBorder="1"/>
    <xf numFmtId="10" fontId="0" fillId="0" borderId="13" xfId="0" applyNumberFormat="1" applyBorder="1" applyAlignment="1">
      <alignment horizontal="center"/>
    </xf>
    <xf numFmtId="9" fontId="0" fillId="0" borderId="31" xfId="0" applyNumberFormat="1" applyBorder="1" applyAlignment="1">
      <alignment horizontal="center"/>
    </xf>
    <xf numFmtId="165" fontId="4" fillId="5" borderId="24" xfId="0" applyNumberFormat="1" applyFont="1" applyFill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4" fontId="0" fillId="0" borderId="1" xfId="0" applyNumberFormat="1" applyBorder="1"/>
    <xf numFmtId="0" fontId="10" fillId="0" borderId="0" xfId="0" applyFont="1"/>
    <xf numFmtId="10" fontId="0" fillId="0" borderId="0" xfId="3" applyNumberFormat="1" applyFont="1"/>
    <xf numFmtId="0" fontId="0" fillId="28" borderId="17" xfId="0" applyFill="1" applyBorder="1"/>
    <xf numFmtId="0" fontId="0" fillId="28" borderId="17" xfId="0" applyFill="1" applyBorder="1" applyAlignment="1">
      <alignment horizontal="center"/>
    </xf>
    <xf numFmtId="165" fontId="4" fillId="28" borderId="17" xfId="0" applyNumberFormat="1" applyFont="1" applyFill="1" applyBorder="1" applyAlignment="1">
      <alignment horizontal="center"/>
    </xf>
    <xf numFmtId="0" fontId="0" fillId="28" borderId="31" xfId="0" applyFill="1" applyBorder="1" applyAlignment="1">
      <alignment horizontal="center"/>
    </xf>
    <xf numFmtId="165" fontId="0" fillId="28" borderId="18" xfId="0" applyNumberFormat="1" applyFill="1" applyBorder="1" applyAlignment="1">
      <alignment horizontal="center"/>
    </xf>
    <xf numFmtId="0" fontId="0" fillId="28" borderId="19" xfId="0" applyFill="1" applyBorder="1"/>
    <xf numFmtId="0" fontId="0" fillId="28" borderId="19" xfId="0" applyFill="1" applyBorder="1" applyAlignment="1">
      <alignment horizontal="center"/>
    </xf>
    <xf numFmtId="165" fontId="0" fillId="28" borderId="19" xfId="0" applyNumberFormat="1" applyFill="1" applyBorder="1" applyAlignment="1">
      <alignment horizontal="center"/>
    </xf>
    <xf numFmtId="0" fontId="0" fillId="28" borderId="30" xfId="0" applyFill="1" applyBorder="1" applyAlignment="1">
      <alignment horizontal="center"/>
    </xf>
    <xf numFmtId="165" fontId="4" fillId="28" borderId="20" xfId="0" applyNumberFormat="1" applyFont="1" applyFill="1" applyBorder="1" applyAlignment="1">
      <alignment horizontal="center"/>
    </xf>
    <xf numFmtId="10" fontId="0" fillId="28" borderId="31" xfId="0" applyNumberForma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10" fontId="0" fillId="28" borderId="17" xfId="0" applyNumberFormat="1" applyFill="1" applyBorder="1" applyAlignment="1">
      <alignment horizontal="center"/>
    </xf>
    <xf numFmtId="164" fontId="0" fillId="0" borderId="0" xfId="1" applyNumberFormat="1" applyFont="1" applyFill="1" applyBorder="1"/>
    <xf numFmtId="171" fontId="0" fillId="0" borderId="0" xfId="3" applyNumberFormat="1" applyFont="1" applyFill="1" applyBorder="1"/>
    <xf numFmtId="164" fontId="4" fillId="0" borderId="0" xfId="1" applyNumberFormat="1" applyFont="1" applyFill="1" applyBorder="1"/>
    <xf numFmtId="166" fontId="4" fillId="0" borderId="0" xfId="1" applyNumberFormat="1" applyFont="1" applyFill="1" applyBorder="1"/>
    <xf numFmtId="164" fontId="0" fillId="0" borderId="8" xfId="0" applyNumberFormat="1" applyBorder="1"/>
    <xf numFmtId="164" fontId="0" fillId="0" borderId="5" xfId="1" applyNumberFormat="1" applyFont="1" applyBorder="1"/>
    <xf numFmtId="164" fontId="0" fillId="0" borderId="6" xfId="0" applyNumberFormat="1" applyBorder="1"/>
    <xf numFmtId="164" fontId="0" fillId="0" borderId="9" xfId="0" applyNumberFormat="1" applyBorder="1"/>
    <xf numFmtId="0" fontId="6" fillId="0" borderId="0" xfId="4"/>
    <xf numFmtId="10" fontId="4" fillId="25" borderId="31" xfId="0" applyNumberFormat="1" applyFont="1" applyFill="1" applyBorder="1"/>
    <xf numFmtId="10" fontId="4" fillId="25" borderId="16" xfId="0" applyNumberFormat="1" applyFont="1" applyFill="1" applyBorder="1"/>
    <xf numFmtId="10" fontId="4" fillId="25" borderId="22" xfId="0" applyNumberFormat="1" applyFont="1" applyFill="1" applyBorder="1"/>
    <xf numFmtId="10" fontId="4" fillId="25" borderId="17" xfId="0" applyNumberFormat="1" applyFont="1" applyFill="1" applyBorder="1"/>
    <xf numFmtId="10" fontId="4" fillId="25" borderId="13" xfId="0" applyNumberFormat="1" applyFont="1" applyFill="1" applyBorder="1"/>
    <xf numFmtId="10" fontId="4" fillId="25" borderId="24" xfId="0" applyNumberFormat="1" applyFont="1" applyFill="1" applyBorder="1"/>
    <xf numFmtId="0" fontId="4" fillId="5" borderId="10" xfId="0" applyFont="1" applyFill="1" applyBorder="1"/>
    <xf numFmtId="0" fontId="4" fillId="5" borderId="12" xfId="0" applyFont="1" applyFill="1" applyBorder="1"/>
    <xf numFmtId="0" fontId="4" fillId="29" borderId="13" xfId="0" applyFont="1" applyFill="1" applyBorder="1"/>
    <xf numFmtId="10" fontId="4" fillId="25" borderId="19" xfId="0" applyNumberFormat="1" applyFont="1" applyFill="1" applyBorder="1"/>
    <xf numFmtId="10" fontId="4" fillId="25" borderId="30" xfId="0" applyNumberFormat="1" applyFont="1" applyFill="1" applyBorder="1"/>
    <xf numFmtId="164" fontId="4" fillId="25" borderId="16" xfId="0" applyNumberFormat="1" applyFont="1" applyFill="1" applyBorder="1"/>
    <xf numFmtId="0" fontId="7" fillId="0" borderId="19" xfId="0" applyFont="1" applyBorder="1" applyAlignment="1">
      <alignment horizontal="right"/>
    </xf>
    <xf numFmtId="164" fontId="4" fillId="27" borderId="21" xfId="0" applyNumberFormat="1" applyFont="1" applyFill="1" applyBorder="1"/>
    <xf numFmtId="10" fontId="4" fillId="27" borderId="20" xfId="0" applyNumberFormat="1" applyFont="1" applyFill="1" applyBorder="1"/>
    <xf numFmtId="166" fontId="0" fillId="0" borderId="0" xfId="0" applyNumberFormat="1" applyAlignment="1">
      <alignment horizontal="right"/>
    </xf>
    <xf numFmtId="165" fontId="0" fillId="0" borderId="17" xfId="0" applyNumberFormat="1" applyBorder="1"/>
    <xf numFmtId="165" fontId="0" fillId="0" borderId="19" xfId="0" applyNumberFormat="1" applyBorder="1"/>
    <xf numFmtId="164" fontId="0" fillId="0" borderId="20" xfId="0" applyNumberFormat="1" applyBorder="1"/>
    <xf numFmtId="164" fontId="0" fillId="0" borderId="17" xfId="1" applyNumberFormat="1" applyFont="1" applyBorder="1"/>
    <xf numFmtId="166" fontId="0" fillId="0" borderId="17" xfId="0" applyNumberFormat="1" applyBorder="1"/>
    <xf numFmtId="176" fontId="0" fillId="0" borderId="20" xfId="0" applyNumberFormat="1" applyBorder="1"/>
    <xf numFmtId="165" fontId="0" fillId="0" borderId="18" xfId="0" applyNumberFormat="1" applyBorder="1"/>
    <xf numFmtId="166" fontId="4" fillId="25" borderId="23" xfId="0" applyNumberFormat="1" applyFont="1" applyFill="1" applyBorder="1"/>
    <xf numFmtId="166" fontId="0" fillId="0" borderId="15" xfId="0" applyNumberFormat="1" applyBorder="1"/>
    <xf numFmtId="0" fontId="4" fillId="5" borderId="17" xfId="0" applyFont="1" applyFill="1" applyBorder="1"/>
    <xf numFmtId="166" fontId="4" fillId="5" borderId="18" xfId="0" applyNumberFormat="1" applyFont="1" applyFill="1" applyBorder="1"/>
    <xf numFmtId="164" fontId="0" fillId="0" borderId="5" xfId="0" applyNumberFormat="1" applyBorder="1"/>
    <xf numFmtId="164" fontId="0" fillId="0" borderId="7" xfId="0" applyNumberFormat="1" applyBorder="1"/>
    <xf numFmtId="0" fontId="4" fillId="0" borderId="10" xfId="0" applyFont="1" applyBorder="1"/>
    <xf numFmtId="0" fontId="4" fillId="0" borderId="34" xfId="0" applyFont="1" applyBorder="1"/>
    <xf numFmtId="0" fontId="4" fillId="0" borderId="11" xfId="0" applyFont="1" applyBorder="1"/>
    <xf numFmtId="0" fontId="4" fillId="0" borderId="35" xfId="0" applyFont="1" applyBorder="1"/>
    <xf numFmtId="0" fontId="4" fillId="0" borderId="12" xfId="0" applyFont="1" applyBorder="1"/>
    <xf numFmtId="43" fontId="0" fillId="0" borderId="0" xfId="0" applyNumberFormat="1"/>
    <xf numFmtId="164" fontId="0" fillId="0" borderId="4" xfId="1" applyNumberFormat="1" applyFont="1" applyBorder="1"/>
    <xf numFmtId="0" fontId="0" fillId="0" borderId="2" xfId="0" applyBorder="1"/>
    <xf numFmtId="164" fontId="0" fillId="0" borderId="4" xfId="0" applyNumberFormat="1" applyBorder="1"/>
    <xf numFmtId="0" fontId="4" fillId="25" borderId="37" xfId="0" applyFont="1" applyFill="1" applyBorder="1"/>
    <xf numFmtId="43" fontId="4" fillId="25" borderId="36" xfId="0" applyNumberFormat="1" applyFont="1" applyFill="1" applyBorder="1"/>
    <xf numFmtId="0" fontId="4" fillId="25" borderId="7" xfId="0" applyFont="1" applyFill="1" applyBorder="1"/>
    <xf numFmtId="0" fontId="0" fillId="0" borderId="32" xfId="0" applyBorder="1"/>
    <xf numFmtId="166" fontId="0" fillId="0" borderId="5" xfId="0" applyNumberFormat="1" applyBorder="1"/>
    <xf numFmtId="0" fontId="0" fillId="0" borderId="33" xfId="0" applyBorder="1"/>
    <xf numFmtId="166" fontId="0" fillId="25" borderId="10" xfId="0" applyNumberFormat="1" applyFill="1" applyBorder="1"/>
    <xf numFmtId="166" fontId="0" fillId="25" borderId="11" xfId="0" applyNumberFormat="1" applyFill="1" applyBorder="1"/>
    <xf numFmtId="166" fontId="0" fillId="25" borderId="12" xfId="0" applyNumberFormat="1" applyFill="1" applyBorder="1"/>
    <xf numFmtId="43" fontId="0" fillId="25" borderId="7" xfId="0" applyNumberFormat="1" applyFill="1" applyBorder="1"/>
    <xf numFmtId="43" fontId="0" fillId="25" borderId="8" xfId="0" applyNumberFormat="1" applyFill="1" applyBorder="1"/>
    <xf numFmtId="43" fontId="0" fillId="25" borderId="9" xfId="0" applyNumberFormat="1" applyFill="1" applyBorder="1"/>
    <xf numFmtId="0" fontId="4" fillId="25" borderId="33" xfId="0" applyFont="1" applyFill="1" applyBorder="1"/>
    <xf numFmtId="0" fontId="0" fillId="25" borderId="11" xfId="0" applyFill="1" applyBorder="1"/>
    <xf numFmtId="0" fontId="0" fillId="25" borderId="12" xfId="0" applyFill="1" applyBorder="1"/>
    <xf numFmtId="0" fontId="4" fillId="25" borderId="10" xfId="0" applyFont="1" applyFill="1" applyBorder="1"/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8" fillId="27" borderId="19" xfId="0" applyFont="1" applyFill="1" applyBorder="1"/>
    <xf numFmtId="0" fontId="8" fillId="0" borderId="0" xfId="0" applyFont="1" applyAlignment="1">
      <alignment horizontal="center"/>
    </xf>
    <xf numFmtId="8" fontId="4" fillId="0" borderId="0" xfId="0" applyNumberFormat="1" applyFont="1"/>
    <xf numFmtId="6" fontId="18" fillId="0" borderId="0" xfId="0" applyNumberFormat="1" applyFont="1"/>
    <xf numFmtId="166" fontId="4" fillId="0" borderId="29" xfId="1" applyNumberFormat="1" applyFont="1" applyBorder="1"/>
    <xf numFmtId="6" fontId="18" fillId="0" borderId="14" xfId="0" applyNumberFormat="1" applyFont="1" applyBorder="1"/>
    <xf numFmtId="0" fontId="19" fillId="0" borderId="0" xfId="5"/>
    <xf numFmtId="0" fontId="19" fillId="0" borderId="0" xfId="5" applyAlignment="1">
      <alignment wrapText="1"/>
    </xf>
    <xf numFmtId="0" fontId="20" fillId="0" borderId="0" xfId="5" applyFont="1" applyAlignment="1">
      <alignment wrapText="1"/>
    </xf>
    <xf numFmtId="0" fontId="19" fillId="0" borderId="0" xfId="5" quotePrefix="1" applyAlignment="1">
      <alignment wrapText="1"/>
    </xf>
    <xf numFmtId="10" fontId="19" fillId="0" borderId="0" xfId="5" applyNumberFormat="1"/>
    <xf numFmtId="1" fontId="19" fillId="0" borderId="0" xfId="5" applyNumberFormat="1"/>
    <xf numFmtId="17" fontId="21" fillId="0" borderId="0" xfId="5" applyNumberFormat="1" applyFont="1" applyAlignment="1">
      <alignment horizontal="center" wrapText="1"/>
    </xf>
    <xf numFmtId="9" fontId="19" fillId="0" borderId="0" xfId="0" applyNumberFormat="1" applyFont="1"/>
    <xf numFmtId="9" fontId="19" fillId="0" borderId="0" xfId="5" applyNumberFormat="1"/>
    <xf numFmtId="0" fontId="19" fillId="0" borderId="5" xfId="5" applyBorder="1" applyAlignment="1">
      <alignment wrapText="1"/>
    </xf>
    <xf numFmtId="9" fontId="19" fillId="0" borderId="0" xfId="7"/>
    <xf numFmtId="43" fontId="0" fillId="0" borderId="0" xfId="6" applyFont="1" applyFill="1"/>
    <xf numFmtId="43" fontId="0" fillId="25" borderId="0" xfId="6" applyFont="1" applyFill="1"/>
    <xf numFmtId="0" fontId="21" fillId="0" borderId="0" xfId="5" applyFont="1" applyAlignment="1">
      <alignment horizontal="center" wrapText="1"/>
    </xf>
    <xf numFmtId="43" fontId="0" fillId="0" borderId="0" xfId="6" applyFont="1"/>
    <xf numFmtId="0" fontId="19" fillId="0" borderId="0" xfId="0" applyFont="1" applyAlignment="1">
      <alignment wrapText="1"/>
    </xf>
    <xf numFmtId="0" fontId="21" fillId="0" borderId="0" xfId="5" applyFont="1" applyAlignment="1">
      <alignment horizontal="left" wrapText="1"/>
    </xf>
    <xf numFmtId="43" fontId="0" fillId="0" borderId="11" xfId="6" applyFont="1" applyFill="1" applyBorder="1"/>
    <xf numFmtId="0" fontId="19" fillId="0" borderId="11" xfId="5" applyBorder="1"/>
    <xf numFmtId="0" fontId="21" fillId="0" borderId="10" xfId="5" applyFont="1" applyBorder="1" applyAlignment="1">
      <alignment wrapText="1"/>
    </xf>
    <xf numFmtId="43" fontId="0" fillId="25" borderId="11" xfId="6" applyFont="1" applyFill="1" applyBorder="1"/>
    <xf numFmtId="0" fontId="21" fillId="29" borderId="0" xfId="5" applyFont="1" applyFill="1" applyAlignment="1">
      <alignment wrapText="1"/>
    </xf>
    <xf numFmtId="43" fontId="0" fillId="25" borderId="0" xfId="6" applyFont="1" applyFill="1" applyBorder="1"/>
    <xf numFmtId="0" fontId="19" fillId="0" borderId="8" xfId="5" applyBorder="1"/>
    <xf numFmtId="43" fontId="0" fillId="0" borderId="0" xfId="6" applyFont="1" applyAlignment="1">
      <alignment horizontal="left"/>
    </xf>
    <xf numFmtId="0" fontId="21" fillId="0" borderId="7" xfId="5" applyFont="1" applyBorder="1" applyAlignment="1">
      <alignment wrapText="1"/>
    </xf>
    <xf numFmtId="0" fontId="19" fillId="0" borderId="38" xfId="5" applyBorder="1"/>
    <xf numFmtId="0" fontId="19" fillId="0" borderId="39" xfId="5" applyBorder="1" applyAlignment="1">
      <alignment wrapText="1"/>
    </xf>
    <xf numFmtId="0" fontId="21" fillId="0" borderId="5" xfId="5" applyFont="1" applyBorder="1" applyAlignment="1">
      <alignment wrapText="1"/>
    </xf>
    <xf numFmtId="43" fontId="0" fillId="25" borderId="3" xfId="6" applyFont="1" applyFill="1" applyBorder="1"/>
    <xf numFmtId="0" fontId="19" fillId="0" borderId="3" xfId="5" applyBorder="1"/>
    <xf numFmtId="0" fontId="19" fillId="0" borderId="2" xfId="5" applyBorder="1" applyAlignment="1">
      <alignment wrapText="1"/>
    </xf>
    <xf numFmtId="2" fontId="19" fillId="0" borderId="0" xfId="5" applyNumberFormat="1"/>
    <xf numFmtId="0" fontId="21" fillId="0" borderId="0" xfId="5" applyFont="1" applyAlignment="1">
      <alignment wrapText="1"/>
    </xf>
    <xf numFmtId="2" fontId="19" fillId="25" borderId="38" xfId="5" applyNumberFormat="1" applyFill="1" applyBorder="1"/>
    <xf numFmtId="2" fontId="19" fillId="25" borderId="0" xfId="5" applyNumberFormat="1" applyFill="1"/>
    <xf numFmtId="3" fontId="19" fillId="0" borderId="0" xfId="5" applyNumberFormat="1"/>
    <xf numFmtId="164" fontId="0" fillId="0" borderId="8" xfId="6" applyNumberFormat="1" applyFont="1" applyBorder="1"/>
    <xf numFmtId="164" fontId="0" fillId="25" borderId="38" xfId="6" applyNumberFormat="1" applyFont="1" applyFill="1" applyBorder="1"/>
    <xf numFmtId="164" fontId="0" fillId="25" borderId="0" xfId="6" applyNumberFormat="1" applyFont="1" applyFill="1"/>
    <xf numFmtId="164" fontId="0" fillId="25" borderId="3" xfId="6" applyNumberFormat="1" applyFont="1" applyFill="1" applyBorder="1"/>
    <xf numFmtId="0" fontId="21" fillId="0" borderId="0" xfId="5" applyFont="1" applyAlignment="1">
      <alignment horizontal="center"/>
    </xf>
    <xf numFmtId="0" fontId="21" fillId="0" borderId="0" xfId="5" applyFont="1" applyAlignment="1">
      <alignment horizontal="left" wrapText="1" indent="6"/>
    </xf>
    <xf numFmtId="0" fontId="19" fillId="0" borderId="0" xfId="5" applyAlignment="1">
      <alignment horizontal="left" wrapText="1" indent="2"/>
    </xf>
    <xf numFmtId="0" fontId="19" fillId="0" borderId="0" xfId="5" quotePrefix="1"/>
    <xf numFmtId="0" fontId="21" fillId="0" borderId="0" xfId="5" applyFont="1"/>
    <xf numFmtId="0" fontId="23" fillId="0" borderId="0" xfId="5" applyFont="1" applyAlignment="1">
      <alignment horizontal="center"/>
    </xf>
    <xf numFmtId="171" fontId="0" fillId="0" borderId="0" xfId="0" applyNumberFormat="1"/>
    <xf numFmtId="0" fontId="23" fillId="0" borderId="38" xfId="8" applyFont="1" applyBorder="1" applyAlignment="1">
      <alignment horizontal="center"/>
    </xf>
    <xf numFmtId="0" fontId="24" fillId="10" borderId="0" xfId="8" applyFont="1" applyFill="1"/>
    <xf numFmtId="0" fontId="19" fillId="0" borderId="0" xfId="8"/>
    <xf numFmtId="164" fontId="19" fillId="0" borderId="0" xfId="8" applyNumberFormat="1"/>
    <xf numFmtId="0" fontId="21" fillId="0" borderId="0" xfId="8" applyFont="1"/>
    <xf numFmtId="0" fontId="19" fillId="0" borderId="0" xfId="8" applyAlignment="1">
      <alignment wrapText="1"/>
    </xf>
    <xf numFmtId="164" fontId="0" fillId="0" borderId="0" xfId="6" applyNumberFormat="1" applyFont="1"/>
    <xf numFmtId="164" fontId="19" fillId="0" borderId="0" xfId="6" applyNumberFormat="1"/>
    <xf numFmtId="164" fontId="19" fillId="0" borderId="8" xfId="6" applyNumberFormat="1" applyBorder="1"/>
    <xf numFmtId="0" fontId="23" fillId="0" borderId="0" xfId="8" applyFont="1"/>
    <xf numFmtId="0" fontId="22" fillId="10" borderId="0" xfId="8" applyFont="1" applyFill="1" applyAlignment="1">
      <alignment wrapText="1"/>
    </xf>
    <xf numFmtId="167" fontId="19" fillId="0" borderId="0" xfId="8" applyNumberFormat="1"/>
    <xf numFmtId="177" fontId="19" fillId="0" borderId="0" xfId="8" applyNumberFormat="1"/>
    <xf numFmtId="177" fontId="25" fillId="0" borderId="0" xfId="8" applyNumberFormat="1" applyFont="1"/>
    <xf numFmtId="9" fontId="19" fillId="0" borderId="0" xfId="3" applyFont="1"/>
    <xf numFmtId="0" fontId="26" fillId="0" borderId="0" xfId="8" applyFont="1"/>
    <xf numFmtId="0" fontId="27" fillId="0" borderId="0" xfId="8" applyFont="1"/>
    <xf numFmtId="1" fontId="19" fillId="0" borderId="0" xfId="8" applyNumberFormat="1"/>
    <xf numFmtId="0" fontId="28" fillId="0" borderId="0" xfId="8" applyFont="1"/>
    <xf numFmtId="178" fontId="27" fillId="0" borderId="0" xfId="6" applyNumberFormat="1" applyFont="1"/>
    <xf numFmtId="178" fontId="0" fillId="0" borderId="0" xfId="6" applyNumberFormat="1" applyFont="1"/>
    <xf numFmtId="178" fontId="26" fillId="0" borderId="0" xfId="6" applyNumberFormat="1" applyFont="1"/>
    <xf numFmtId="164" fontId="20" fillId="0" borderId="0" xfId="6" applyNumberFormat="1" applyFont="1"/>
    <xf numFmtId="9" fontId="19" fillId="0" borderId="0" xfId="8" applyNumberFormat="1"/>
    <xf numFmtId="8" fontId="19" fillId="0" borderId="0" xfId="8" applyNumberFormat="1"/>
    <xf numFmtId="166" fontId="19" fillId="0" borderId="0" xfId="8" applyNumberFormat="1" applyAlignment="1">
      <alignment horizontal="center"/>
    </xf>
    <xf numFmtId="171" fontId="19" fillId="0" borderId="0" xfId="8" applyNumberFormat="1" applyAlignment="1">
      <alignment horizontal="right"/>
    </xf>
    <xf numFmtId="9" fontId="29" fillId="0" borderId="0" xfId="9" applyNumberFormat="1" applyAlignment="1" applyProtection="1"/>
    <xf numFmtId="9" fontId="19" fillId="0" borderId="0" xfId="7" applyAlignment="1">
      <alignment horizontal="center"/>
    </xf>
    <xf numFmtId="166" fontId="19" fillId="0" borderId="0" xfId="8" applyNumberFormat="1"/>
    <xf numFmtId="9" fontId="19" fillId="0" borderId="0" xfId="8" applyNumberFormat="1" applyAlignment="1">
      <alignment horizontal="center"/>
    </xf>
    <xf numFmtId="164" fontId="19" fillId="0" borderId="0" xfId="6" applyNumberFormat="1" applyAlignment="1">
      <alignment horizontal="center"/>
    </xf>
    <xf numFmtId="171" fontId="19" fillId="0" borderId="0" xfId="8" applyNumberFormat="1"/>
    <xf numFmtId="164" fontId="19" fillId="0" borderId="40" xfId="6" applyNumberFormat="1" applyBorder="1"/>
    <xf numFmtId="164" fontId="19" fillId="0" borderId="0" xfId="6" applyNumberFormat="1" applyBorder="1"/>
    <xf numFmtId="0" fontId="29" fillId="0" borderId="0" xfId="9" applyAlignment="1" applyProtection="1"/>
    <xf numFmtId="164" fontId="19" fillId="29" borderId="0" xfId="6" applyNumberFormat="1" applyFill="1"/>
    <xf numFmtId="0" fontId="19" fillId="0" borderId="0" xfId="8" quotePrefix="1"/>
    <xf numFmtId="164" fontId="0" fillId="25" borderId="0" xfId="6" applyNumberFormat="1" applyFont="1" applyFill="1" applyBorder="1"/>
    <xf numFmtId="164" fontId="0" fillId="25" borderId="14" xfId="6" applyNumberFormat="1" applyFont="1" applyFill="1" applyBorder="1"/>
    <xf numFmtId="0" fontId="19" fillId="0" borderId="5" xfId="5" applyBorder="1" applyAlignment="1">
      <alignment horizontal="left" wrapText="1"/>
    </xf>
    <xf numFmtId="2" fontId="19" fillId="0" borderId="8" xfId="5" applyNumberFormat="1" applyBorder="1"/>
    <xf numFmtId="165" fontId="0" fillId="0" borderId="20" xfId="0" applyNumberFormat="1" applyBorder="1" applyAlignment="1">
      <alignment horizontal="center"/>
    </xf>
    <xf numFmtId="1" fontId="4" fillId="0" borderId="0" xfId="0" applyNumberFormat="1" applyFont="1"/>
    <xf numFmtId="0" fontId="2" fillId="31" borderId="17" xfId="11" applyBorder="1"/>
    <xf numFmtId="0" fontId="2" fillId="31" borderId="0" xfId="11" applyBorder="1"/>
    <xf numFmtId="164" fontId="2" fillId="31" borderId="0" xfId="11" applyNumberFormat="1" applyBorder="1" applyAlignment="1">
      <alignment horizontal="center"/>
    </xf>
    <xf numFmtId="1" fontId="2" fillId="31" borderId="0" xfId="11" applyNumberFormat="1" applyBorder="1" applyAlignment="1">
      <alignment horizontal="right" vertical="center"/>
    </xf>
    <xf numFmtId="2" fontId="2" fillId="31" borderId="0" xfId="11" applyNumberFormat="1" applyBorder="1" applyAlignment="1">
      <alignment horizontal="center"/>
    </xf>
    <xf numFmtId="0" fontId="2" fillId="31" borderId="0" xfId="11" applyBorder="1" applyAlignment="1">
      <alignment horizontal="center"/>
    </xf>
    <xf numFmtId="0" fontId="2" fillId="31" borderId="18" xfId="11" applyBorder="1" applyAlignment="1">
      <alignment horizontal="center"/>
    </xf>
    <xf numFmtId="164" fontId="2" fillId="31" borderId="0" xfId="11" applyNumberFormat="1" applyBorder="1" applyAlignment="1">
      <alignment horizontal="right" vertical="center"/>
    </xf>
    <xf numFmtId="0" fontId="2" fillId="31" borderId="21" xfId="11" applyBorder="1"/>
    <xf numFmtId="0" fontId="32" fillId="30" borderId="19" xfId="10" applyFont="1" applyBorder="1" applyAlignment="1">
      <alignment horizontal="center"/>
    </xf>
    <xf numFmtId="0" fontId="32" fillId="30" borderId="21" xfId="10" applyFont="1" applyBorder="1" applyAlignment="1">
      <alignment horizontal="center"/>
    </xf>
    <xf numFmtId="0" fontId="32" fillId="30" borderId="20" xfId="10" applyFont="1" applyBorder="1" applyAlignment="1">
      <alignment horizontal="center"/>
    </xf>
    <xf numFmtId="0" fontId="30" fillId="30" borderId="41" xfId="10" applyFont="1" applyBorder="1" applyAlignment="1"/>
    <xf numFmtId="0" fontId="30" fillId="30" borderId="42" xfId="10" applyFont="1" applyBorder="1" applyAlignment="1"/>
    <xf numFmtId="0" fontId="30" fillId="30" borderId="43" xfId="10" applyFont="1" applyBorder="1" applyAlignment="1"/>
    <xf numFmtId="2" fontId="0" fillId="0" borderId="14" xfId="0" applyNumberFormat="1" applyBorder="1"/>
    <xf numFmtId="164" fontId="0" fillId="0" borderId="14" xfId="1" applyNumberFormat="1" applyFont="1" applyBorder="1"/>
    <xf numFmtId="178" fontId="0" fillId="0" borderId="0" xfId="0" applyNumberFormat="1"/>
    <xf numFmtId="0" fontId="0" fillId="0" borderId="20" xfId="0" applyBorder="1" applyAlignment="1">
      <alignment horizontal="center"/>
    </xf>
    <xf numFmtId="165" fontId="7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7" xfId="0" applyNumberFormat="1" applyBorder="1" applyAlignment="1">
      <alignment horizontal="center"/>
    </xf>
    <xf numFmtId="179" fontId="0" fillId="0" borderId="19" xfId="0" applyNumberFormat="1" applyBorder="1" applyAlignment="1">
      <alignment horizontal="center"/>
    </xf>
    <xf numFmtId="179" fontId="0" fillId="0" borderId="21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5" fontId="0" fillId="0" borderId="31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0" fontId="7" fillId="0" borderId="17" xfId="4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0" xfId="4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171" fontId="4" fillId="25" borderId="18" xfId="0" applyNumberFormat="1" applyFont="1" applyFill="1" applyBorder="1"/>
    <xf numFmtId="171" fontId="4" fillId="0" borderId="15" xfId="0" applyNumberFormat="1" applyFont="1" applyBorder="1"/>
    <xf numFmtId="171" fontId="4" fillId="0" borderId="18" xfId="0" applyNumberFormat="1" applyFont="1" applyBorder="1"/>
    <xf numFmtId="167" fontId="0" fillId="0" borderId="25" xfId="0" applyNumberFormat="1" applyBorder="1" applyAlignment="1">
      <alignment horizontal="left"/>
    </xf>
    <xf numFmtId="1" fontId="0" fillId="0" borderId="1" xfId="0" applyNumberFormat="1" applyBorder="1"/>
    <xf numFmtId="167" fontId="0" fillId="0" borderId="14" xfId="0" applyNumberFormat="1" applyBorder="1" applyAlignment="1">
      <alignment horizontal="left"/>
    </xf>
    <xf numFmtId="0" fontId="4" fillId="5" borderId="44" xfId="0" applyFont="1" applyFill="1" applyBorder="1"/>
    <xf numFmtId="167" fontId="0" fillId="0" borderId="0" xfId="0" applyNumberFormat="1" applyAlignment="1">
      <alignment horizontal="left"/>
    </xf>
    <xf numFmtId="49" fontId="4" fillId="0" borderId="0" xfId="0" applyNumberFormat="1" applyFont="1"/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171" fontId="4" fillId="0" borderId="0" xfId="3" applyNumberFormat="1" applyFont="1" applyFill="1" applyBorder="1"/>
    <xf numFmtId="170" fontId="0" fillId="0" borderId="0" xfId="0" applyNumberFormat="1" applyAlignment="1">
      <alignment horizontal="center"/>
    </xf>
    <xf numFmtId="175" fontId="0" fillId="0" borderId="18" xfId="0" applyNumberFormat="1" applyBorder="1"/>
    <xf numFmtId="166" fontId="0" fillId="25" borderId="17" xfId="0" applyNumberFormat="1" applyFill="1" applyBorder="1"/>
    <xf numFmtId="166" fontId="0" fillId="25" borderId="19" xfId="0" applyNumberFormat="1" applyFill="1" applyBorder="1"/>
    <xf numFmtId="0" fontId="33" fillId="0" borderId="0" xfId="0" applyFont="1"/>
    <xf numFmtId="175" fontId="0" fillId="0" borderId="14" xfId="0" applyNumberFormat="1" applyBorder="1"/>
    <xf numFmtId="175" fontId="0" fillId="0" borderId="15" xfId="0" applyNumberFormat="1" applyBorder="1"/>
    <xf numFmtId="165" fontId="0" fillId="0" borderId="0" xfId="2" applyNumberFormat="1" applyFont="1"/>
    <xf numFmtId="9" fontId="0" fillId="0" borderId="0" xfId="3" applyFont="1"/>
    <xf numFmtId="0" fontId="4" fillId="29" borderId="17" xfId="0" applyFont="1" applyFill="1" applyBorder="1"/>
    <xf numFmtId="0" fontId="4" fillId="33" borderId="19" xfId="0" applyFont="1" applyFill="1" applyBorder="1"/>
    <xf numFmtId="165" fontId="4" fillId="33" borderId="21" xfId="0" applyNumberFormat="1" applyFont="1" applyFill="1" applyBorder="1"/>
    <xf numFmtId="165" fontId="4" fillId="33" borderId="20" xfId="0" applyNumberFormat="1" applyFont="1" applyFill="1" applyBorder="1"/>
    <xf numFmtId="0" fontId="34" fillId="0" borderId="0" xfId="0" applyFont="1"/>
    <xf numFmtId="166" fontId="0" fillId="0" borderId="0" xfId="0" applyNumberFormat="1" applyAlignment="1">
      <alignment horizontal="center"/>
    </xf>
    <xf numFmtId="166" fontId="0" fillId="0" borderId="18" xfId="0" applyNumberFormat="1" applyBorder="1" applyAlignment="1">
      <alignment horizontal="center"/>
    </xf>
    <xf numFmtId="0" fontId="2" fillId="31" borderId="18" xfId="11" applyBorder="1"/>
    <xf numFmtId="0" fontId="2" fillId="31" borderId="19" xfId="11" applyBorder="1"/>
    <xf numFmtId="0" fontId="2" fillId="31" borderId="20" xfId="11" applyBorder="1"/>
    <xf numFmtId="0" fontId="31" fillId="30" borderId="23" xfId="10" applyBorder="1"/>
    <xf numFmtId="0" fontId="2" fillId="31" borderId="13" xfId="11" applyBorder="1"/>
    <xf numFmtId="1" fontId="2" fillId="31" borderId="14" xfId="11" applyNumberFormat="1" applyBorder="1" applyAlignment="1">
      <alignment horizontal="center"/>
    </xf>
    <xf numFmtId="0" fontId="2" fillId="31" borderId="14" xfId="11" applyBorder="1" applyAlignment="1">
      <alignment horizontal="center"/>
    </xf>
    <xf numFmtId="1" fontId="2" fillId="31" borderId="15" xfId="11" applyNumberFormat="1" applyBorder="1" applyAlignment="1">
      <alignment horizontal="center"/>
    </xf>
    <xf numFmtId="1" fontId="2" fillId="31" borderId="0" xfId="11" applyNumberFormat="1" applyBorder="1" applyAlignment="1">
      <alignment horizontal="center"/>
    </xf>
    <xf numFmtId="3" fontId="2" fillId="31" borderId="0" xfId="11" applyNumberFormat="1" applyBorder="1" applyAlignment="1">
      <alignment horizontal="center"/>
    </xf>
    <xf numFmtId="1" fontId="2" fillId="31" borderId="18" xfId="11" applyNumberFormat="1" applyBorder="1" applyAlignment="1">
      <alignment horizontal="center"/>
    </xf>
    <xf numFmtId="0" fontId="2" fillId="31" borderId="14" xfId="11" applyBorder="1"/>
    <xf numFmtId="3" fontId="2" fillId="31" borderId="14" xfId="11" applyNumberFormat="1" applyBorder="1" applyAlignment="1">
      <alignment horizontal="center"/>
    </xf>
    <xf numFmtId="3" fontId="2" fillId="31" borderId="0" xfId="11" applyNumberFormat="1" applyBorder="1"/>
    <xf numFmtId="0" fontId="2" fillId="31" borderId="46" xfId="11" applyBorder="1"/>
    <xf numFmtId="3" fontId="2" fillId="31" borderId="47" xfId="11" applyNumberFormat="1" applyBorder="1"/>
    <xf numFmtId="2" fontId="2" fillId="31" borderId="18" xfId="11" applyNumberFormat="1" applyBorder="1" applyAlignment="1">
      <alignment horizontal="center"/>
    </xf>
    <xf numFmtId="9" fontId="2" fillId="31" borderId="0" xfId="11" applyNumberFormat="1" applyBorder="1"/>
    <xf numFmtId="0" fontId="2" fillId="31" borderId="47" xfId="11" applyBorder="1"/>
    <xf numFmtId="0" fontId="2" fillId="31" borderId="24" xfId="11" applyBorder="1"/>
    <xf numFmtId="0" fontId="2" fillId="31" borderId="25" xfId="11" applyBorder="1"/>
    <xf numFmtId="1" fontId="2" fillId="31" borderId="18" xfId="11" applyNumberFormat="1" applyBorder="1"/>
    <xf numFmtId="2" fontId="2" fillId="31" borderId="18" xfId="11" applyNumberFormat="1" applyBorder="1"/>
    <xf numFmtId="9" fontId="2" fillId="31" borderId="18" xfId="11" applyNumberFormat="1" applyBorder="1"/>
    <xf numFmtId="9" fontId="2" fillId="31" borderId="20" xfId="11" applyNumberFormat="1" applyBorder="1"/>
    <xf numFmtId="166" fontId="0" fillId="0" borderId="16" xfId="0" applyNumberFormat="1" applyBorder="1" applyAlignment="1">
      <alignment horizontal="center"/>
    </xf>
    <xf numFmtId="166" fontId="0" fillId="0" borderId="31" xfId="0" applyNumberFormat="1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5" fontId="4" fillId="5" borderId="13" xfId="0" applyNumberFormat="1" applyFont="1" applyFill="1" applyBorder="1" applyAlignment="1">
      <alignment horizontal="center"/>
    </xf>
    <xf numFmtId="165" fontId="4" fillId="5" borderId="23" xfId="0" applyNumberFormat="1" applyFont="1" applyFill="1" applyBorder="1" applyAlignment="1">
      <alignment horizontal="center"/>
    </xf>
    <xf numFmtId="165" fontId="4" fillId="5" borderId="25" xfId="0" applyNumberFormat="1" applyFont="1" applyFill="1" applyBorder="1" applyAlignment="1">
      <alignment horizontal="center"/>
    </xf>
    <xf numFmtId="164" fontId="0" fillId="0" borderId="18" xfId="1" applyNumberFormat="1" applyFont="1" applyBorder="1"/>
    <xf numFmtId="166" fontId="0" fillId="0" borderId="18" xfId="1" applyNumberFormat="1" applyFont="1" applyBorder="1"/>
    <xf numFmtId="165" fontId="0" fillId="0" borderId="21" xfId="2" applyNumberFormat="1" applyFont="1" applyBorder="1"/>
    <xf numFmtId="178" fontId="0" fillId="0" borderId="17" xfId="0" applyNumberFormat="1" applyBorder="1"/>
    <xf numFmtId="164" fontId="0" fillId="0" borderId="19" xfId="0" applyNumberFormat="1" applyBorder="1"/>
    <xf numFmtId="176" fontId="0" fillId="0" borderId="18" xfId="0" applyNumberFormat="1" applyBorder="1"/>
    <xf numFmtId="165" fontId="0" fillId="0" borderId="20" xfId="0" applyNumberFormat="1" applyBorder="1"/>
    <xf numFmtId="0" fontId="4" fillId="32" borderId="24" xfId="12" applyFont="1" applyBorder="1"/>
    <xf numFmtId="0" fontId="4" fillId="32" borderId="25" xfId="12" applyFont="1" applyBorder="1"/>
    <xf numFmtId="0" fontId="4" fillId="32" borderId="25" xfId="12" applyFont="1" applyBorder="1" applyAlignment="1">
      <alignment horizontal="center"/>
    </xf>
    <xf numFmtId="0" fontId="4" fillId="32" borderId="23" xfId="12" applyFont="1" applyBorder="1" applyAlignment="1">
      <alignment horizontal="center"/>
    </xf>
    <xf numFmtId="0" fontId="4" fillId="31" borderId="17" xfId="11" applyFont="1" applyBorder="1"/>
    <xf numFmtId="164" fontId="4" fillId="31" borderId="0" xfId="11" applyNumberFormat="1" applyFont="1" applyBorder="1"/>
    <xf numFmtId="2" fontId="4" fillId="31" borderId="0" xfId="11" applyNumberFormat="1" applyFont="1" applyBorder="1"/>
    <xf numFmtId="2" fontId="4" fillId="31" borderId="18" xfId="11" applyNumberFormat="1" applyFont="1" applyBorder="1"/>
    <xf numFmtId="0" fontId="4" fillId="31" borderId="19" xfId="11" applyFont="1" applyBorder="1"/>
    <xf numFmtId="164" fontId="4" fillId="31" borderId="21" xfId="11" applyNumberFormat="1" applyFont="1" applyBorder="1"/>
    <xf numFmtId="0" fontId="4" fillId="31" borderId="21" xfId="11" applyFont="1" applyBorder="1"/>
    <xf numFmtId="0" fontId="4" fillId="31" borderId="20" xfId="11" applyFont="1" applyBorder="1"/>
    <xf numFmtId="0" fontId="4" fillId="32" borderId="19" xfId="12" applyFont="1" applyBorder="1"/>
    <xf numFmtId="0" fontId="4" fillId="32" borderId="21" xfId="12" applyFont="1" applyBorder="1"/>
    <xf numFmtId="0" fontId="4" fillId="32" borderId="21" xfId="12" applyFont="1" applyBorder="1" applyAlignment="1">
      <alignment horizontal="center"/>
    </xf>
    <xf numFmtId="0" fontId="4" fillId="32" borderId="20" xfId="12" applyFont="1" applyBorder="1" applyAlignment="1">
      <alignment horizontal="center"/>
    </xf>
    <xf numFmtId="1" fontId="4" fillId="31" borderId="18" xfId="11" applyNumberFormat="1" applyFont="1" applyBorder="1"/>
    <xf numFmtId="0" fontId="8" fillId="31" borderId="19" xfId="11" applyFont="1" applyBorder="1"/>
    <xf numFmtId="1" fontId="4" fillId="31" borderId="20" xfId="11" applyNumberFormat="1" applyFont="1" applyBorder="1"/>
    <xf numFmtId="0" fontId="4" fillId="32" borderId="0" xfId="12" applyFont="1" applyBorder="1"/>
    <xf numFmtId="0" fontId="4" fillId="32" borderId="20" xfId="12" applyFont="1" applyBorder="1"/>
    <xf numFmtId="9" fontId="4" fillId="31" borderId="18" xfId="11" applyNumberFormat="1" applyFont="1" applyBorder="1"/>
    <xf numFmtId="2" fontId="4" fillId="31" borderId="0" xfId="11" applyNumberFormat="1" applyFont="1" applyBorder="1" applyAlignment="1">
      <alignment horizontal="center"/>
    </xf>
    <xf numFmtId="2" fontId="4" fillId="31" borderId="18" xfId="11" applyNumberFormat="1" applyFont="1" applyBorder="1" applyAlignment="1">
      <alignment horizontal="center"/>
    </xf>
    <xf numFmtId="2" fontId="4" fillId="31" borderId="21" xfId="11" applyNumberFormat="1" applyFont="1" applyBorder="1" applyAlignment="1">
      <alignment horizontal="center"/>
    </xf>
    <xf numFmtId="2" fontId="4" fillId="31" borderId="20" xfId="11" applyNumberFormat="1" applyFont="1" applyBorder="1" applyAlignment="1">
      <alignment horizontal="center"/>
    </xf>
    <xf numFmtId="9" fontId="4" fillId="31" borderId="20" xfId="11" applyNumberFormat="1" applyFont="1" applyBorder="1"/>
    <xf numFmtId="0" fontId="4" fillId="26" borderId="16" xfId="0" applyFont="1" applyFill="1" applyBorder="1" applyAlignment="1">
      <alignment horizontal="center"/>
    </xf>
    <xf numFmtId="166" fontId="4" fillId="25" borderId="21" xfId="0" applyNumberFormat="1" applyFont="1" applyFill="1" applyBorder="1" applyAlignment="1">
      <alignment horizontal="center"/>
    </xf>
    <xf numFmtId="0" fontId="10" fillId="0" borderId="17" xfId="0" applyFont="1" applyBorder="1"/>
    <xf numFmtId="0" fontId="6" fillId="0" borderId="0" xfId="4" applyAlignment="1">
      <alignment wrapText="1"/>
    </xf>
    <xf numFmtId="0" fontId="0" fillId="5" borderId="0" xfId="0" applyFill="1"/>
    <xf numFmtId="9" fontId="0" fillId="0" borderId="18" xfId="0" applyNumberFormat="1" applyBorder="1" applyAlignment="1">
      <alignment horizontal="center"/>
    </xf>
    <xf numFmtId="0" fontId="35" fillId="0" borderId="0" xfId="0" applyFont="1"/>
    <xf numFmtId="165" fontId="0" fillId="0" borderId="13" xfId="0" applyNumberFormat="1" applyBorder="1"/>
    <xf numFmtId="9" fontId="0" fillId="0" borderId="15" xfId="0" applyNumberFormat="1" applyBorder="1"/>
    <xf numFmtId="9" fontId="0" fillId="0" borderId="14" xfId="0" applyNumberFormat="1" applyBorder="1"/>
    <xf numFmtId="166" fontId="0" fillId="0" borderId="31" xfId="0" applyNumberFormat="1" applyBorder="1"/>
    <xf numFmtId="9" fontId="0" fillId="0" borderId="20" xfId="0" applyNumberFormat="1" applyBorder="1" applyAlignment="1">
      <alignment horizontal="center"/>
    </xf>
    <xf numFmtId="0" fontId="0" fillId="5" borderId="24" xfId="0" applyFill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0" xfId="0" applyAlignment="1">
      <alignment horizontal="right" indent="1"/>
    </xf>
    <xf numFmtId="166" fontId="0" fillId="25" borderId="18" xfId="0" applyNumberFormat="1" applyFill="1" applyBorder="1" applyAlignment="1">
      <alignment horizontal="center"/>
    </xf>
    <xf numFmtId="166" fontId="0" fillId="25" borderId="20" xfId="0" applyNumberFormat="1" applyFill="1" applyBorder="1" applyAlignment="1">
      <alignment horizontal="center"/>
    </xf>
    <xf numFmtId="165" fontId="0" fillId="0" borderId="0" xfId="0" applyNumberFormat="1" applyAlignment="1">
      <alignment horizontal="center" indent="1"/>
    </xf>
    <xf numFmtId="165" fontId="4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9" xfId="0" applyBorder="1"/>
    <xf numFmtId="173" fontId="0" fillId="5" borderId="25" xfId="0" applyNumberFormat="1" applyFill="1" applyBorder="1"/>
    <xf numFmtId="173" fontId="0" fillId="5" borderId="23" xfId="0" applyNumberFormat="1" applyFill="1" applyBorder="1"/>
    <xf numFmtId="0" fontId="0" fillId="5" borderId="15" xfId="0" applyFill="1" applyBorder="1"/>
    <xf numFmtId="0" fontId="4" fillId="5" borderId="21" xfId="0" applyFont="1" applyFill="1" applyBorder="1"/>
    <xf numFmtId="0" fontId="4" fillId="5" borderId="20" xfId="0" applyFont="1" applyFill="1" applyBorder="1"/>
    <xf numFmtId="164" fontId="4" fillId="0" borderId="18" xfId="0" applyNumberFormat="1" applyFont="1" applyBorder="1"/>
    <xf numFmtId="0" fontId="36" fillId="0" borderId="0" xfId="0" applyFont="1" applyAlignment="1">
      <alignment readingOrder="1"/>
    </xf>
    <xf numFmtId="170" fontId="0" fillId="0" borderId="18" xfId="0" applyNumberFormat="1" applyBorder="1"/>
    <xf numFmtId="165" fontId="0" fillId="0" borderId="0" xfId="0" applyNumberFormat="1" applyAlignment="1">
      <alignment indent="1"/>
    </xf>
    <xf numFmtId="0" fontId="6" fillId="0" borderId="0" xfId="4" applyFill="1" applyBorder="1"/>
    <xf numFmtId="0" fontId="14" fillId="6" borderId="17" xfId="0" applyFont="1" applyFill="1" applyBorder="1"/>
    <xf numFmtId="0" fontId="14" fillId="6" borderId="18" xfId="0" applyFont="1" applyFill="1" applyBorder="1"/>
    <xf numFmtId="0" fontId="14" fillId="8" borderId="17" xfId="0" applyFont="1" applyFill="1" applyBorder="1"/>
    <xf numFmtId="0" fontId="0" fillId="5" borderId="19" xfId="0" applyFill="1" applyBorder="1"/>
    <xf numFmtId="178" fontId="0" fillId="0" borderId="8" xfId="6" applyNumberFormat="1" applyFont="1" applyBorder="1"/>
    <xf numFmtId="0" fontId="19" fillId="0" borderId="47" xfId="5" applyBorder="1"/>
    <xf numFmtId="164" fontId="0" fillId="25" borderId="47" xfId="6" applyNumberFormat="1" applyFont="1" applyFill="1" applyBorder="1"/>
    <xf numFmtId="2" fontId="19" fillId="25" borderId="14" xfId="5" applyNumberFormat="1" applyFill="1" applyBorder="1"/>
    <xf numFmtId="0" fontId="4" fillId="25" borderId="30" xfId="0" applyFont="1" applyFill="1" applyBorder="1"/>
    <xf numFmtId="165" fontId="0" fillId="0" borderId="14" xfId="0" applyNumberFormat="1" applyBorder="1"/>
    <xf numFmtId="165" fontId="4" fillId="25" borderId="21" xfId="0" applyNumberFormat="1" applyFont="1" applyFill="1" applyBorder="1"/>
    <xf numFmtId="9" fontId="4" fillId="25" borderId="21" xfId="0" applyNumberFormat="1" applyFont="1" applyFill="1" applyBorder="1"/>
    <xf numFmtId="165" fontId="4" fillId="25" borderId="19" xfId="0" applyNumberFormat="1" applyFont="1" applyFill="1" applyBorder="1"/>
    <xf numFmtId="9" fontId="4" fillId="25" borderId="20" xfId="0" applyNumberFormat="1" applyFont="1" applyFill="1" applyBorder="1"/>
    <xf numFmtId="1" fontId="4" fillId="0" borderId="14" xfId="0" applyNumberFormat="1" applyFont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165" fontId="7" fillId="0" borderId="0" xfId="4" applyNumberFormat="1" applyFont="1" applyBorder="1" applyAlignment="1">
      <alignment horizontal="center"/>
    </xf>
    <xf numFmtId="165" fontId="0" fillId="25" borderId="0" xfId="0" applyNumberFormat="1" applyFill="1" applyAlignment="1">
      <alignment horizontal="center"/>
    </xf>
    <xf numFmtId="165" fontId="0" fillId="25" borderId="21" xfId="0" applyNumberFormat="1" applyFill="1" applyBorder="1" applyAlignment="1">
      <alignment horizontal="center"/>
    </xf>
    <xf numFmtId="0" fontId="0" fillId="0" borderId="15" xfId="0" applyBorder="1" applyAlignment="1">
      <alignment horizontal="right" indent="1"/>
    </xf>
    <xf numFmtId="1" fontId="0" fillId="0" borderId="18" xfId="0" applyNumberFormat="1" applyBorder="1" applyAlignment="1">
      <alignment horizontal="right" indent="1"/>
    </xf>
    <xf numFmtId="2" fontId="0" fillId="0" borderId="18" xfId="0" applyNumberFormat="1" applyBorder="1" applyAlignment="1">
      <alignment horizontal="right" indent="1"/>
    </xf>
    <xf numFmtId="1" fontId="0" fillId="0" borderId="20" xfId="0" applyNumberFormat="1" applyBorder="1" applyAlignment="1">
      <alignment horizontal="right" indent="1"/>
    </xf>
    <xf numFmtId="0" fontId="4" fillId="0" borderId="2" xfId="0" applyFont="1" applyBorder="1"/>
    <xf numFmtId="0" fontId="4" fillId="0" borderId="51" xfId="0" applyFont="1" applyBorder="1"/>
    <xf numFmtId="0" fontId="4" fillId="0" borderId="3" xfId="0" applyFont="1" applyBorder="1"/>
    <xf numFmtId="164" fontId="0" fillId="0" borderId="3" xfId="0" applyNumberFormat="1" applyBorder="1"/>
    <xf numFmtId="0" fontId="6" fillId="0" borderId="0" xfId="4" applyBorder="1" applyAlignment="1"/>
    <xf numFmtId="0" fontId="6" fillId="0" borderId="0" xfId="4" applyFill="1"/>
    <xf numFmtId="1" fontId="0" fillId="0" borderId="18" xfId="0" applyNumberFormat="1" applyBorder="1" applyAlignment="1">
      <alignment horizontal="center"/>
    </xf>
    <xf numFmtId="1" fontId="0" fillId="0" borderId="0" xfId="0" applyNumberFormat="1" applyAlignment="1">
      <alignment horizontal="center" wrapText="1"/>
    </xf>
    <xf numFmtId="1" fontId="7" fillId="0" borderId="0" xfId="4" applyNumberFormat="1" applyFon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0" fillId="0" borderId="19" xfId="0" applyBorder="1" applyAlignment="1">
      <alignment horizontal="left" wrapText="1"/>
    </xf>
    <xf numFmtId="0" fontId="37" fillId="0" borderId="19" xfId="0" applyFont="1" applyBorder="1"/>
    <xf numFmtId="0" fontId="37" fillId="0" borderId="21" xfId="0" applyFont="1" applyBorder="1"/>
    <xf numFmtId="0" fontId="37" fillId="0" borderId="20" xfId="0" applyFont="1" applyBorder="1"/>
    <xf numFmtId="0" fontId="38" fillId="0" borderId="0" xfId="0" applyFont="1"/>
    <xf numFmtId="0" fontId="10" fillId="0" borderId="18" xfId="0" applyFont="1" applyBorder="1"/>
    <xf numFmtId="0" fontId="10" fillId="0" borderId="19" xfId="0" applyFont="1" applyBorder="1"/>
    <xf numFmtId="0" fontId="10" fillId="0" borderId="21" xfId="0" applyFont="1" applyBorder="1"/>
    <xf numFmtId="0" fontId="10" fillId="0" borderId="20" xfId="0" applyFont="1" applyBorder="1"/>
    <xf numFmtId="165" fontId="0" fillId="0" borderId="15" xfId="0" applyNumberFormat="1" applyBorder="1" applyAlignment="1">
      <alignment horizontal="center"/>
    </xf>
    <xf numFmtId="0" fontId="4" fillId="5" borderId="19" xfId="0" applyFont="1" applyFill="1" applyBorder="1"/>
    <xf numFmtId="0" fontId="39" fillId="0" borderId="0" xfId="0" applyFont="1"/>
    <xf numFmtId="0" fontId="4" fillId="5" borderId="3" xfId="0" applyFont="1" applyFill="1" applyBorder="1" applyAlignment="1">
      <alignment horizontal="center"/>
    </xf>
    <xf numFmtId="0" fontId="0" fillId="26" borderId="25" xfId="0" applyFill="1" applyBorder="1"/>
    <xf numFmtId="9" fontId="0" fillId="26" borderId="23" xfId="0" applyNumberFormat="1" applyFill="1" applyBorder="1"/>
    <xf numFmtId="0" fontId="0" fillId="26" borderId="19" xfId="0" applyFill="1" applyBorder="1"/>
    <xf numFmtId="0" fontId="0" fillId="26" borderId="17" xfId="0" applyFill="1" applyBorder="1"/>
    <xf numFmtId="1" fontId="0" fillId="0" borderId="18" xfId="0" applyNumberFormat="1" applyBorder="1"/>
    <xf numFmtId="171" fontId="0" fillId="0" borderId="20" xfId="0" applyNumberFormat="1" applyBorder="1"/>
    <xf numFmtId="0" fontId="11" fillId="5" borderId="23" xfId="0" applyFont="1" applyFill="1" applyBorder="1" applyAlignment="1">
      <alignment horizontal="center"/>
    </xf>
    <xf numFmtId="0" fontId="0" fillId="35" borderId="0" xfId="0" applyFill="1"/>
    <xf numFmtId="0" fontId="12" fillId="35" borderId="0" xfId="0" applyFont="1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10" fontId="4" fillId="0" borderId="0" xfId="0" applyNumberFormat="1" applyFont="1"/>
    <xf numFmtId="164" fontId="4" fillId="0" borderId="0" xfId="0" applyNumberFormat="1" applyFont="1"/>
    <xf numFmtId="165" fontId="0" fillId="0" borderId="27" xfId="0" applyNumberFormat="1" applyBorder="1" applyAlignment="1">
      <alignment horizontal="center"/>
    </xf>
    <xf numFmtId="9" fontId="0" fillId="0" borderId="4" xfId="3" applyFont="1" applyFill="1" applyBorder="1" applyAlignment="1">
      <alignment horizontal="center"/>
    </xf>
    <xf numFmtId="9" fontId="0" fillId="0" borderId="6" xfId="3" applyFont="1" applyFill="1" applyBorder="1" applyAlignment="1">
      <alignment horizontal="center"/>
    </xf>
    <xf numFmtId="9" fontId="0" fillId="0" borderId="9" xfId="3" applyFont="1" applyFill="1" applyBorder="1" applyAlignment="1">
      <alignment horizontal="center"/>
    </xf>
    <xf numFmtId="1" fontId="0" fillId="0" borderId="20" xfId="0" applyNumberFormat="1" applyBorder="1"/>
    <xf numFmtId="0" fontId="15" fillId="0" borderId="0" xfId="0" applyFont="1"/>
    <xf numFmtId="0" fontId="0" fillId="35" borderId="0" xfId="0" applyFill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6" fontId="0" fillId="0" borderId="1" xfId="3" applyNumberFormat="1" applyFon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29" xfId="0" applyNumberFormat="1" applyBorder="1" applyAlignment="1">
      <alignment horizontal="center"/>
    </xf>
    <xf numFmtId="0" fontId="0" fillId="5" borderId="25" xfId="0" applyFill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9" fontId="0" fillId="0" borderId="22" xfId="0" applyNumberFormat="1" applyBorder="1" applyAlignment="1">
      <alignment horizontal="center"/>
    </xf>
    <xf numFmtId="166" fontId="0" fillId="2" borderId="22" xfId="0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166" fontId="0" fillId="2" borderId="16" xfId="0" applyNumberForma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166" fontId="0" fillId="35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172" fontId="0" fillId="0" borderId="0" xfId="0" applyNumberFormat="1" applyAlignment="1">
      <alignment horizontal="center"/>
    </xf>
    <xf numFmtId="166" fontId="0" fillId="25" borderId="31" xfId="0" applyNumberFormat="1" applyFill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72" fontId="4" fillId="0" borderId="0" xfId="0" applyNumberFormat="1" applyFont="1" applyAlignment="1">
      <alignment horizontal="center"/>
    </xf>
    <xf numFmtId="166" fontId="4" fillId="5" borderId="14" xfId="0" applyNumberFormat="1" applyFont="1" applyFill="1" applyBorder="1" applyAlignment="1">
      <alignment horizontal="center"/>
    </xf>
    <xf numFmtId="166" fontId="0" fillId="25" borderId="17" xfId="0" applyNumberFormat="1" applyFill="1" applyBorder="1" applyAlignment="1">
      <alignment horizontal="center"/>
    </xf>
    <xf numFmtId="10" fontId="4" fillId="25" borderId="18" xfId="0" applyNumberFormat="1" applyFont="1" applyFill="1" applyBorder="1" applyAlignment="1">
      <alignment horizontal="center"/>
    </xf>
    <xf numFmtId="166" fontId="0" fillId="5" borderId="24" xfId="0" applyNumberFormat="1" applyFill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25" borderId="0" xfId="0" applyNumberFormat="1" applyFill="1" applyAlignment="1">
      <alignment horizontal="center"/>
    </xf>
    <xf numFmtId="166" fontId="0" fillId="5" borderId="25" xfId="0" applyNumberFormat="1" applyFill="1" applyBorder="1" applyAlignment="1">
      <alignment horizontal="center"/>
    </xf>
    <xf numFmtId="10" fontId="0" fillId="0" borderId="18" xfId="0" applyNumberFormat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6" fontId="0" fillId="25" borderId="0" xfId="0" applyNumberFormat="1" applyFill="1" applyAlignment="1">
      <alignment horizontal="center" wrapText="1"/>
    </xf>
    <xf numFmtId="166" fontId="9" fillId="0" borderId="0" xfId="0" applyNumberFormat="1" applyFont="1"/>
    <xf numFmtId="164" fontId="9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right"/>
    </xf>
    <xf numFmtId="0" fontId="8" fillId="25" borderId="25" xfId="0" applyFont="1" applyFill="1" applyBorder="1"/>
    <xf numFmtId="0" fontId="0" fillId="25" borderId="25" xfId="0" applyFill="1" applyBorder="1"/>
    <xf numFmtId="0" fontId="4" fillId="25" borderId="25" xfId="0" applyFont="1" applyFill="1" applyBorder="1"/>
    <xf numFmtId="0" fontId="12" fillId="0" borderId="0" xfId="0" applyFont="1"/>
    <xf numFmtId="0" fontId="11" fillId="5" borderId="22" xfId="0" applyFont="1" applyFill="1" applyBorder="1" applyAlignment="1">
      <alignment horizontal="center"/>
    </xf>
    <xf numFmtId="0" fontId="11" fillId="0" borderId="17" xfId="0" applyFont="1" applyBorder="1" applyAlignment="1">
      <alignment horizontal="center"/>
    </xf>
    <xf numFmtId="166" fontId="9" fillId="0" borderId="0" xfId="0" applyNumberFormat="1" applyFont="1" applyAlignment="1">
      <alignment horizontal="center"/>
    </xf>
    <xf numFmtId="9" fontId="9" fillId="0" borderId="18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66" fontId="9" fillId="0" borderId="21" xfId="0" applyNumberFormat="1" applyFont="1" applyBorder="1" applyAlignment="1">
      <alignment horizontal="center"/>
    </xf>
    <xf numFmtId="9" fontId="9" fillId="0" borderId="20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18" xfId="0" applyNumberFormat="1" applyFont="1" applyBorder="1" applyAlignment="1">
      <alignment horizontal="center"/>
    </xf>
    <xf numFmtId="164" fontId="9" fillId="0" borderId="21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6" fontId="9" fillId="0" borderId="17" xfId="0" applyNumberFormat="1" applyFont="1" applyBorder="1" applyAlignment="1">
      <alignment horizontal="center"/>
    </xf>
    <xf numFmtId="166" fontId="9" fillId="0" borderId="19" xfId="0" applyNumberFormat="1" applyFont="1" applyBorder="1" applyAlignment="1">
      <alignment horizontal="center"/>
    </xf>
    <xf numFmtId="0" fontId="4" fillId="25" borderId="22" xfId="0" applyFont="1" applyFill="1" applyBorder="1"/>
    <xf numFmtId="6" fontId="4" fillId="25" borderId="23" xfId="0" applyNumberFormat="1" applyFont="1" applyFill="1" applyBorder="1" applyAlignment="1">
      <alignment horizontal="center"/>
    </xf>
    <xf numFmtId="6" fontId="4" fillId="25" borderId="22" xfId="0" applyNumberFormat="1" applyFont="1" applyFill="1" applyBorder="1" applyAlignment="1">
      <alignment horizontal="center"/>
    </xf>
    <xf numFmtId="0" fontId="8" fillId="25" borderId="16" xfId="0" applyFont="1" applyFill="1" applyBorder="1"/>
    <xf numFmtId="166" fontId="4" fillId="25" borderId="16" xfId="0" applyNumberFormat="1" applyFont="1" applyFill="1" applyBorder="1" applyAlignment="1">
      <alignment horizontal="center"/>
    </xf>
    <xf numFmtId="0" fontId="4" fillId="25" borderId="22" xfId="0" applyFont="1" applyFill="1" applyBorder="1" applyAlignment="1">
      <alignment vertical="center"/>
    </xf>
    <xf numFmtId="166" fontId="4" fillId="25" borderId="22" xfId="0" applyNumberFormat="1" applyFont="1" applyFill="1" applyBorder="1" applyAlignment="1">
      <alignment horizontal="center" vertical="center"/>
    </xf>
    <xf numFmtId="1" fontId="0" fillId="0" borderId="14" xfId="0" applyNumberFormat="1" applyBorder="1" applyAlignment="1">
      <alignment horizontal="center"/>
    </xf>
    <xf numFmtId="166" fontId="4" fillId="25" borderId="0" xfId="0" applyNumberFormat="1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21" xfId="0" applyFill="1" applyBorder="1" applyAlignment="1">
      <alignment horizontal="center"/>
    </xf>
    <xf numFmtId="10" fontId="4" fillId="25" borderId="20" xfId="0" applyNumberFormat="1" applyFon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167" fontId="0" fillId="3" borderId="0" xfId="0" applyNumberFormat="1" applyFill="1" applyAlignment="1">
      <alignment horizontal="center"/>
    </xf>
    <xf numFmtId="2" fontId="0" fillId="3" borderId="14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6" fontId="4" fillId="25" borderId="20" xfId="0" applyNumberFormat="1" applyFont="1" applyFill="1" applyBorder="1"/>
    <xf numFmtId="0" fontId="4" fillId="5" borderId="24" xfId="0" applyFont="1" applyFill="1" applyBorder="1" applyAlignment="1">
      <alignment wrapText="1"/>
    </xf>
    <xf numFmtId="168" fontId="4" fillId="0" borderId="0" xfId="0" applyNumberFormat="1" applyFont="1"/>
    <xf numFmtId="0" fontId="4" fillId="5" borderId="25" xfId="0" applyFont="1" applyFill="1" applyBorder="1" applyAlignment="1">
      <alignment wrapText="1"/>
    </xf>
    <xf numFmtId="0" fontId="4" fillId="5" borderId="23" xfId="0" applyFont="1" applyFill="1" applyBorder="1" applyAlignment="1">
      <alignment wrapText="1"/>
    </xf>
    <xf numFmtId="166" fontId="4" fillId="25" borderId="0" xfId="0" applyNumberFormat="1" applyFont="1" applyFill="1"/>
    <xf numFmtId="168" fontId="4" fillId="25" borderId="18" xfId="0" applyNumberFormat="1" applyFont="1" applyFill="1" applyBorder="1"/>
    <xf numFmtId="6" fontId="8" fillId="0" borderId="0" xfId="0" applyNumberFormat="1" applyFont="1"/>
    <xf numFmtId="6" fontId="4" fillId="0" borderId="24" xfId="0" applyNumberFormat="1" applyFont="1" applyBorder="1"/>
    <xf numFmtId="166" fontId="4" fillId="0" borderId="21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/>
    </xf>
    <xf numFmtId="9" fontId="0" fillId="3" borderId="0" xfId="0" applyNumberFormat="1" applyFill="1" applyAlignment="1">
      <alignment horizontal="center"/>
    </xf>
    <xf numFmtId="9" fontId="0" fillId="3" borderId="21" xfId="0" applyNumberFormat="1" applyFill="1" applyBorder="1" applyAlignment="1">
      <alignment horizontal="center"/>
    </xf>
    <xf numFmtId="169" fontId="0" fillId="0" borderId="21" xfId="0" applyNumberFormat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5" borderId="24" xfId="0" applyFill="1" applyBorder="1"/>
    <xf numFmtId="9" fontId="0" fillId="0" borderId="16" xfId="0" applyNumberFormat="1" applyBorder="1" applyAlignment="1">
      <alignment horizontal="center"/>
    </xf>
    <xf numFmtId="10" fontId="0" fillId="28" borderId="30" xfId="0" applyNumberFormat="1" applyFill="1" applyBorder="1" applyAlignment="1">
      <alignment horizontal="center"/>
    </xf>
    <xf numFmtId="165" fontId="0" fillId="35" borderId="0" xfId="0" applyNumberFormat="1" applyFill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4" fillId="5" borderId="14" xfId="0" applyNumberFormat="1" applyFont="1" applyFill="1" applyBorder="1" applyAlignment="1">
      <alignment horizontal="center" wrapText="1"/>
    </xf>
    <xf numFmtId="165" fontId="4" fillId="5" borderId="25" xfId="0" applyNumberFormat="1" applyFont="1" applyFill="1" applyBorder="1" applyAlignment="1">
      <alignment horizontal="center" wrapText="1"/>
    </xf>
    <xf numFmtId="0" fontId="15" fillId="5" borderId="13" xfId="0" applyFont="1" applyFill="1" applyBorder="1"/>
    <xf numFmtId="0" fontId="15" fillId="5" borderId="19" xfId="0" applyFont="1" applyFill="1" applyBorder="1"/>
    <xf numFmtId="0" fontId="4" fillId="25" borderId="16" xfId="0" applyFont="1" applyFill="1" applyBorder="1"/>
    <xf numFmtId="0" fontId="0" fillId="25" borderId="14" xfId="0" applyFill="1" applyBorder="1"/>
    <xf numFmtId="166" fontId="0" fillId="25" borderId="16" xfId="0" applyNumberFormat="1" applyFill="1" applyBorder="1" applyAlignment="1">
      <alignment horizontal="center"/>
    </xf>
    <xf numFmtId="180" fontId="19" fillId="0" borderId="0" xfId="8" applyNumberFormat="1"/>
    <xf numFmtId="10" fontId="19" fillId="0" borderId="0" xfId="8" applyNumberFormat="1"/>
    <xf numFmtId="10" fontId="0" fillId="25" borderId="0" xfId="6" applyNumberFormat="1" applyFont="1" applyFill="1"/>
    <xf numFmtId="43" fontId="19" fillId="0" borderId="0" xfId="8" applyNumberFormat="1"/>
    <xf numFmtId="164" fontId="19" fillId="0" borderId="0" xfId="6" applyNumberFormat="1" applyFill="1"/>
    <xf numFmtId="164" fontId="19" fillId="0" borderId="14" xfId="6" applyNumberFormat="1" applyBorder="1"/>
    <xf numFmtId="0" fontId="23" fillId="0" borderId="47" xfId="8" applyFont="1" applyBorder="1" applyAlignment="1">
      <alignment horizontal="center"/>
    </xf>
    <xf numFmtId="164" fontId="0" fillId="0" borderId="21" xfId="6" applyNumberFormat="1" applyFont="1" applyFill="1" applyBorder="1"/>
    <xf numFmtId="164" fontId="0" fillId="25" borderId="8" xfId="6" applyNumberFormat="1" applyFont="1" applyFill="1" applyBorder="1"/>
    <xf numFmtId="164" fontId="0" fillId="0" borderId="0" xfId="6" applyNumberFormat="1" applyFont="1" applyBorder="1"/>
    <xf numFmtId="6" fontId="19" fillId="0" borderId="0" xfId="8" applyNumberFormat="1"/>
    <xf numFmtId="0" fontId="30" fillId="30" borderId="24" xfId="10" applyFont="1" applyBorder="1"/>
    <xf numFmtId="0" fontId="30" fillId="30" borderId="23" xfId="10" applyFont="1" applyBorder="1"/>
    <xf numFmtId="0" fontId="30" fillId="30" borderId="25" xfId="10" applyFont="1" applyBorder="1"/>
    <xf numFmtId="0" fontId="4" fillId="5" borderId="14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171" fontId="4" fillId="0" borderId="0" xfId="0" applyNumberFormat="1" applyFont="1"/>
    <xf numFmtId="10" fontId="0" fillId="25" borderId="25" xfId="0" applyNumberFormat="1" applyFill="1" applyBorder="1" applyAlignment="1">
      <alignment horizontal="center"/>
    </xf>
    <xf numFmtId="171" fontId="4" fillId="25" borderId="23" xfId="0" applyNumberFormat="1" applyFont="1" applyFill="1" applyBorder="1"/>
    <xf numFmtId="165" fontId="4" fillId="25" borderId="0" xfId="0" applyNumberFormat="1" applyFont="1" applyFill="1"/>
    <xf numFmtId="9" fontId="4" fillId="25" borderId="0" xfId="0" applyNumberFormat="1" applyFont="1" applyFill="1"/>
    <xf numFmtId="165" fontId="4" fillId="0" borderId="0" xfId="0" applyNumberFormat="1" applyFont="1"/>
    <xf numFmtId="9" fontId="4" fillId="0" borderId="0" xfId="0" applyNumberFormat="1" applyFont="1"/>
    <xf numFmtId="0" fontId="4" fillId="0" borderId="0" xfId="0" applyFont="1" applyAlignment="1">
      <alignment vertical="center"/>
    </xf>
    <xf numFmtId="0" fontId="4" fillId="25" borderId="25" xfId="0" applyFont="1" applyFill="1" applyBorder="1" applyAlignment="1">
      <alignment horizontal="center"/>
    </xf>
    <xf numFmtId="0" fontId="4" fillId="25" borderId="24" xfId="0" applyFont="1" applyFill="1" applyBorder="1" applyAlignment="1">
      <alignment horizontal="center"/>
    </xf>
    <xf numFmtId="0" fontId="4" fillId="25" borderId="23" xfId="0" applyFont="1" applyFill="1" applyBorder="1" applyAlignment="1">
      <alignment horizontal="center"/>
    </xf>
    <xf numFmtId="165" fontId="4" fillId="25" borderId="17" xfId="0" applyNumberFormat="1" applyFont="1" applyFill="1" applyBorder="1"/>
    <xf numFmtId="9" fontId="4" fillId="25" borderId="18" xfId="0" applyNumberFormat="1" applyFont="1" applyFill="1" applyBorder="1"/>
    <xf numFmtId="166" fontId="0" fillId="0" borderId="13" xfId="0" applyNumberFormat="1" applyBorder="1"/>
    <xf numFmtId="166" fontId="0" fillId="0" borderId="19" xfId="0" applyNumberFormat="1" applyBorder="1"/>
    <xf numFmtId="0" fontId="4" fillId="25" borderId="22" xfId="0" applyFont="1" applyFill="1" applyBorder="1" applyAlignment="1">
      <alignment horizontal="center"/>
    </xf>
    <xf numFmtId="166" fontId="0" fillId="0" borderId="16" xfId="0" applyNumberFormat="1" applyBorder="1"/>
    <xf numFmtId="0" fontId="4" fillId="29" borderId="16" xfId="0" applyFont="1" applyFill="1" applyBorder="1"/>
    <xf numFmtId="0" fontId="4" fillId="25" borderId="18" xfId="0" applyFont="1" applyFill="1" applyBorder="1"/>
    <xf numFmtId="166" fontId="0" fillId="0" borderId="30" xfId="0" applyNumberFormat="1" applyBorder="1"/>
    <xf numFmtId="10" fontId="0" fillId="4" borderId="17" xfId="0" applyNumberFormat="1" applyFill="1" applyBorder="1"/>
    <xf numFmtId="164" fontId="0" fillId="4" borderId="0" xfId="0" applyNumberFormat="1" applyFill="1"/>
    <xf numFmtId="166" fontId="0" fillId="4" borderId="18" xfId="0" applyNumberFormat="1" applyFill="1" applyBorder="1"/>
    <xf numFmtId="182" fontId="0" fillId="0" borderId="0" xfId="0" applyNumberFormat="1" applyAlignment="1">
      <alignment horizontal="center"/>
    </xf>
    <xf numFmtId="0" fontId="0" fillId="0" borderId="52" xfId="0" applyBorder="1"/>
    <xf numFmtId="164" fontId="0" fillId="0" borderId="53" xfId="1" applyNumberFormat="1" applyFont="1" applyBorder="1"/>
    <xf numFmtId="1" fontId="0" fillId="0" borderId="53" xfId="0" applyNumberFormat="1" applyBorder="1"/>
    <xf numFmtId="167" fontId="0" fillId="0" borderId="18" xfId="0" applyNumberFormat="1" applyBorder="1"/>
    <xf numFmtId="6" fontId="0" fillId="0" borderId="31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0" fillId="0" borderId="13" xfId="0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166" fontId="6" fillId="0" borderId="18" xfId="4" applyNumberFormat="1" applyBorder="1" applyAlignment="1">
      <alignment horizontal="center"/>
    </xf>
    <xf numFmtId="166" fontId="6" fillId="0" borderId="15" xfId="4" applyNumberFormat="1" applyBorder="1" applyAlignment="1">
      <alignment horizontal="center"/>
    </xf>
    <xf numFmtId="6" fontId="6" fillId="0" borderId="18" xfId="4" applyNumberFormat="1" applyBorder="1" applyAlignment="1">
      <alignment horizontal="center"/>
    </xf>
    <xf numFmtId="0" fontId="8" fillId="5" borderId="17" xfId="0" applyFont="1" applyFill="1" applyBorder="1" applyAlignment="1">
      <alignment horizontal="left" vertical="center"/>
    </xf>
    <xf numFmtId="6" fontId="4" fillId="5" borderId="31" xfId="0" applyNumberFormat="1" applyFont="1" applyFill="1" applyBorder="1" applyAlignment="1">
      <alignment horizontal="center" vertical="center" wrapText="1"/>
    </xf>
    <xf numFmtId="6" fontId="4" fillId="5" borderId="18" xfId="0" applyNumberFormat="1" applyFont="1" applyFill="1" applyBorder="1" applyAlignment="1">
      <alignment horizontal="center" vertical="center" wrapText="1"/>
    </xf>
    <xf numFmtId="166" fontId="6" fillId="0" borderId="20" xfId="4" applyNumberFormat="1" applyBorder="1" applyAlignment="1">
      <alignment horizontal="center"/>
    </xf>
    <xf numFmtId="0" fontId="4" fillId="5" borderId="18" xfId="0" applyFont="1" applyFill="1" applyBorder="1" applyAlignment="1">
      <alignment horizontal="center" vertical="center" wrapText="1"/>
    </xf>
    <xf numFmtId="6" fontId="0" fillId="0" borderId="20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0" fontId="8" fillId="5" borderId="17" xfId="0" applyFont="1" applyFill="1" applyBorder="1" applyAlignment="1">
      <alignment horizontal="center" vertical="center" wrapText="1"/>
    </xf>
    <xf numFmtId="165" fontId="0" fillId="0" borderId="15" xfId="0" applyNumberFormat="1" applyBorder="1"/>
    <xf numFmtId="165" fontId="0" fillId="0" borderId="31" xfId="0" applyNumberFormat="1" applyBorder="1"/>
    <xf numFmtId="165" fontId="0" fillId="0" borderId="30" xfId="0" applyNumberFormat="1" applyBorder="1"/>
    <xf numFmtId="0" fontId="4" fillId="29" borderId="18" xfId="0" applyFont="1" applyFill="1" applyBorder="1"/>
    <xf numFmtId="165" fontId="4" fillId="5" borderId="22" xfId="0" applyNumberFormat="1" applyFont="1" applyFill="1" applyBorder="1" applyAlignment="1">
      <alignment horizontal="center"/>
    </xf>
    <xf numFmtId="165" fontId="0" fillId="0" borderId="18" xfId="0" applyNumberFormat="1" applyBorder="1" applyAlignment="1">
      <alignment horizontal="center" vertical="center"/>
    </xf>
    <xf numFmtId="165" fontId="4" fillId="25" borderId="25" xfId="0" applyNumberFormat="1" applyFont="1" applyFill="1" applyBorder="1" applyAlignment="1">
      <alignment horizontal="center"/>
    </xf>
    <xf numFmtId="179" fontId="0" fillId="0" borderId="17" xfId="0" applyNumberFormat="1" applyBorder="1" applyAlignment="1">
      <alignment horizontal="center"/>
    </xf>
    <xf numFmtId="179" fontId="4" fillId="25" borderId="25" xfId="0" applyNumberFormat="1" applyFont="1" applyFill="1" applyBorder="1" applyAlignment="1">
      <alignment horizontal="center"/>
    </xf>
    <xf numFmtId="166" fontId="4" fillId="25" borderId="23" xfId="0" applyNumberFormat="1" applyFont="1" applyFill="1" applyBorder="1" applyAlignment="1">
      <alignment horizontal="center"/>
    </xf>
    <xf numFmtId="173" fontId="8" fillId="5" borderId="24" xfId="0" applyNumberFormat="1" applyFont="1" applyFill="1" applyBorder="1"/>
    <xf numFmtId="165" fontId="4" fillId="5" borderId="30" xfId="0" applyNumberFormat="1" applyFont="1" applyFill="1" applyBorder="1" applyAlignment="1">
      <alignment horizontal="center"/>
    </xf>
    <xf numFmtId="165" fontId="4" fillId="0" borderId="20" xfId="0" applyNumberFormat="1" applyFont="1" applyBorder="1" applyAlignment="1">
      <alignment horizontal="center"/>
    </xf>
    <xf numFmtId="0" fontId="0" fillId="0" borderId="31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31" xfId="0" applyBorder="1" applyAlignment="1">
      <alignment horizontal="right" vertical="center"/>
    </xf>
    <xf numFmtId="0" fontId="7" fillId="0" borderId="31" xfId="0" applyFont="1" applyBorder="1" applyAlignment="1">
      <alignment horizontal="right"/>
    </xf>
    <xf numFmtId="0" fontId="7" fillId="0" borderId="30" xfId="0" applyFont="1" applyBorder="1" applyAlignment="1">
      <alignment horizontal="right"/>
    </xf>
    <xf numFmtId="165" fontId="4" fillId="25" borderId="18" xfId="0" applyNumberFormat="1" applyFont="1" applyFill="1" applyBorder="1" applyAlignment="1">
      <alignment horizontal="center"/>
    </xf>
    <xf numFmtId="165" fontId="4" fillId="25" borderId="15" xfId="0" applyNumberFormat="1" applyFont="1" applyFill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4" fillId="25" borderId="24" xfId="0" applyFont="1" applyFill="1" applyBorder="1" applyAlignment="1">
      <alignment horizontal="left"/>
    </xf>
    <xf numFmtId="166" fontId="4" fillId="5" borderId="22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6" fontId="40" fillId="0" borderId="21" xfId="0" applyNumberFormat="1" applyFont="1" applyBorder="1" applyAlignment="1">
      <alignment horizontal="center"/>
    </xf>
    <xf numFmtId="166" fontId="0" fillId="36" borderId="22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7" fillId="0" borderId="5" xfId="0" applyFont="1" applyBorder="1"/>
    <xf numFmtId="0" fontId="7" fillId="0" borderId="7" xfId="0" applyFont="1" applyBorder="1"/>
    <xf numFmtId="0" fontId="4" fillId="5" borderId="29" xfId="0" applyFont="1" applyFill="1" applyBorder="1"/>
    <xf numFmtId="164" fontId="0" fillId="5" borderId="29" xfId="1" applyNumberFormat="1" applyFont="1" applyFill="1" applyBorder="1"/>
    <xf numFmtId="0" fontId="0" fillId="0" borderId="8" xfId="0" applyBorder="1"/>
    <xf numFmtId="1" fontId="0" fillId="0" borderId="3" xfId="0" applyNumberFormat="1" applyBorder="1"/>
    <xf numFmtId="1" fontId="0" fillId="0" borderId="4" xfId="0" applyNumberFormat="1" applyBorder="1"/>
    <xf numFmtId="0" fontId="0" fillId="28" borderId="0" xfId="0" applyFill="1"/>
    <xf numFmtId="0" fontId="0" fillId="28" borderId="5" xfId="0" applyFill="1" applyBorder="1" applyAlignment="1">
      <alignment horizontal="left" indent="1"/>
    </xf>
    <xf numFmtId="0" fontId="0" fillId="28" borderId="6" xfId="0" applyFill="1" applyBorder="1"/>
    <xf numFmtId="0" fontId="0" fillId="28" borderId="7" xfId="0" applyFill="1" applyBorder="1" applyAlignment="1">
      <alignment horizontal="left" indent="1"/>
    </xf>
    <xf numFmtId="0" fontId="0" fillId="28" borderId="8" xfId="0" applyFill="1" applyBorder="1"/>
    <xf numFmtId="0" fontId="0" fillId="28" borderId="9" xfId="0" applyFill="1" applyBorder="1"/>
    <xf numFmtId="1" fontId="0" fillId="28" borderId="0" xfId="1" applyNumberFormat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11" xfId="0" applyNumberFormat="1" applyBorder="1"/>
    <xf numFmtId="164" fontId="0" fillId="0" borderId="12" xfId="0" applyNumberFormat="1" applyBorder="1"/>
    <xf numFmtId="0" fontId="4" fillId="0" borderId="26" xfId="0" applyFont="1" applyBorder="1"/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0" fillId="0" borderId="54" xfId="0" applyBorder="1"/>
    <xf numFmtId="165" fontId="0" fillId="0" borderId="6" xfId="0" applyNumberFormat="1" applyBorder="1" applyAlignment="1">
      <alignment horizontal="center"/>
    </xf>
    <xf numFmtId="0" fontId="4" fillId="25" borderId="55" xfId="0" applyFont="1" applyFill="1" applyBorder="1"/>
    <xf numFmtId="165" fontId="0" fillId="25" borderId="8" xfId="0" applyNumberFormat="1" applyFill="1" applyBorder="1" applyAlignment="1">
      <alignment horizontal="center"/>
    </xf>
    <xf numFmtId="165" fontId="0" fillId="25" borderId="9" xfId="0" applyNumberFormat="1" applyFill="1" applyBorder="1" applyAlignment="1">
      <alignment horizontal="center"/>
    </xf>
    <xf numFmtId="166" fontId="0" fillId="0" borderId="3" xfId="0" applyNumberFormat="1" applyBorder="1" applyAlignment="1">
      <alignment indent="1"/>
    </xf>
    <xf numFmtId="0" fontId="0" fillId="0" borderId="3" xfId="0" applyBorder="1" applyAlignment="1">
      <alignment indent="1"/>
    </xf>
    <xf numFmtId="165" fontId="0" fillId="0" borderId="3" xfId="0" applyNumberFormat="1" applyBorder="1" applyAlignment="1">
      <alignment indent="1"/>
    </xf>
    <xf numFmtId="166" fontId="0" fillId="0" borderId="0" xfId="0" applyNumberFormat="1" applyAlignment="1">
      <alignment indent="1"/>
    </xf>
    <xf numFmtId="0" fontId="0" fillId="0" borderId="0" xfId="0" applyAlignment="1">
      <alignment indent="1"/>
    </xf>
    <xf numFmtId="1" fontId="0" fillId="0" borderId="0" xfId="0" applyNumberFormat="1" applyAlignment="1">
      <alignment indent="1"/>
    </xf>
    <xf numFmtId="0" fontId="6" fillId="0" borderId="6" xfId="4" applyBorder="1"/>
    <xf numFmtId="0" fontId="6" fillId="0" borderId="6" xfId="4" applyBorder="1" applyAlignment="1"/>
    <xf numFmtId="2" fontId="0" fillId="0" borderId="0" xfId="0" applyNumberFormat="1" applyAlignment="1">
      <alignment indent="1"/>
    </xf>
    <xf numFmtId="166" fontId="0" fillId="0" borderId="8" xfId="0" applyNumberFormat="1" applyBorder="1" applyAlignment="1">
      <alignment indent="1"/>
    </xf>
    <xf numFmtId="0" fontId="0" fillId="0" borderId="8" xfId="0" applyBorder="1" applyAlignment="1">
      <alignment indent="1"/>
    </xf>
    <xf numFmtId="165" fontId="0" fillId="0" borderId="8" xfId="0" applyNumberFormat="1" applyBorder="1" applyAlignment="1">
      <alignment indent="1"/>
    </xf>
    <xf numFmtId="1" fontId="0" fillId="0" borderId="8" xfId="0" applyNumberFormat="1" applyBorder="1" applyAlignment="1">
      <alignment indent="1"/>
    </xf>
    <xf numFmtId="0" fontId="6" fillId="0" borderId="9" xfId="4" applyBorder="1"/>
    <xf numFmtId="0" fontId="7" fillId="0" borderId="44" xfId="0" applyFont="1" applyBorder="1"/>
    <xf numFmtId="166" fontId="0" fillId="0" borderId="59" xfId="0" applyNumberFormat="1" applyBorder="1"/>
    <xf numFmtId="166" fontId="0" fillId="0" borderId="9" xfId="0" applyNumberFormat="1" applyBorder="1"/>
    <xf numFmtId="0" fontId="4" fillId="5" borderId="60" xfId="0" applyFont="1" applyFill="1" applyBorder="1" applyAlignment="1">
      <alignment horizontal="center"/>
    </xf>
    <xf numFmtId="165" fontId="0" fillId="0" borderId="50" xfId="0" applyNumberFormat="1" applyBorder="1" applyAlignment="1">
      <alignment horizontal="center"/>
    </xf>
    <xf numFmtId="0" fontId="4" fillId="29" borderId="15" xfId="0" applyFont="1" applyFill="1" applyBorder="1"/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166" fontId="7" fillId="0" borderId="16" xfId="0" applyNumberFormat="1" applyFont="1" applyBorder="1" applyAlignment="1">
      <alignment horizontal="center"/>
    </xf>
    <xf numFmtId="166" fontId="7" fillId="0" borderId="31" xfId="0" applyNumberFormat="1" applyFont="1" applyBorder="1" applyAlignment="1">
      <alignment horizontal="center"/>
    </xf>
    <xf numFmtId="166" fontId="7" fillId="0" borderId="30" xfId="0" applyNumberFormat="1" applyFont="1" applyBorder="1" applyAlignment="1">
      <alignment horizontal="center"/>
    </xf>
    <xf numFmtId="164" fontId="7" fillId="0" borderId="18" xfId="1" applyNumberFormat="1" applyFont="1" applyBorder="1"/>
    <xf numFmtId="165" fontId="7" fillId="0" borderId="20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4" fillId="25" borderId="25" xfId="0" applyNumberFormat="1" applyFont="1" applyFill="1" applyBorder="1" applyAlignment="1">
      <alignment horizontal="center"/>
    </xf>
    <xf numFmtId="166" fontId="4" fillId="25" borderId="25" xfId="0" applyNumberFormat="1" applyFont="1" applyFill="1" applyBorder="1"/>
    <xf numFmtId="0" fontId="0" fillId="25" borderId="14" xfId="0" applyFill="1" applyBorder="1" applyAlignment="1">
      <alignment horizontal="center"/>
    </xf>
    <xf numFmtId="0" fontId="0" fillId="25" borderId="15" xfId="0" applyFill="1" applyBorder="1" applyAlignment="1">
      <alignment horizontal="center"/>
    </xf>
    <xf numFmtId="183" fontId="0" fillId="0" borderId="18" xfId="0" applyNumberFormat="1" applyBorder="1"/>
    <xf numFmtId="166" fontId="0" fillId="5" borderId="23" xfId="0" applyNumberFormat="1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71" fontId="4" fillId="0" borderId="20" xfId="0" applyNumberFormat="1" applyFont="1" applyBorder="1"/>
    <xf numFmtId="0" fontId="0" fillId="0" borderId="16" xfId="0" applyBorder="1" applyAlignment="1">
      <alignment horizontal="center"/>
    </xf>
    <xf numFmtId="10" fontId="0" fillId="25" borderId="14" xfId="0" applyNumberFormat="1" applyFill="1" applyBorder="1" applyAlignment="1">
      <alignment horizontal="center"/>
    </xf>
    <xf numFmtId="0" fontId="4" fillId="25" borderId="14" xfId="0" applyFont="1" applyFill="1" applyBorder="1"/>
    <xf numFmtId="171" fontId="4" fillId="25" borderId="15" xfId="0" applyNumberFormat="1" applyFont="1" applyFill="1" applyBorder="1"/>
    <xf numFmtId="10" fontId="0" fillId="25" borderId="25" xfId="0" applyNumberFormat="1" applyFill="1" applyBorder="1"/>
    <xf numFmtId="0" fontId="0" fillId="25" borderId="13" xfId="0" applyFill="1" applyBorder="1"/>
    <xf numFmtId="166" fontId="0" fillId="0" borderId="0" xfId="1" applyNumberFormat="1" applyFont="1"/>
    <xf numFmtId="1" fontId="0" fillId="0" borderId="0" xfId="1" applyNumberFormat="1" applyFont="1" applyAlignment="1">
      <alignment horizontal="center"/>
    </xf>
    <xf numFmtId="49" fontId="0" fillId="0" borderId="0" xfId="1" applyNumberFormat="1" applyFont="1"/>
    <xf numFmtId="171" fontId="4" fillId="0" borderId="0" xfId="3" applyNumberFormat="1" applyFont="1"/>
    <xf numFmtId="164" fontId="0" fillId="25" borderId="25" xfId="0" applyNumberFormat="1" applyFill="1" applyBorder="1"/>
    <xf numFmtId="164" fontId="0" fillId="25" borderId="23" xfId="0" applyNumberFormat="1" applyFill="1" applyBorder="1"/>
    <xf numFmtId="9" fontId="0" fillId="36" borderId="16" xfId="0" applyNumberFormat="1" applyFill="1" applyBorder="1" applyAlignment="1">
      <alignment horizontal="center"/>
    </xf>
    <xf numFmtId="9" fontId="0" fillId="36" borderId="30" xfId="0" applyNumberFormat="1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9" fontId="0" fillId="36" borderId="31" xfId="0" applyNumberFormat="1" applyFill="1" applyBorder="1" applyAlignment="1">
      <alignment horizontal="center"/>
    </xf>
    <xf numFmtId="165" fontId="0" fillId="25" borderId="0" xfId="0" applyNumberFormat="1" applyFill="1"/>
    <xf numFmtId="165" fontId="0" fillId="25" borderId="18" xfId="0" applyNumberFormat="1" applyFill="1" applyBorder="1"/>
    <xf numFmtId="166" fontId="0" fillId="25" borderId="21" xfId="0" applyNumberFormat="1" applyFill="1" applyBorder="1"/>
    <xf numFmtId="166" fontId="0" fillId="25" borderId="20" xfId="0" applyNumberFormat="1" applyFill="1" applyBorder="1"/>
    <xf numFmtId="166" fontId="0" fillId="25" borderId="0" xfId="0" applyNumberFormat="1" applyFill="1"/>
    <xf numFmtId="166" fontId="0" fillId="25" borderId="18" xfId="0" applyNumberFormat="1" applyFill="1" applyBorder="1"/>
    <xf numFmtId="0" fontId="0" fillId="0" borderId="23" xfId="0" applyBorder="1"/>
    <xf numFmtId="0" fontId="0" fillId="36" borderId="30" xfId="0" applyFill="1" applyBorder="1"/>
    <xf numFmtId="6" fontId="0" fillId="36" borderId="31" xfId="0" applyNumberFormat="1" applyFill="1" applyBorder="1" applyAlignment="1">
      <alignment horizontal="center"/>
    </xf>
    <xf numFmtId="164" fontId="0" fillId="0" borderId="0" xfId="0" applyNumberFormat="1" applyAlignment="1">
      <alignment horizontal="left" indent="4"/>
    </xf>
    <xf numFmtId="1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 indent="2"/>
    </xf>
    <xf numFmtId="164" fontId="0" fillId="0" borderId="18" xfId="0" applyNumberFormat="1" applyBorder="1" applyAlignment="1">
      <alignment horizontal="center" indent="2"/>
    </xf>
    <xf numFmtId="9" fontId="0" fillId="0" borderId="30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166" fontId="0" fillId="36" borderId="31" xfId="0" applyNumberFormat="1" applyFill="1" applyBorder="1" applyAlignment="1">
      <alignment horizontal="right"/>
    </xf>
    <xf numFmtId="166" fontId="0" fillId="0" borderId="31" xfId="0" applyNumberFormat="1" applyBorder="1" applyAlignment="1">
      <alignment horizontal="right"/>
    </xf>
    <xf numFmtId="3" fontId="0" fillId="0" borderId="31" xfId="0" applyNumberFormat="1" applyBorder="1"/>
    <xf numFmtId="165" fontId="4" fillId="5" borderId="14" xfId="0" applyNumberFormat="1" applyFont="1" applyFill="1" applyBorder="1" applyAlignment="1">
      <alignment horizontal="center"/>
    </xf>
    <xf numFmtId="0" fontId="31" fillId="0" borderId="0" xfId="0" applyFont="1"/>
    <xf numFmtId="0" fontId="0" fillId="3" borderId="31" xfId="0" applyFill="1" applyBorder="1"/>
    <xf numFmtId="0" fontId="0" fillId="3" borderId="30" xfId="0" applyFill="1" applyBorder="1"/>
    <xf numFmtId="166" fontId="0" fillId="36" borderId="17" xfId="0" applyNumberFormat="1" applyFill="1" applyBorder="1"/>
    <xf numFmtId="166" fontId="0" fillId="36" borderId="17" xfId="0" applyNumberFormat="1" applyFill="1" applyBorder="1" applyAlignment="1">
      <alignment horizontal="right"/>
    </xf>
    <xf numFmtId="0" fontId="0" fillId="36" borderId="17" xfId="0" applyFill="1" applyBorder="1"/>
    <xf numFmtId="0" fontId="0" fillId="36" borderId="19" xfId="0" applyFill="1" applyBorder="1"/>
    <xf numFmtId="166" fontId="0" fillId="0" borderId="17" xfId="0" applyNumberFormat="1" applyBorder="1" applyAlignment="1">
      <alignment horizontal="right"/>
    </xf>
    <xf numFmtId="183" fontId="0" fillId="0" borderId="0" xfId="0" applyNumberFormat="1"/>
    <xf numFmtId="166" fontId="0" fillId="0" borderId="14" xfId="0" applyNumberFormat="1" applyBorder="1"/>
    <xf numFmtId="166" fontId="4" fillId="25" borderId="21" xfId="0" applyNumberFormat="1" applyFont="1" applyFill="1" applyBorder="1"/>
    <xf numFmtId="166" fontId="4" fillId="25" borderId="20" xfId="0" applyNumberFormat="1" applyFont="1" applyFill="1" applyBorder="1"/>
    <xf numFmtId="183" fontId="4" fillId="25" borderId="0" xfId="0" applyNumberFormat="1" applyFont="1" applyFill="1"/>
    <xf numFmtId="183" fontId="4" fillId="25" borderId="18" xfId="0" applyNumberFormat="1" applyFont="1" applyFill="1" applyBorder="1"/>
    <xf numFmtId="183" fontId="4" fillId="25" borderId="21" xfId="0" applyNumberFormat="1" applyFont="1" applyFill="1" applyBorder="1"/>
    <xf numFmtId="183" fontId="4" fillId="25" borderId="20" xfId="0" applyNumberFormat="1" applyFont="1" applyFill="1" applyBorder="1"/>
    <xf numFmtId="0" fontId="8" fillId="5" borderId="17" xfId="0" applyFont="1" applyFill="1" applyBorder="1"/>
    <xf numFmtId="183" fontId="0" fillId="5" borderId="0" xfId="0" applyNumberFormat="1" applyFill="1"/>
    <xf numFmtId="183" fontId="0" fillId="5" borderId="18" xfId="0" applyNumberFormat="1" applyFill="1" applyBorder="1"/>
    <xf numFmtId="0" fontId="31" fillId="0" borderId="18" xfId="0" applyFont="1" applyBorder="1"/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" fontId="0" fillId="0" borderId="17" xfId="0" applyNumberFormat="1" applyBorder="1"/>
    <xf numFmtId="164" fontId="4" fillId="25" borderId="22" xfId="1" applyNumberFormat="1" applyFont="1" applyFill="1" applyBorder="1"/>
    <xf numFmtId="166" fontId="4" fillId="25" borderId="36" xfId="0" applyNumberFormat="1" applyFont="1" applyFill="1" applyBorder="1"/>
    <xf numFmtId="166" fontId="4" fillId="25" borderId="12" xfId="0" applyNumberFormat="1" applyFont="1" applyFill="1" applyBorder="1"/>
    <xf numFmtId="0" fontId="4" fillId="25" borderId="50" xfId="0" applyFont="1" applyFill="1" applyBorder="1"/>
    <xf numFmtId="165" fontId="0" fillId="25" borderId="8" xfId="0" applyNumberFormat="1" applyFill="1" applyBorder="1"/>
    <xf numFmtId="9" fontId="0" fillId="25" borderId="8" xfId="0" applyNumberFormat="1" applyFill="1" applyBorder="1"/>
    <xf numFmtId="9" fontId="0" fillId="25" borderId="9" xfId="0" applyNumberFormat="1" applyFill="1" applyBorder="1"/>
    <xf numFmtId="165" fontId="0" fillId="25" borderId="0" xfId="1" applyNumberFormat="1" applyFont="1" applyFill="1" applyBorder="1"/>
    <xf numFmtId="9" fontId="0" fillId="25" borderId="0" xfId="3" applyFont="1" applyFill="1"/>
    <xf numFmtId="166" fontId="0" fillId="25" borderId="6" xfId="0" applyNumberFormat="1" applyFill="1" applyBorder="1"/>
    <xf numFmtId="10" fontId="0" fillId="25" borderId="23" xfId="0" applyNumberFormat="1" applyFill="1" applyBorder="1"/>
    <xf numFmtId="173" fontId="0" fillId="25" borderId="19" xfId="0" applyNumberFormat="1" applyFill="1" applyBorder="1"/>
    <xf numFmtId="0" fontId="4" fillId="25" borderId="29" xfId="0" applyFont="1" applyFill="1" applyBorder="1" applyAlignment="1">
      <alignment horizontal="left"/>
    </xf>
    <xf numFmtId="0" fontId="4" fillId="25" borderId="22" xfId="0" applyFont="1" applyFill="1" applyBorder="1" applyAlignment="1">
      <alignment horizontal="left"/>
    </xf>
    <xf numFmtId="0" fontId="0" fillId="36" borderId="18" xfId="0" applyFill="1" applyBorder="1" applyAlignment="1">
      <alignment horizontal="center"/>
    </xf>
    <xf numFmtId="9" fontId="0" fillId="36" borderId="18" xfId="0" applyNumberFormat="1" applyFill="1" applyBorder="1" applyAlignment="1">
      <alignment horizontal="center"/>
    </xf>
    <xf numFmtId="10" fontId="0" fillId="36" borderId="20" xfId="0" applyNumberFormat="1" applyFill="1" applyBorder="1" applyAlignment="1">
      <alignment horizontal="center"/>
    </xf>
    <xf numFmtId="0" fontId="4" fillId="3" borderId="31" xfId="0" applyFont="1" applyFill="1" applyBorder="1"/>
    <xf numFmtId="0" fontId="4" fillId="3" borderId="19" xfId="0" applyFont="1" applyFill="1" applyBorder="1"/>
    <xf numFmtId="173" fontId="0" fillId="3" borderId="31" xfId="0" applyNumberFormat="1" applyFill="1" applyBorder="1" applyAlignment="1">
      <alignment horizontal="center"/>
    </xf>
    <xf numFmtId="9" fontId="4" fillId="25" borderId="22" xfId="0" applyNumberFormat="1" applyFont="1" applyFill="1" applyBorder="1"/>
    <xf numFmtId="10" fontId="4" fillId="3" borderId="22" xfId="0" applyNumberFormat="1" applyFont="1" applyFill="1" applyBorder="1"/>
    <xf numFmtId="164" fontId="4" fillId="25" borderId="22" xfId="0" applyNumberFormat="1" applyFont="1" applyFill="1" applyBorder="1"/>
    <xf numFmtId="10" fontId="0" fillId="0" borderId="22" xfId="0" applyNumberFormat="1" applyBorder="1"/>
    <xf numFmtId="164" fontId="0" fillId="0" borderId="22" xfId="0" applyNumberFormat="1" applyBorder="1"/>
    <xf numFmtId="10" fontId="0" fillId="3" borderId="22" xfId="0" applyNumberFormat="1" applyFill="1" applyBorder="1"/>
    <xf numFmtId="164" fontId="0" fillId="0" borderId="0" xfId="1" applyNumberFormat="1" applyFont="1" applyFill="1" applyBorder="1" applyAlignment="1">
      <alignment horizontal="center"/>
    </xf>
    <xf numFmtId="166" fontId="0" fillId="0" borderId="0" xfId="3" applyNumberFormat="1" applyFont="1" applyFill="1" applyBorder="1" applyAlignment="1">
      <alignment horizontal="center"/>
    </xf>
    <xf numFmtId="171" fontId="0" fillId="0" borderId="0" xfId="0" applyNumberFormat="1" applyAlignment="1">
      <alignment horizontal="center"/>
    </xf>
    <xf numFmtId="10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" fontId="0" fillId="0" borderId="25" xfId="0" applyNumberFormat="1" applyBorder="1" applyAlignment="1">
      <alignment horizontal="center"/>
    </xf>
    <xf numFmtId="9" fontId="0" fillId="0" borderId="13" xfId="0" applyNumberFormat="1" applyBorder="1"/>
    <xf numFmtId="9" fontId="0" fillId="0" borderId="31" xfId="0" applyNumberFormat="1" applyBorder="1"/>
    <xf numFmtId="9" fontId="0" fillId="0" borderId="17" xfId="0" applyNumberFormat="1" applyBorder="1"/>
    <xf numFmtId="9" fontId="0" fillId="0" borderId="19" xfId="0" applyNumberFormat="1" applyBorder="1"/>
    <xf numFmtId="9" fontId="0" fillId="0" borderId="30" xfId="0" applyNumberFormat="1" applyBorder="1"/>
    <xf numFmtId="16" fontId="0" fillId="0" borderId="31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8" fontId="0" fillId="0" borderId="16" xfId="0" applyNumberFormat="1" applyBorder="1" applyAlignment="1">
      <alignment horizontal="center"/>
    </xf>
    <xf numFmtId="165" fontId="7" fillId="36" borderId="18" xfId="0" applyNumberFormat="1" applyFont="1" applyFill="1" applyBorder="1" applyAlignment="1">
      <alignment horizontal="center"/>
    </xf>
    <xf numFmtId="43" fontId="0" fillId="0" borderId="0" xfId="0" applyNumberFormat="1" applyAlignment="1">
      <alignment horizontal="center"/>
    </xf>
    <xf numFmtId="0" fontId="0" fillId="5" borderId="22" xfId="0" applyFill="1" applyBorder="1"/>
    <xf numFmtId="10" fontId="0" fillId="0" borderId="29" xfId="0" applyNumberFormat="1" applyBorder="1"/>
    <xf numFmtId="10" fontId="0" fillId="0" borderId="33" xfId="0" applyNumberFormat="1" applyBorder="1"/>
    <xf numFmtId="166" fontId="4" fillId="0" borderId="1" xfId="0" applyNumberFormat="1" applyFont="1" applyBorder="1" applyAlignment="1">
      <alignment horizontal="center"/>
    </xf>
    <xf numFmtId="10" fontId="4" fillId="3" borderId="1" xfId="0" applyNumberFormat="1" applyFont="1" applyFill="1" applyBorder="1" applyAlignment="1">
      <alignment horizontal="center"/>
    </xf>
    <xf numFmtId="10" fontId="0" fillId="3" borderId="16" xfId="0" applyNumberFormat="1" applyFill="1" applyBorder="1"/>
    <xf numFmtId="164" fontId="0" fillId="0" borderId="16" xfId="0" applyNumberFormat="1" applyBorder="1"/>
    <xf numFmtId="166" fontId="0" fillId="36" borderId="23" xfId="0" applyNumberFormat="1" applyFill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30" xfId="0" applyNumberFormat="1" applyBorder="1" applyAlignment="1">
      <alignment horizontal="center"/>
    </xf>
    <xf numFmtId="166" fontId="4" fillId="25" borderId="24" xfId="0" applyNumberFormat="1" applyFont="1" applyFill="1" applyBorder="1" applyAlignment="1">
      <alignment horizontal="center"/>
    </xf>
    <xf numFmtId="166" fontId="4" fillId="25" borderId="24" xfId="0" applyNumberFormat="1" applyFont="1" applyFill="1" applyBorder="1" applyAlignment="1">
      <alignment horizontal="left"/>
    </xf>
    <xf numFmtId="166" fontId="0" fillId="25" borderId="13" xfId="0" applyNumberFormat="1" applyFill="1" applyBorder="1"/>
    <xf numFmtId="166" fontId="0" fillId="25" borderId="14" xfId="0" applyNumberFormat="1" applyFill="1" applyBorder="1"/>
    <xf numFmtId="166" fontId="0" fillId="25" borderId="15" xfId="0" applyNumberFormat="1" applyFill="1" applyBorder="1"/>
    <xf numFmtId="0" fontId="0" fillId="29" borderId="0" xfId="0" applyFill="1"/>
    <xf numFmtId="1" fontId="0" fillId="0" borderId="6" xfId="0" applyNumberFormat="1" applyBorder="1"/>
    <xf numFmtId="1" fontId="0" fillId="0" borderId="0" xfId="1" applyNumberFormat="1" applyFont="1" applyFill="1" applyBorder="1"/>
    <xf numFmtId="0" fontId="4" fillId="5" borderId="34" xfId="0" applyFont="1" applyFill="1" applyBorder="1"/>
    <xf numFmtId="0" fontId="4" fillId="5" borderId="60" xfId="0" applyFont="1" applyFill="1" applyBorder="1"/>
    <xf numFmtId="0" fontId="4" fillId="5" borderId="26" xfId="0" applyFont="1" applyFill="1" applyBorder="1"/>
    <xf numFmtId="0" fontId="0" fillId="0" borderId="44" xfId="0" applyBorder="1"/>
    <xf numFmtId="0" fontId="0" fillId="0" borderId="59" xfId="0" applyBorder="1"/>
    <xf numFmtId="0" fontId="0" fillId="0" borderId="9" xfId="0" applyBorder="1"/>
    <xf numFmtId="2" fontId="0" fillId="0" borderId="1" xfId="0" applyNumberFormat="1" applyBorder="1"/>
    <xf numFmtId="2" fontId="7" fillId="0" borderId="16" xfId="0" applyNumberFormat="1" applyFont="1" applyBorder="1"/>
    <xf numFmtId="2" fontId="7" fillId="0" borderId="22" xfId="0" applyNumberFormat="1" applyFont="1" applyBorder="1" applyAlignment="1">
      <alignment wrapText="1"/>
    </xf>
    <xf numFmtId="2" fontId="7" fillId="0" borderId="22" xfId="0" applyNumberFormat="1" applyFont="1" applyBorder="1"/>
    <xf numFmtId="175" fontId="4" fillId="0" borderId="0" xfId="0" applyNumberFormat="1" applyFont="1"/>
    <xf numFmtId="175" fontId="0" fillId="0" borderId="0" xfId="0" applyNumberFormat="1"/>
    <xf numFmtId="9" fontId="0" fillId="37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17" xfId="0" applyNumberForma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0" fontId="4" fillId="5" borderId="25" xfId="0" applyFont="1" applyFill="1" applyBorder="1" applyAlignment="1">
      <alignment horizontal="center" wrapText="1"/>
    </xf>
    <xf numFmtId="0" fontId="10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25" borderId="23" xfId="0" applyFont="1" applyFill="1" applyBorder="1"/>
    <xf numFmtId="0" fontId="33" fillId="0" borderId="17" xfId="0" applyFont="1" applyBorder="1"/>
    <xf numFmtId="0" fontId="4" fillId="0" borderId="17" xfId="0" applyFont="1" applyBorder="1" applyAlignment="1">
      <alignment horizontal="center"/>
    </xf>
    <xf numFmtId="175" fontId="0" fillId="0" borderId="21" xfId="0" applyNumberFormat="1" applyBorder="1"/>
    <xf numFmtId="175" fontId="0" fillId="0" borderId="17" xfId="0" applyNumberFormat="1" applyBorder="1"/>
    <xf numFmtId="175" fontId="0" fillId="0" borderId="19" xfId="0" applyNumberFormat="1" applyBorder="1"/>
    <xf numFmtId="175" fontId="37" fillId="38" borderId="14" xfId="0" applyNumberFormat="1" applyFont="1" applyFill="1" applyBorder="1"/>
    <xf numFmtId="172" fontId="0" fillId="0" borderId="0" xfId="0" applyNumberFormat="1"/>
    <xf numFmtId="172" fontId="0" fillId="0" borderId="15" xfId="0" applyNumberFormat="1" applyBorder="1"/>
    <xf numFmtId="172" fontId="0" fillId="0" borderId="18" xfId="0" applyNumberFormat="1" applyBorder="1"/>
    <xf numFmtId="183" fontId="0" fillId="0" borderId="20" xfId="0" applyNumberFormat="1" applyBorder="1"/>
    <xf numFmtId="175" fontId="0" fillId="0" borderId="0" xfId="0" applyNumberFormat="1" applyAlignment="1">
      <alignment horizontal="right" indent="1"/>
    </xf>
    <xf numFmtId="175" fontId="0" fillId="0" borderId="14" xfId="0" applyNumberFormat="1" applyBorder="1" applyAlignment="1">
      <alignment horizontal="right" indent="1"/>
    </xf>
    <xf numFmtId="175" fontId="0" fillId="0" borderId="15" xfId="0" applyNumberFormat="1" applyBorder="1" applyAlignment="1">
      <alignment horizontal="right" indent="1"/>
    </xf>
    <xf numFmtId="175" fontId="0" fillId="0" borderId="18" xfId="0" applyNumberFormat="1" applyBorder="1" applyAlignment="1">
      <alignment horizontal="right" indent="1"/>
    </xf>
    <xf numFmtId="175" fontId="0" fillId="0" borderId="20" xfId="0" applyNumberFormat="1" applyBorder="1"/>
    <xf numFmtId="10" fontId="0" fillId="25" borderId="18" xfId="0" applyNumberFormat="1" applyFill="1" applyBorder="1" applyAlignment="1">
      <alignment horizontal="left"/>
    </xf>
    <xf numFmtId="10" fontId="0" fillId="25" borderId="20" xfId="0" applyNumberFormat="1" applyFill="1" applyBorder="1" applyAlignment="1">
      <alignment horizontal="left"/>
    </xf>
    <xf numFmtId="0" fontId="0" fillId="25" borderId="16" xfId="0" applyFill="1" applyBorder="1"/>
    <xf numFmtId="0" fontId="0" fillId="25" borderId="31" xfId="0" applyFill="1" applyBorder="1"/>
    <xf numFmtId="0" fontId="0" fillId="25" borderId="30" xfId="0" applyFill="1" applyBorder="1"/>
    <xf numFmtId="0" fontId="4" fillId="25" borderId="20" xfId="0" applyFont="1" applyFill="1" applyBorder="1"/>
    <xf numFmtId="0" fontId="4" fillId="0" borderId="22" xfId="0" applyFont="1" applyBorder="1"/>
    <xf numFmtId="174" fontId="0" fillId="0" borderId="15" xfId="0" applyNumberFormat="1" applyBorder="1"/>
    <xf numFmtId="174" fontId="0" fillId="0" borderId="18" xfId="0" applyNumberFormat="1" applyBorder="1"/>
    <xf numFmtId="0" fontId="7" fillId="36" borderId="18" xfId="0" applyFont="1" applyFill="1" applyBorder="1" applyAlignment="1">
      <alignment horizontal="center"/>
    </xf>
    <xf numFmtId="166" fontId="0" fillId="36" borderId="18" xfId="0" applyNumberForma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183" fontId="0" fillId="0" borderId="21" xfId="0" applyNumberFormat="1" applyBorder="1" applyAlignment="1">
      <alignment horizontal="center"/>
    </xf>
    <xf numFmtId="167" fontId="2" fillId="31" borderId="0" xfId="11" applyNumberFormat="1" applyBorder="1" applyAlignment="1">
      <alignment horizontal="center"/>
    </xf>
    <xf numFmtId="164" fontId="19" fillId="0" borderId="0" xfId="5" applyNumberFormat="1"/>
    <xf numFmtId="164" fontId="42" fillId="0" borderId="0" xfId="6" applyNumberFormat="1" applyFont="1"/>
    <xf numFmtId="164" fontId="43" fillId="0" borderId="0" xfId="6" applyNumberFormat="1" applyFont="1"/>
    <xf numFmtId="175" fontId="37" fillId="38" borderId="15" xfId="0" applyNumberFormat="1" applyFont="1" applyFill="1" applyBorder="1"/>
    <xf numFmtId="166" fontId="4" fillId="25" borderId="19" xfId="0" applyNumberFormat="1" applyFont="1" applyFill="1" applyBorder="1" applyAlignment="1">
      <alignment horizontal="left"/>
    </xf>
    <xf numFmtId="166" fontId="4" fillId="25" borderId="13" xfId="0" applyNumberFormat="1" applyFont="1" applyFill="1" applyBorder="1" applyAlignment="1">
      <alignment horizontal="center"/>
    </xf>
    <xf numFmtId="165" fontId="4" fillId="25" borderId="20" xfId="0" applyNumberFormat="1" applyFon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1" fontId="0" fillId="0" borderId="25" xfId="0" applyNumberFormat="1" applyBorder="1"/>
    <xf numFmtId="171" fontId="4" fillId="0" borderId="23" xfId="0" applyNumberFormat="1" applyFont="1" applyBorder="1"/>
    <xf numFmtId="10" fontId="0" fillId="25" borderId="21" xfId="0" applyNumberFormat="1" applyFill="1" applyBorder="1" applyAlignment="1">
      <alignment horizontal="center" vertical="center"/>
    </xf>
    <xf numFmtId="0" fontId="4" fillId="25" borderId="21" xfId="0" applyFont="1" applyFill="1" applyBorder="1"/>
    <xf numFmtId="171" fontId="4" fillId="25" borderId="20" xfId="0" applyNumberFormat="1" applyFont="1" applyFill="1" applyBorder="1"/>
    <xf numFmtId="0" fontId="0" fillId="0" borderId="23" xfId="0" applyBorder="1" applyAlignment="1">
      <alignment horizontal="center" wrapText="1"/>
    </xf>
    <xf numFmtId="10" fontId="0" fillId="25" borderId="0" xfId="0" applyNumberFormat="1" applyFill="1" applyAlignment="1">
      <alignment horizontal="center"/>
    </xf>
    <xf numFmtId="0" fontId="4" fillId="25" borderId="0" xfId="0" applyFont="1" applyFill="1"/>
    <xf numFmtId="167" fontId="0" fillId="0" borderId="23" xfId="0" applyNumberFormat="1" applyBorder="1"/>
    <xf numFmtId="167" fontId="4" fillId="25" borderId="25" xfId="0" applyNumberFormat="1" applyFont="1" applyFill="1" applyBorder="1"/>
    <xf numFmtId="0" fontId="0" fillId="0" borderId="22" xfId="0" applyBorder="1" applyAlignment="1">
      <alignment horizontal="center" vertical="center"/>
    </xf>
    <xf numFmtId="10" fontId="0" fillId="25" borderId="14" xfId="0" applyNumberFormat="1" applyFill="1" applyBorder="1" applyAlignment="1">
      <alignment horizontal="center" vertical="center"/>
    </xf>
    <xf numFmtId="167" fontId="4" fillId="25" borderId="14" xfId="0" applyNumberFormat="1" applyFont="1" applyFill="1" applyBorder="1"/>
    <xf numFmtId="167" fontId="4" fillId="25" borderId="21" xfId="0" applyNumberFormat="1" applyFont="1" applyFill="1" applyBorder="1"/>
    <xf numFmtId="167" fontId="4" fillId="25" borderId="0" xfId="0" applyNumberFormat="1" applyFont="1" applyFill="1"/>
    <xf numFmtId="2" fontId="19" fillId="0" borderId="0" xfId="8" applyNumberFormat="1"/>
    <xf numFmtId="0" fontId="0" fillId="29" borderId="18" xfId="0" applyFill="1" applyBorder="1"/>
    <xf numFmtId="0" fontId="4" fillId="0" borderId="18" xfId="0" applyFont="1" applyBorder="1"/>
    <xf numFmtId="165" fontId="4" fillId="25" borderId="20" xfId="0" applyNumberFormat="1" applyFont="1" applyFill="1" applyBorder="1"/>
    <xf numFmtId="0" fontId="4" fillId="32" borderId="23" xfId="12" applyFont="1" applyBorder="1"/>
    <xf numFmtId="167" fontId="2" fillId="31" borderId="21" xfId="11" applyNumberFormat="1" applyBorder="1" applyAlignment="1">
      <alignment horizontal="center"/>
    </xf>
    <xf numFmtId="0" fontId="6" fillId="0" borderId="17" xfId="4" applyBorder="1"/>
    <xf numFmtId="0" fontId="6" fillId="0" borderId="18" xfId="4" applyBorder="1"/>
    <xf numFmtId="181" fontId="0" fillId="0" borderId="0" xfId="0" applyNumberFormat="1"/>
    <xf numFmtId="10" fontId="0" fillId="0" borderId="14" xfId="0" applyNumberFormat="1" applyBorder="1"/>
    <xf numFmtId="10" fontId="0" fillId="0" borderId="15" xfId="0" applyNumberFormat="1" applyBorder="1"/>
    <xf numFmtId="167" fontId="0" fillId="0" borderId="15" xfId="0" applyNumberFormat="1" applyBorder="1"/>
    <xf numFmtId="0" fontId="0" fillId="0" borderId="0" xfId="0" applyAlignment="1">
      <alignment horizontal="left" vertical="center"/>
    </xf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0" fillId="31" borderId="18" xfId="11" applyFont="1" applyBorder="1"/>
    <xf numFmtId="164" fontId="0" fillId="0" borderId="22" xfId="0" applyNumberFormat="1" applyBorder="1" applyAlignment="1">
      <alignment horizontal="center"/>
    </xf>
    <xf numFmtId="165" fontId="4" fillId="25" borderId="30" xfId="0" applyNumberFormat="1" applyFont="1" applyFill="1" applyBorder="1" applyAlignment="1">
      <alignment horizontal="center"/>
    </xf>
    <xf numFmtId="166" fontId="0" fillId="0" borderId="24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5" fontId="4" fillId="25" borderId="19" xfId="0" applyNumberFormat="1" applyFont="1" applyFill="1" applyBorder="1" applyAlignment="1">
      <alignment horizontal="center"/>
    </xf>
    <xf numFmtId="0" fontId="4" fillId="5" borderId="56" xfId="0" applyFont="1" applyFill="1" applyBorder="1" applyAlignment="1">
      <alignment horizontal="center"/>
    </xf>
    <xf numFmtId="0" fontId="4" fillId="5" borderId="57" xfId="0" applyFont="1" applyFill="1" applyBorder="1" applyAlignment="1">
      <alignment horizontal="center"/>
    </xf>
    <xf numFmtId="0" fontId="4" fillId="5" borderId="58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14" fillId="0" borderId="0" xfId="0" applyFont="1"/>
    <xf numFmtId="0" fontId="41" fillId="0" borderId="0" xfId="0" applyFont="1"/>
    <xf numFmtId="0" fontId="7" fillId="0" borderId="0" xfId="0" applyFont="1"/>
    <xf numFmtId="0" fontId="49" fillId="35" borderId="0" xfId="0" applyFont="1" applyFill="1"/>
    <xf numFmtId="0" fontId="0" fillId="25" borderId="24" xfId="0" applyFill="1" applyBorder="1" applyAlignment="1">
      <alignment horizontal="center"/>
    </xf>
    <xf numFmtId="10" fontId="0" fillId="25" borderId="23" xfId="0" applyNumberFormat="1" applyFill="1" applyBorder="1" applyAlignment="1">
      <alignment horizontal="center"/>
    </xf>
    <xf numFmtId="164" fontId="1" fillId="0" borderId="0" xfId="6" applyNumberFormat="1" applyFont="1"/>
    <xf numFmtId="164" fontId="1" fillId="0" borderId="8" xfId="6" applyNumberFormat="1" applyFont="1" applyBorder="1"/>
    <xf numFmtId="178" fontId="1" fillId="0" borderId="0" xfId="6" applyNumberFormat="1" applyFont="1"/>
    <xf numFmtId="164" fontId="1" fillId="0" borderId="40" xfId="6" applyNumberFormat="1" applyFont="1" applyBorder="1"/>
    <xf numFmtId="0" fontId="1" fillId="0" borderId="22" xfId="0" applyFont="1" applyBorder="1"/>
    <xf numFmtId="10" fontId="1" fillId="3" borderId="22" xfId="0" applyNumberFormat="1" applyFont="1" applyFill="1" applyBorder="1" applyAlignment="1">
      <alignment wrapText="1"/>
    </xf>
    <xf numFmtId="164" fontId="1" fillId="0" borderId="22" xfId="0" applyNumberFormat="1" applyFont="1" applyBorder="1"/>
    <xf numFmtId="0" fontId="1" fillId="0" borderId="0" xfId="0" applyFont="1"/>
    <xf numFmtId="0" fontId="34" fillId="0" borderId="0" xfId="5" applyFont="1" applyAlignment="1">
      <alignment wrapText="1"/>
    </xf>
    <xf numFmtId="1" fontId="26" fillId="0" borderId="0" xfId="8" applyNumberFormat="1" applyFont="1"/>
    <xf numFmtId="167" fontId="26" fillId="0" borderId="0" xfId="8" applyNumberFormat="1" applyFont="1"/>
    <xf numFmtId="164" fontId="26" fillId="0" borderId="0" xfId="8" applyNumberFormat="1" applyFont="1"/>
    <xf numFmtId="164" fontId="26" fillId="0" borderId="8" xfId="6" applyNumberFormat="1" applyFont="1" applyBorder="1"/>
    <xf numFmtId="164" fontId="26" fillId="0" borderId="0" xfId="6" applyNumberFormat="1" applyFont="1"/>
    <xf numFmtId="0" fontId="1" fillId="31" borderId="17" xfId="11" applyFont="1" applyBorder="1"/>
    <xf numFmtId="0" fontId="1" fillId="31" borderId="18" xfId="11" applyFont="1" applyBorder="1"/>
    <xf numFmtId="0" fontId="1" fillId="31" borderId="19" xfId="11" applyFont="1" applyBorder="1"/>
    <xf numFmtId="0" fontId="1" fillId="31" borderId="20" xfId="11" applyFont="1" applyBorder="1"/>
    <xf numFmtId="0" fontId="4" fillId="5" borderId="16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 wrapText="1"/>
    </xf>
    <xf numFmtId="166" fontId="4" fillId="5" borderId="25" xfId="0" applyNumberFormat="1" applyFont="1" applyFill="1" applyBorder="1" applyAlignment="1">
      <alignment horizontal="center"/>
    </xf>
    <xf numFmtId="166" fontId="4" fillId="5" borderId="23" xfId="0" applyNumberFormat="1" applyFont="1" applyFill="1" applyBorder="1" applyAlignment="1">
      <alignment horizontal="center"/>
    </xf>
    <xf numFmtId="166" fontId="4" fillId="5" borderId="24" xfId="0" applyNumberFormat="1" applyFont="1" applyFill="1" applyBorder="1" applyAlignment="1">
      <alignment horizontal="center"/>
    </xf>
    <xf numFmtId="0" fontId="11" fillId="5" borderId="24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5" borderId="25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0" fillId="0" borderId="19" xfId="0" applyBorder="1" applyAlignment="1">
      <alignment horizontal="left"/>
    </xf>
    <xf numFmtId="0" fontId="4" fillId="5" borderId="15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44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5" borderId="23" xfId="0" applyFill="1" applyBorder="1" applyAlignment="1">
      <alignment horizontal="center"/>
    </xf>
    <xf numFmtId="0" fontId="0" fillId="25" borderId="18" xfId="0" applyFill="1" applyBorder="1" applyAlignment="1">
      <alignment horizontal="center"/>
    </xf>
    <xf numFmtId="0" fontId="4" fillId="5" borderId="30" xfId="0" applyFont="1" applyFill="1" applyBorder="1" applyAlignment="1">
      <alignment horizontal="center" vertical="center"/>
    </xf>
    <xf numFmtId="165" fontId="4" fillId="5" borderId="15" xfId="0" applyNumberFormat="1" applyFont="1" applyFill="1" applyBorder="1" applyAlignment="1">
      <alignment horizontal="center"/>
    </xf>
    <xf numFmtId="165" fontId="4" fillId="5" borderId="16" xfId="0" applyNumberFormat="1" applyFont="1" applyFill="1" applyBorder="1" applyAlignment="1">
      <alignment horizontal="center"/>
    </xf>
    <xf numFmtId="10" fontId="0" fillId="25" borderId="21" xfId="0" applyNumberFormat="1" applyFill="1" applyBorder="1" applyAlignment="1">
      <alignment horizontal="center"/>
    </xf>
    <xf numFmtId="10" fontId="0" fillId="25" borderId="20" xfId="0" applyNumberForma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4" fillId="25" borderId="13" xfId="0" applyFont="1" applyFill="1" applyBorder="1" applyAlignment="1">
      <alignment horizontal="center"/>
    </xf>
    <xf numFmtId="0" fontId="4" fillId="25" borderId="14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0" fillId="30" borderId="41" xfId="10" applyFont="1" applyBorder="1" applyAlignment="1">
      <alignment horizontal="center"/>
    </xf>
    <xf numFmtId="0" fontId="30" fillId="30" borderId="43" xfId="10" applyFont="1" applyBorder="1" applyAlignment="1">
      <alignment horizontal="center"/>
    </xf>
    <xf numFmtId="0" fontId="30" fillId="30" borderId="42" xfId="10" applyFont="1" applyBorder="1" applyAlignment="1">
      <alignment horizontal="center"/>
    </xf>
    <xf numFmtId="0" fontId="30" fillId="30" borderId="13" xfId="10" applyFont="1" applyBorder="1" applyAlignment="1">
      <alignment horizontal="center"/>
    </xf>
    <xf numFmtId="0" fontId="30" fillId="30" borderId="15" xfId="10" applyFont="1" applyBorder="1" applyAlignment="1">
      <alignment horizontal="center"/>
    </xf>
    <xf numFmtId="0" fontId="31" fillId="30" borderId="46" xfId="10" applyBorder="1" applyAlignment="1">
      <alignment horizontal="center"/>
    </xf>
    <xf numFmtId="0" fontId="31" fillId="30" borderId="48" xfId="10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wrapText="1"/>
    </xf>
    <xf numFmtId="10" fontId="4" fillId="5" borderId="19" xfId="0" applyNumberFormat="1" applyFont="1" applyFill="1" applyBorder="1" applyAlignment="1">
      <alignment horizontal="center"/>
    </xf>
    <xf numFmtId="10" fontId="4" fillId="5" borderId="20" xfId="0" applyNumberFormat="1" applyFont="1" applyFill="1" applyBorder="1" applyAlignment="1">
      <alignment horizontal="center"/>
    </xf>
    <xf numFmtId="10" fontId="4" fillId="5" borderId="24" xfId="0" applyNumberFormat="1" applyFont="1" applyFill="1" applyBorder="1" applyAlignment="1">
      <alignment horizontal="center"/>
    </xf>
    <xf numFmtId="10" fontId="4" fillId="5" borderId="23" xfId="0" applyNumberFormat="1" applyFont="1" applyFill="1" applyBorder="1" applyAlignment="1">
      <alignment horizontal="center"/>
    </xf>
    <xf numFmtId="166" fontId="4" fillId="5" borderId="13" xfId="0" applyNumberFormat="1" applyFont="1" applyFill="1" applyBorder="1" applyAlignment="1">
      <alignment horizontal="center"/>
    </xf>
    <xf numFmtId="166" fontId="4" fillId="5" borderId="15" xfId="0" applyNumberFormat="1" applyFont="1" applyFill="1" applyBorder="1" applyAlignment="1">
      <alignment horizontal="center"/>
    </xf>
    <xf numFmtId="166" fontId="4" fillId="5" borderId="25" xfId="0" applyNumberFormat="1" applyFont="1" applyFill="1" applyBorder="1" applyAlignment="1">
      <alignment horizontal="center"/>
    </xf>
    <xf numFmtId="166" fontId="4" fillId="5" borderId="23" xfId="0" applyNumberFormat="1" applyFont="1" applyFill="1" applyBorder="1" applyAlignment="1">
      <alignment horizontal="center"/>
    </xf>
    <xf numFmtId="10" fontId="4" fillId="5" borderId="25" xfId="0" applyNumberFormat="1" applyFont="1" applyFill="1" applyBorder="1" applyAlignment="1">
      <alignment horizontal="center"/>
    </xf>
    <xf numFmtId="166" fontId="4" fillId="5" borderId="24" xfId="0" applyNumberFormat="1" applyFont="1" applyFill="1" applyBorder="1" applyAlignment="1">
      <alignment horizontal="center"/>
    </xf>
    <xf numFmtId="0" fontId="11" fillId="5" borderId="24" xfId="0" applyFont="1" applyFill="1" applyBorder="1" applyAlignment="1">
      <alignment horizontal="center"/>
    </xf>
    <xf numFmtId="0" fontId="10" fillId="0" borderId="14" xfId="0" applyFont="1" applyBorder="1" applyAlignment="1">
      <alignment horizontal="center" wrapText="1" indent="1"/>
    </xf>
    <xf numFmtId="0" fontId="10" fillId="0" borderId="0" xfId="0" applyFont="1" applyAlignment="1">
      <alignment horizontal="center" wrapText="1" indent="1"/>
    </xf>
    <xf numFmtId="0" fontId="0" fillId="3" borderId="22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5" borderId="25" xfId="0" applyFont="1" applyFill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4" fillId="5" borderId="15" xfId="0" applyFont="1" applyFill="1" applyBorder="1" applyAlignment="1">
      <alignment horizontal="center"/>
    </xf>
    <xf numFmtId="10" fontId="4" fillId="0" borderId="24" xfId="0" applyNumberFormat="1" applyFont="1" applyBorder="1" applyAlignment="1">
      <alignment horizontal="center"/>
    </xf>
    <xf numFmtId="10" fontId="4" fillId="0" borderId="22" xfId="0" applyNumberFormat="1" applyFont="1" applyBorder="1" applyAlignment="1">
      <alignment horizontal="center"/>
    </xf>
    <xf numFmtId="0" fontId="10" fillId="0" borderId="21" xfId="0" applyFont="1" applyBorder="1" applyAlignment="1">
      <alignment horizontal="center" wrapText="1" indent="1"/>
    </xf>
    <xf numFmtId="0" fontId="10" fillId="0" borderId="21" xfId="0" applyFont="1" applyBorder="1" applyAlignment="1">
      <alignment horizontal="center" wrapText="1"/>
    </xf>
    <xf numFmtId="0" fontId="7" fillId="26" borderId="24" xfId="0" applyFont="1" applyFill="1" applyBorder="1" applyAlignment="1">
      <alignment horizontal="center"/>
    </xf>
    <xf numFmtId="0" fontId="7" fillId="26" borderId="22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44" xfId="0" applyFont="1" applyFill="1" applyBorder="1" applyAlignment="1">
      <alignment horizontal="center"/>
    </xf>
    <xf numFmtId="0" fontId="4" fillId="5" borderId="45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8" fillId="10" borderId="61" xfId="0" applyFont="1" applyFill="1" applyBorder="1" applyAlignment="1">
      <alignment horizontal="center"/>
    </xf>
    <xf numFmtId="0" fontId="8" fillId="10" borderId="62" xfId="0" applyFont="1" applyFill="1" applyBorder="1" applyAlignment="1">
      <alignment horizontal="center"/>
    </xf>
    <xf numFmtId="0" fontId="8" fillId="10" borderId="63" xfId="0" applyFont="1" applyFill="1" applyBorder="1" applyAlignment="1">
      <alignment horizontal="center"/>
    </xf>
    <xf numFmtId="0" fontId="4" fillId="25" borderId="10" xfId="0" applyFont="1" applyFill="1" applyBorder="1" applyAlignment="1">
      <alignment horizontal="center"/>
    </xf>
    <xf numFmtId="0" fontId="4" fillId="25" borderId="11" xfId="0" applyFont="1" applyFill="1" applyBorder="1" applyAlignment="1">
      <alignment horizontal="center"/>
    </xf>
    <xf numFmtId="0" fontId="4" fillId="25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5" borderId="24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8" fillId="5" borderId="24" xfId="4" applyFont="1" applyFill="1" applyBorder="1" applyAlignment="1">
      <alignment horizontal="center"/>
    </xf>
    <xf numFmtId="0" fontId="8" fillId="5" borderId="23" xfId="4" applyFont="1" applyFill="1" applyBorder="1" applyAlignment="1">
      <alignment horizontal="center"/>
    </xf>
    <xf numFmtId="0" fontId="0" fillId="25" borderId="17" xfId="0" applyFill="1" applyBorder="1" applyAlignment="1">
      <alignment horizontal="center"/>
    </xf>
    <xf numFmtId="0" fontId="0" fillId="25" borderId="18" xfId="0" applyFill="1" applyBorder="1" applyAlignment="1">
      <alignment horizontal="center"/>
    </xf>
    <xf numFmtId="0" fontId="4" fillId="26" borderId="24" xfId="0" applyFont="1" applyFill="1" applyBorder="1" applyAlignment="1">
      <alignment horizontal="center"/>
    </xf>
    <xf numFmtId="0" fontId="4" fillId="26" borderId="23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 vertical="center"/>
    </xf>
    <xf numFmtId="165" fontId="4" fillId="5" borderId="15" xfId="0" applyNumberFormat="1" applyFont="1" applyFill="1" applyBorder="1" applyAlignment="1">
      <alignment horizontal="center"/>
    </xf>
    <xf numFmtId="165" fontId="4" fillId="5" borderId="16" xfId="0" applyNumberFormat="1" applyFont="1" applyFill="1" applyBorder="1" applyAlignment="1">
      <alignment horizontal="center"/>
    </xf>
    <xf numFmtId="0" fontId="49" fillId="5" borderId="13" xfId="0" applyFont="1" applyFill="1" applyBorder="1" applyAlignment="1">
      <alignment horizontal="center"/>
    </xf>
    <xf numFmtId="0" fontId="49" fillId="5" borderId="14" xfId="0" applyFont="1" applyFill="1" applyBorder="1" applyAlignment="1">
      <alignment horizontal="center"/>
    </xf>
    <xf numFmtId="0" fontId="49" fillId="5" borderId="15" xfId="0" applyFont="1" applyFill="1" applyBorder="1" applyAlignment="1">
      <alignment horizontal="center"/>
    </xf>
    <xf numFmtId="0" fontId="0" fillId="26" borderId="24" xfId="0" applyFill="1" applyBorder="1" applyAlignment="1">
      <alignment horizontal="center"/>
    </xf>
    <xf numFmtId="0" fontId="0" fillId="26" borderId="25" xfId="0" applyFill="1" applyBorder="1" applyAlignment="1">
      <alignment horizontal="center"/>
    </xf>
    <xf numFmtId="0" fontId="0" fillId="26" borderId="23" xfId="0" applyFill="1" applyBorder="1" applyAlignment="1">
      <alignment horizontal="center"/>
    </xf>
    <xf numFmtId="0" fontId="4" fillId="5" borderId="13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10" fontId="0" fillId="25" borderId="19" xfId="0" applyNumberFormat="1" applyFill="1" applyBorder="1" applyAlignment="1">
      <alignment horizontal="center"/>
    </xf>
    <xf numFmtId="10" fontId="0" fillId="25" borderId="21" xfId="0" applyNumberFormat="1" applyFill="1" applyBorder="1" applyAlignment="1">
      <alignment horizontal="center"/>
    </xf>
    <xf numFmtId="10" fontId="0" fillId="25" borderId="20" xfId="0" applyNumberFormat="1" applyFill="1" applyBorder="1" applyAlignment="1">
      <alignment horizontal="center"/>
    </xf>
    <xf numFmtId="10" fontId="10" fillId="25" borderId="21" xfId="0" applyNumberFormat="1" applyFont="1" applyFill="1" applyBorder="1" applyAlignment="1">
      <alignment horizontal="center"/>
    </xf>
    <xf numFmtId="0" fontId="10" fillId="25" borderId="20" xfId="0" applyFont="1" applyFill="1" applyBorder="1" applyAlignment="1">
      <alignment horizontal="center"/>
    </xf>
    <xf numFmtId="0" fontId="37" fillId="34" borderId="24" xfId="0" applyFont="1" applyFill="1" applyBorder="1" applyAlignment="1">
      <alignment horizontal="center"/>
    </xf>
    <xf numFmtId="0" fontId="37" fillId="34" borderId="25" xfId="0" applyFont="1" applyFill="1" applyBorder="1" applyAlignment="1">
      <alignment horizontal="center"/>
    </xf>
    <xf numFmtId="0" fontId="37" fillId="34" borderId="23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/>
    </xf>
    <xf numFmtId="0" fontId="4" fillId="25" borderId="13" xfId="0" applyFont="1" applyFill="1" applyBorder="1" applyAlignment="1">
      <alignment horizontal="center"/>
    </xf>
    <xf numFmtId="0" fontId="4" fillId="25" borderId="14" xfId="0" applyFont="1" applyFill="1" applyBorder="1" applyAlignment="1">
      <alignment horizontal="center"/>
    </xf>
    <xf numFmtId="0" fontId="37" fillId="25" borderId="0" xfId="0" applyFont="1" applyFill="1" applyAlignment="1">
      <alignment horizontal="center"/>
    </xf>
    <xf numFmtId="0" fontId="37" fillId="25" borderId="18" xfId="0" applyFont="1" applyFill="1" applyBorder="1" applyAlignment="1">
      <alignment horizontal="center"/>
    </xf>
    <xf numFmtId="0" fontId="4" fillId="25" borderId="0" xfId="0" applyFont="1" applyFill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22" fillId="10" borderId="0" xfId="5" applyFont="1" applyFill="1" applyAlignment="1">
      <alignment horizontal="center" wrapText="1"/>
    </xf>
    <xf numFmtId="0" fontId="22" fillId="10" borderId="0" xfId="5" applyFont="1" applyFill="1" applyAlignment="1">
      <alignment horizontal="center"/>
    </xf>
    <xf numFmtId="166" fontId="4" fillId="25" borderId="16" xfId="0" applyNumberFormat="1" applyFont="1" applyFill="1" applyBorder="1" applyAlignment="1">
      <alignment horizontal="center" vertical="center" wrapText="1"/>
    </xf>
    <xf numFmtId="166" fontId="4" fillId="25" borderId="31" xfId="0" applyNumberFormat="1" applyFont="1" applyFill="1" applyBorder="1" applyAlignment="1">
      <alignment horizontal="center" vertical="center" wrapText="1"/>
    </xf>
    <xf numFmtId="166" fontId="4" fillId="25" borderId="30" xfId="0" applyNumberFormat="1" applyFont="1" applyFill="1" applyBorder="1" applyAlignment="1">
      <alignment horizontal="center" vertical="center" wrapText="1"/>
    </xf>
    <xf numFmtId="166" fontId="4" fillId="25" borderId="15" xfId="0" applyNumberFormat="1" applyFont="1" applyFill="1" applyBorder="1" applyAlignment="1">
      <alignment horizontal="center" vertical="center" wrapText="1"/>
    </xf>
    <xf numFmtId="166" fontId="4" fillId="25" borderId="18" xfId="0" applyNumberFormat="1" applyFont="1" applyFill="1" applyBorder="1" applyAlignment="1">
      <alignment horizontal="center" vertical="center" wrapText="1"/>
    </xf>
    <xf numFmtId="166" fontId="4" fillId="25" borderId="20" xfId="0" applyNumberFormat="1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30" fillId="30" borderId="41" xfId="10" applyFont="1" applyBorder="1" applyAlignment="1">
      <alignment horizontal="center"/>
    </xf>
    <xf numFmtId="0" fontId="30" fillId="30" borderId="43" xfId="10" applyFont="1" applyBorder="1" applyAlignment="1">
      <alignment horizontal="center"/>
    </xf>
    <xf numFmtId="0" fontId="30" fillId="30" borderId="42" xfId="10" applyFont="1" applyBorder="1" applyAlignment="1">
      <alignment horizontal="center"/>
    </xf>
    <xf numFmtId="0" fontId="30" fillId="30" borderId="13" xfId="10" applyFont="1" applyBorder="1" applyAlignment="1">
      <alignment horizontal="center"/>
    </xf>
    <xf numFmtId="0" fontId="30" fillId="30" borderId="14" xfId="10" applyFont="1" applyBorder="1" applyAlignment="1">
      <alignment horizontal="center"/>
    </xf>
    <xf numFmtId="0" fontId="30" fillId="30" borderId="15" xfId="10" applyFont="1" applyBorder="1" applyAlignment="1">
      <alignment horizontal="center"/>
    </xf>
    <xf numFmtId="0" fontId="31" fillId="30" borderId="46" xfId="10" applyBorder="1" applyAlignment="1">
      <alignment horizontal="center"/>
    </xf>
    <xf numFmtId="0" fontId="31" fillId="30" borderId="47" xfId="10" applyBorder="1" applyAlignment="1">
      <alignment horizontal="center"/>
    </xf>
    <xf numFmtId="0" fontId="31" fillId="30" borderId="48" xfId="10" applyBorder="1" applyAlignment="1">
      <alignment horizontal="center"/>
    </xf>
  </cellXfs>
  <cellStyles count="13">
    <cellStyle name="20% - Accent1" xfId="11" builtinId="30"/>
    <cellStyle name="60% - Accent1" xfId="12" builtinId="32"/>
    <cellStyle name="Accent1" xfId="10" builtinId="29"/>
    <cellStyle name="Comma" xfId="1" builtinId="3"/>
    <cellStyle name="Comma 2 2" xfId="6" xr:uid="{383D816C-6151-4FEC-842E-078394A0A2FB}"/>
    <cellStyle name="Currency" xfId="2" builtinId="4"/>
    <cellStyle name="Hyperlink" xfId="4" xr:uid="{00000000-000B-0000-0000-000008000000}"/>
    <cellStyle name="Hyperlink 2" xfId="9" xr:uid="{31E17388-BC0E-F143-81BD-0CDCC099E7B8}"/>
    <cellStyle name="Normal" xfId="0" builtinId="0"/>
    <cellStyle name="Normal 2" xfId="5" xr:uid="{CF0FD529-3B9C-4D57-9BEA-E860ECA5ED87}"/>
    <cellStyle name="Normal 3" xfId="8" xr:uid="{1E75C901-6CF0-4A48-BA64-216601DC2EBD}"/>
    <cellStyle name="Percent" xfId="3" builtinId="5"/>
    <cellStyle name="Percent 2 2" xfId="7" xr:uid="{2E299513-DDEF-462E-9F22-B6B366AE8E96}"/>
  </cellStyles>
  <dxfs count="0"/>
  <tableStyles count="0" defaultTableStyle="TableStyleMedium2" defaultPivotStyle="PivotStyleLight16"/>
  <colors>
    <mruColors>
      <color rgb="FFB4C6E7"/>
      <color rgb="FFC5D6E0"/>
      <color rgb="FFA2AEE8"/>
      <color rgb="FF3C47C7"/>
      <color rgb="FF646EE3"/>
      <color rgb="FF5C6FD3"/>
      <color rgb="FFA89DBF"/>
      <color rgb="FF27103B"/>
      <color rgb="FF664482"/>
      <color rgb="FF5C71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Demand</a:t>
            </a:r>
            <a:r>
              <a:rPr lang="en-US" b="1" baseline="0"/>
              <a:t> Curve</a:t>
            </a:r>
          </a:p>
        </c:rich>
      </c:tx>
      <c:layout>
        <c:manualLayout>
          <c:xMode val="edge"/>
          <c:yMode val="edge"/>
          <c:x val="0.33444233112913452"/>
          <c:y val="4.561189851268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13228477854536"/>
                  <c:y val="-0.6104482939632546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-0.0104x + 0.5157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'Purchase Intent and Price'!$B$16:$B$20</c:f>
              <c:numCache>
                <c:formatCode>"$"#,##0_);[Red]\("$"#,##0\)</c:formatCode>
                <c:ptCount val="5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</c:numCache>
            </c:numRef>
          </c:xVal>
          <c:yVal>
            <c:numRef>
              <c:f>'Purchase Intent and Price'!$C$16:$C$20</c:f>
              <c:numCache>
                <c:formatCode>0.00%</c:formatCode>
                <c:ptCount val="5"/>
                <c:pt idx="0">
                  <c:v>0.25370370370370371</c:v>
                </c:pt>
                <c:pt idx="1">
                  <c:v>0.20277777777777775</c:v>
                </c:pt>
                <c:pt idx="2">
                  <c:v>0.15277777777777779</c:v>
                </c:pt>
                <c:pt idx="3">
                  <c:v>0.10648148148148148</c:v>
                </c:pt>
                <c:pt idx="4">
                  <c:v>4.1666666666666664E-2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0-403E-B5C7-60F1C36D8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635631"/>
        <c:axId val="238903807"/>
      </c:scatterChart>
      <c:valAx>
        <c:axId val="167063563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Retail 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3807"/>
        <c:crosses val="autoZero"/>
        <c:crossBetween val="midCat"/>
      </c:valAx>
      <c:valAx>
        <c:axId val="238903807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Purchase Intent</a:t>
                </a:r>
              </a:p>
            </c:rich>
          </c:tx>
          <c:layout>
            <c:manualLayout>
              <c:xMode val="edge"/>
              <c:yMode val="edge"/>
              <c:x val="2.2222297320131121E-2"/>
              <c:y val="0.21682652504007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in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635631"/>
        <c:crosses val="autoZero"/>
        <c:crossBetween val="midCat"/>
        <c:majorUnit val="5.000000000000001E-2"/>
        <c:min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Profile of the Retail Environment</a:t>
            </a:r>
          </a:p>
        </c:rich>
      </c:tx>
      <c:layout>
        <c:manualLayout>
          <c:xMode val="edge"/>
          <c:yMode val="edge"/>
          <c:x val="0.304999043993673"/>
          <c:y val="1.33216708137643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BB5BC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94-49FF-8931-5CF78C687184}"/>
              </c:ext>
            </c:extLst>
          </c:dPt>
          <c:dPt>
            <c:idx val="1"/>
            <c:bubble3D val="0"/>
            <c:spPr>
              <a:solidFill>
                <a:srgbClr val="6554C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94-49FF-8931-5CF78C687184}"/>
              </c:ext>
            </c:extLst>
          </c:dPt>
          <c:dPt>
            <c:idx val="2"/>
            <c:bubble3D val="0"/>
            <c:spPr>
              <a:solidFill>
                <a:srgbClr val="A89DB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94-49FF-8931-5CF78C687184}"/>
              </c:ext>
            </c:extLst>
          </c:dPt>
          <c:dPt>
            <c:idx val="3"/>
            <c:bubble3D val="0"/>
            <c:spPr>
              <a:solidFill>
                <a:srgbClr val="8C3D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E94-49FF-8931-5CF78C687184}"/>
              </c:ext>
            </c:extLst>
          </c:dPt>
          <c:dPt>
            <c:idx val="4"/>
            <c:bubble3D val="0"/>
            <c:spPr>
              <a:solidFill>
                <a:srgbClr val="5E1C5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E94-49FF-8931-5CF78C687184}"/>
              </c:ext>
            </c:extLst>
          </c:dPt>
          <c:dPt>
            <c:idx val="5"/>
            <c:bubble3D val="0"/>
            <c:spPr>
              <a:solidFill>
                <a:srgbClr val="7686E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E94-49FF-8931-5CF78C6871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('Profile of Retail Environment'!$B$9,'Profile of Retail Environment'!$B$13:$B$14,'Profile of Retail Environment'!$B$16,'Profile of Retail Environment'!$B$23,'Profile of Retail Environment'!$B$28)</c:f>
              <c:strCache>
                <c:ptCount val="6"/>
                <c:pt idx="0">
                  <c:v>Department Stores</c:v>
                </c:pt>
                <c:pt idx="1">
                  <c:v>Online</c:v>
                </c:pt>
                <c:pt idx="2">
                  <c:v>Mass Merchandisers</c:v>
                </c:pt>
                <c:pt idx="3">
                  <c:v>Independent Stores</c:v>
                </c:pt>
                <c:pt idx="4">
                  <c:v>Chain Stores</c:v>
                </c:pt>
                <c:pt idx="5">
                  <c:v>Other</c:v>
                </c:pt>
              </c:strCache>
            </c:strRef>
          </c:cat>
          <c:val>
            <c:numRef>
              <c:f>('Profile of Retail Environment'!$C$9,'Profile of Retail Environment'!$C$13:$C$14,'Profile of Retail Environment'!$C$16,'Profile of Retail Environment'!$C$23,'Profile of Retail Environment'!$C$28)</c:f>
              <c:numCache>
                <c:formatCode>0.00%</c:formatCode>
                <c:ptCount val="6"/>
                <c:pt idx="0">
                  <c:v>0.113</c:v>
                </c:pt>
                <c:pt idx="1">
                  <c:v>0.12</c:v>
                </c:pt>
                <c:pt idx="2">
                  <c:v>0.49399999999999999</c:v>
                </c:pt>
                <c:pt idx="3">
                  <c:v>6.4000000000000001E-2</c:v>
                </c:pt>
                <c:pt idx="4">
                  <c:v>0.17299999999999999</c:v>
                </c:pt>
                <c:pt idx="5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121-4265-9D49-2B7F3E3C7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161925</xdr:rowOff>
    </xdr:from>
    <xdr:to>
      <xdr:col>16</xdr:col>
      <xdr:colOff>9525</xdr:colOff>
      <xdr:row>28</xdr:row>
      <xdr:rowOff>85725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496FA74-B2C7-0CE4-7C76-B29B7FB7F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1362075</xdr:colOff>
      <xdr:row>5</xdr:row>
      <xdr:rowOff>0</xdr:rowOff>
    </xdr:from>
    <xdr:to>
      <xdr:col>13</xdr:col>
      <xdr:colOff>171450</xdr:colOff>
      <xdr:row>28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DEB0F4E1-CA65-3B30-F06C-8D68DE8B2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uelinemedia.com/bus-advertising/miami-fl" TargetMode="External"/><Relationship Id="rId13" Type="http://schemas.openxmlformats.org/officeDocument/2006/relationships/hyperlink" Target="https://www.bluelinemedia.com/bus-advertising/san-francisco-ca" TargetMode="External"/><Relationship Id="rId18" Type="http://schemas.openxmlformats.org/officeDocument/2006/relationships/hyperlink" Target="https://www.bluelinemedia.com/bus-advertising/buffalo-ny" TargetMode="External"/><Relationship Id="rId3" Type="http://schemas.openxmlformats.org/officeDocument/2006/relationships/hyperlink" Target="https://www.bluelinemedia.com/bus-advertising/baltimore-md" TargetMode="External"/><Relationship Id="rId7" Type="http://schemas.openxmlformats.org/officeDocument/2006/relationships/hyperlink" Target="https://www.bluelinemedia.com/outdoor-advertising/chicago-il" TargetMode="External"/><Relationship Id="rId12" Type="http://schemas.openxmlformats.org/officeDocument/2006/relationships/hyperlink" Target="https://www.bluelinemedia.com/bus-advertising/dallas-tx" TargetMode="External"/><Relationship Id="rId17" Type="http://schemas.openxmlformats.org/officeDocument/2006/relationships/hyperlink" Target="https://www.bluelinemedia.com/bus-advertising/atlanta-ga" TargetMode="External"/><Relationship Id="rId2" Type="http://schemas.openxmlformats.org/officeDocument/2006/relationships/hyperlink" Target="https://www.bluelinemedia.com/bus-advertising/salt-lake-city-ut" TargetMode="External"/><Relationship Id="rId16" Type="http://schemas.openxmlformats.org/officeDocument/2006/relationships/hyperlink" Target="https://www.bluelinemedia.com/bus-advertising/phoenix-az" TargetMode="External"/><Relationship Id="rId1" Type="http://schemas.openxmlformats.org/officeDocument/2006/relationships/hyperlink" Target="https://www.bluelinemedia.com/bus-advertising/pittsburgh-pa" TargetMode="External"/><Relationship Id="rId6" Type="http://schemas.openxmlformats.org/officeDocument/2006/relationships/hyperlink" Target="https://www.bluelinemedia.com/bus-advertising/los-angeles-ca" TargetMode="External"/><Relationship Id="rId11" Type="http://schemas.openxmlformats.org/officeDocument/2006/relationships/hyperlink" Target="https://www.bluelinemedia.com/bus-advertising/fort-lauderdale-fl" TargetMode="External"/><Relationship Id="rId5" Type="http://schemas.openxmlformats.org/officeDocument/2006/relationships/hyperlink" Target="https://www.bluelinemedia.com/bus-advertising/philadelphia-pa" TargetMode="External"/><Relationship Id="rId15" Type="http://schemas.openxmlformats.org/officeDocument/2006/relationships/hyperlink" Target="https://www.bluelinemedia.com/bus-advertising/austin-tx" TargetMode="External"/><Relationship Id="rId10" Type="http://schemas.openxmlformats.org/officeDocument/2006/relationships/hyperlink" Target="https://www.bluelinemedia.com/outdoor-advertising/houston-tx" TargetMode="External"/><Relationship Id="rId19" Type="http://schemas.openxmlformats.org/officeDocument/2006/relationships/hyperlink" Target="https://www.billboardsin.com/market/boulder-colorado/transit-advertising/" TargetMode="External"/><Relationship Id="rId4" Type="http://schemas.openxmlformats.org/officeDocument/2006/relationships/hyperlink" Target="https://www.bluelinemedia.com/bus-advertising/new-york-city-ny" TargetMode="External"/><Relationship Id="rId9" Type="http://schemas.openxmlformats.org/officeDocument/2006/relationships/hyperlink" Target="https://www.bluelinemedia.com/bus-advertising/las-vegas-nv" TargetMode="External"/><Relationship Id="rId14" Type="http://schemas.openxmlformats.org/officeDocument/2006/relationships/hyperlink" Target="https://www.bluelinemedia.com/bus-advertising/seattle-w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ppia.com/sur-la-table-careers-40134/revenue/" TargetMode="External"/><Relationship Id="rId13" Type="http://schemas.openxmlformats.org/officeDocument/2006/relationships/hyperlink" Target="https://www.zoominfo.com/c/kitchen-outfitters/354326393" TargetMode="External"/><Relationship Id="rId3" Type="http://schemas.openxmlformats.org/officeDocument/2006/relationships/hyperlink" Target="https://investor.dillards.com/financial-information/annual-report-and-proxy/default.aspx" TargetMode="External"/><Relationship Id="rId7" Type="http://schemas.openxmlformats.org/officeDocument/2006/relationships/hyperlink" Target="https://growjo.com/company/WoodSpoon" TargetMode="External"/><Relationship Id="rId12" Type="http://schemas.openxmlformats.org/officeDocument/2006/relationships/hyperlink" Target="https://www.zoominfo.com/c/leroux-kitchen/347255725" TargetMode="External"/><Relationship Id="rId2" Type="http://schemas.openxmlformats.org/officeDocument/2006/relationships/hyperlink" Target="https://corporate.target.com/investors/annual/2022-annual-report" TargetMode="External"/><Relationship Id="rId1" Type="http://schemas.openxmlformats.org/officeDocument/2006/relationships/hyperlink" Target="https://www.zippia.com/ge-capital-montgomery-ward-careers-24335/revenue/" TargetMode="External"/><Relationship Id="rId6" Type="http://schemas.openxmlformats.org/officeDocument/2006/relationships/hyperlink" Target="https://growjo.com/company/Chefs_Toys" TargetMode="External"/><Relationship Id="rId11" Type="http://schemas.openxmlformats.org/officeDocument/2006/relationships/hyperlink" Target="https://ir.williams-sonomainc.com/investor-information/news-releases/news-release-details/2023/Williams-Sonoma-Inc.-announces-record-fiscal-year-2022-revenues--earnings/default.aspx" TargetMode="External"/><Relationship Id="rId5" Type="http://schemas.openxmlformats.org/officeDocument/2006/relationships/hyperlink" Target="https://www.news-leader.com/story/news/business/2017/04/16/everything-kitchens-constructing-33-million-warehouse-republic/100376206/" TargetMode="External"/><Relationship Id="rId10" Type="http://schemas.openxmlformats.org/officeDocument/2006/relationships/hyperlink" Target="https://ir.kroger.com/financials/annual-reports/" TargetMode="External"/><Relationship Id="rId4" Type="http://schemas.openxmlformats.org/officeDocument/2006/relationships/hyperlink" Target="https://www.macysinc.com/investors/financials/annual-reports-and-proxy-statements/default.aspx" TargetMode="External"/><Relationship Id="rId9" Type="http://schemas.openxmlformats.org/officeDocument/2006/relationships/hyperlink" Target="https://growjo.com/company/Le_Creuset" TargetMode="External"/><Relationship Id="rId14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line.com/Product/Detail/H-6903/Heavy-Duty-Gravity-Roller-Conveyors/Gravity-Roller-Conveyor-Heavy-Duty-36-x-10?pricode=WA9552&amp;gadtype=pla&amp;id=H-6903&amp;gad_source=1&amp;gclid=CjwKCAjw8diwBhAbEiwA7i_sJTjBf06iLKAZ43E87j7mXErv2VNrof9BNeebtnbvFVlX7WOfcRXB1RoCqRMQAvD_Bw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racle.com/en/cloud/saas/supply-chain-and-manufacturing/24a/faumf/how-you-print-labels.html" TargetMode="External"/><Relationship Id="rId2" Type="http://schemas.openxmlformats.org/officeDocument/2006/relationships/hyperlink" Target="https://www.oracle.com/erp/" TargetMode="External"/><Relationship Id="rId1" Type="http://schemas.openxmlformats.org/officeDocument/2006/relationships/hyperlink" Target="https://www.microsoft.com/en-us/microsoft-365/business" TargetMode="External"/><Relationship Id="rId4" Type="http://schemas.openxmlformats.org/officeDocument/2006/relationships/hyperlink" Target="https://www.shopify.com/pricing?term=shopify%20pricing&amp;adid=565799981884&amp;campaignid=15436644439&amp;branded_enterprise=1&amp;BOID=brand&amp;utm_medium=cpc&amp;utm_source=google&amp;gad_source=1&amp;gclid=Cj0KCQjwqpSwBhClARIsADlZ_TllAqP1Vrq2nIVN9PP7cQezFMPACb5noQM7hiGI_q3jStIqzKvLM4MaAoWdEALw_wcB&amp;cmadid=516586854;cmadvertiserid=10730501;cmcampaignid=26990768;cmplacementid=324494812;cmcreativeid=163722649;cmsiteid=550001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precruiter.com/Salaries/Factory-Worker-Salary--in-Missouri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New-Washing-Pot-Brush-Creative-Kitchen_1600990401396.html?spm=a2700.wholesale.you_may_like.4.356671c7LMUFbF" TargetMode="External"/><Relationship Id="rId2" Type="http://schemas.openxmlformats.org/officeDocument/2006/relationships/hyperlink" Target="https://www.springsfast.com/products/compression-springs/part-detail-compression-spring/?part=4016" TargetMode="External"/><Relationship Id="rId1" Type="http://schemas.openxmlformats.org/officeDocument/2006/relationships/hyperlink" Target="https://www.uline.com/BL_8926/Suction-Cups?pricode=WT475&amp;AdKeyword=suctioncups&amp;AdMatchtype=e&amp;gad_source=1&amp;gclid=CjwKCAiA29auBhBxEiwAnKcSqqkXDK7GwFkVfYtAUGZizwI0dGfs5dkoZnutG6VPiUnHQvqOqk2ALxoCZIsQAvD_BwE" TargetMode="External"/><Relationship Id="rId6" Type="http://schemas.openxmlformats.org/officeDocument/2006/relationships/hyperlink" Target="https://www.alibaba.com/product-detail/Professional-Supplier-PVC-Brush-Filament-PVC_1600620010320.html?s=p" TargetMode="External"/><Relationship Id="rId5" Type="http://schemas.openxmlformats.org/officeDocument/2006/relationships/hyperlink" Target="https://www.alibaba.com/product-detail/Ready-to-Ship-608ZZ-608-608Z_1600390687740.html?spm=a2700.galleryofferlist.normal_offer.d_title.1bed18ceKZPMpa" TargetMode="External"/><Relationship Id="rId4" Type="http://schemas.openxmlformats.org/officeDocument/2006/relationships/hyperlink" Target="https://foamworld.en.made-in-china.com/product/qdrAshEUHORJ/China-High-Density-Original-Abrasive-Kitchen-Thick-Sponge-Wholesale-Melamine-Magic-Foam.html?pv_id=1hr1tsjvc8a&amp;faw_id=1hr1u02mse5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opnet.com/Listing/2006-E-Garwood-Ave-Sikeston-MO/22304923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B91D-936D-4F39-84D0-59C39F47B45D}">
  <sheetPr>
    <tabColor theme="0" tint="-0.249977111117893"/>
  </sheetPr>
  <dimension ref="A1:D33"/>
  <sheetViews>
    <sheetView tabSelected="1" zoomScale="97" workbookViewId="0">
      <selection activeCell="D7" sqref="D7"/>
    </sheetView>
  </sheetViews>
  <sheetFormatPr defaultRowHeight="15" customHeight="1"/>
  <cols>
    <col min="2" max="2" width="26.88671875" bestFit="1" customWidth="1"/>
    <col min="3" max="3" width="27.44140625" bestFit="1" customWidth="1"/>
    <col min="4" max="4" width="22.33203125" bestFit="1" customWidth="1"/>
    <col min="6" max="6" width="26.88671875" bestFit="1" customWidth="1"/>
    <col min="7" max="7" width="26.6640625" bestFit="1" customWidth="1"/>
    <col min="8" max="8" width="22.33203125" bestFit="1" customWidth="1"/>
  </cols>
  <sheetData>
    <row r="1" spans="1:4" ht="28.8">
      <c r="A1" s="1" t="s">
        <v>0</v>
      </c>
    </row>
    <row r="3" spans="1:4" ht="14.4">
      <c r="B3" s="1183" t="s">
        <v>1</v>
      </c>
      <c r="C3" s="1197" t="s">
        <v>2</v>
      </c>
      <c r="D3" s="1194" t="s">
        <v>3</v>
      </c>
    </row>
    <row r="4" spans="1:4" ht="14.4">
      <c r="B4" s="1136" t="s">
        <v>4</v>
      </c>
      <c r="C4" s="63" t="s">
        <v>5</v>
      </c>
      <c r="D4" s="1137" t="s">
        <v>6</v>
      </c>
    </row>
    <row r="5" spans="1:4" ht="14.4">
      <c r="B5" s="1136" t="s">
        <v>7</v>
      </c>
      <c r="C5" s="63" t="s">
        <v>8</v>
      </c>
      <c r="D5" s="1137" t="s">
        <v>9</v>
      </c>
    </row>
    <row r="6" spans="1:4" ht="14.4">
      <c r="B6" s="1136" t="s">
        <v>10</v>
      </c>
      <c r="C6" s="63" t="s">
        <v>11</v>
      </c>
      <c r="D6" s="1137" t="s">
        <v>12</v>
      </c>
    </row>
    <row r="7" spans="1:4" ht="14.4">
      <c r="B7" s="1136" t="s">
        <v>13</v>
      </c>
      <c r="C7" s="63" t="s">
        <v>14</v>
      </c>
      <c r="D7" s="1137" t="s">
        <v>15</v>
      </c>
    </row>
    <row r="8" spans="1:4" ht="14.4">
      <c r="B8" s="1136" t="s">
        <v>16</v>
      </c>
      <c r="C8" s="63" t="s">
        <v>17</v>
      </c>
      <c r="D8" s="1137" t="s">
        <v>18</v>
      </c>
    </row>
    <row r="9" spans="1:4" ht="14.4">
      <c r="B9" s="44"/>
      <c r="C9" s="63" t="s">
        <v>19</v>
      </c>
      <c r="D9" s="1137" t="s">
        <v>20</v>
      </c>
    </row>
    <row r="10" spans="1:4" ht="14.4">
      <c r="B10" s="44"/>
      <c r="C10" s="63" t="s">
        <v>21</v>
      </c>
      <c r="D10" s="1137" t="s">
        <v>22</v>
      </c>
    </row>
    <row r="11" spans="1:4" ht="14.4">
      <c r="B11" s="44"/>
      <c r="C11" s="63" t="s">
        <v>23</v>
      </c>
      <c r="D11" s="1137" t="s">
        <v>24</v>
      </c>
    </row>
    <row r="12" spans="1:4" ht="14.4">
      <c r="B12" s="44"/>
      <c r="C12" s="63" t="s">
        <v>25</v>
      </c>
      <c r="D12" s="50"/>
    </row>
    <row r="13" spans="1:4" ht="14.4">
      <c r="B13" s="44"/>
      <c r="C13" s="63" t="s">
        <v>26</v>
      </c>
      <c r="D13" s="50"/>
    </row>
    <row r="14" spans="1:4" ht="14.4">
      <c r="B14" s="44"/>
      <c r="C14" s="63" t="s">
        <v>27</v>
      </c>
      <c r="D14" s="50"/>
    </row>
    <row r="15" spans="1:4" ht="14.4">
      <c r="B15" s="44"/>
      <c r="C15" s="63" t="s">
        <v>28</v>
      </c>
      <c r="D15" s="50"/>
    </row>
    <row r="16" spans="1:4" ht="14.4">
      <c r="B16" s="51"/>
      <c r="C16" s="31" t="s">
        <v>29</v>
      </c>
      <c r="D16" s="61"/>
    </row>
    <row r="17" spans="2:2" ht="14.4"/>
    <row r="18" spans="2:2" ht="14.4"/>
    <row r="19" spans="2:2" ht="14.4"/>
    <row r="20" spans="2:2" ht="14.4"/>
    <row r="21" spans="2:2" ht="14.4"/>
    <row r="22" spans="2:2" ht="14.4"/>
    <row r="23" spans="2:2" ht="14.4"/>
    <row r="24" spans="2:2" ht="14.4">
      <c r="B24" s="284"/>
    </row>
    <row r="26" spans="2:2" ht="14.4"/>
    <row r="27" spans="2:2" ht="14.4"/>
    <row r="28" spans="2:2" ht="14.4"/>
    <row r="29" spans="2:2" ht="14.4"/>
    <row r="30" spans="2:2" ht="14.4"/>
    <row r="31" spans="2:2" ht="14.4"/>
    <row r="32" spans="2:2" ht="14.4"/>
    <row r="33" ht="14.4"/>
  </sheetData>
  <hyperlinks>
    <hyperlink ref="B4" location="'BASES Model'!A1" display="BASES Model" xr:uid="{579863FC-6E2E-4D69-A306-56D126B65AAC}"/>
    <hyperlink ref="B8" location="'Profile of Retail Environment'!A1" display="Profile of Retail Environment" xr:uid="{C0CA8A4D-A75C-4D53-8677-7EDAE2C90908}"/>
    <hyperlink ref="B7" location="'Distribution Reach'!A1" display="Distribution Reach" xr:uid="{1637D29D-4E73-4E53-9254-D6974881DA33}"/>
    <hyperlink ref="C4" location="'Operations Assumptions'!A1" display="Operations Assumptions" xr:uid="{E38218AF-A725-4D39-B990-875FD6091888}"/>
    <hyperlink ref="C14" location="'COGS'!A1" display="COGS" xr:uid="{9A0362D0-C0D2-40C8-91D8-BBB0CDA59F72}"/>
    <hyperlink ref="C15" location="'Bill of Materials'!A1" display="Bill of Materials" xr:uid="{6B3C6F32-34C1-48E9-B33F-28C5942E08E9}"/>
    <hyperlink ref="C8" location="'Logistics &amp; Transportation'!A1" display="Logistics &amp; Transportation" xr:uid="{68C93B72-FABA-4869-A937-2857195A9F9E}"/>
    <hyperlink ref="C12" location="'Manufacturing Overhead'!A1" display="Manufacturing Overhead" xr:uid="{F4765EA8-456F-45DA-A7FB-02A84656EFD4}"/>
    <hyperlink ref="C9" location="'Capital Expenditures'!A1" display="Capital Expenditure" xr:uid="{DB9132F1-C5CC-453D-B64E-A77D28FA2999}"/>
    <hyperlink ref="D4" location="'FE Assumptions'!A1" display="FE Assumptions" xr:uid="{BACF192D-6A17-4C17-B085-E715E4BC2133}"/>
    <hyperlink ref="D5" location="'FE Income Statement'!A1" display="FE Income Statement" xr:uid="{541FFC03-3F4D-4347-8672-CB2C96E7213B}"/>
    <hyperlink ref="D6" location="'FE Balance Sheet'!A1" display="FE Balance Sheet" xr:uid="{BD1FE218-34CC-4440-A832-B526C0F18944}"/>
    <hyperlink ref="D7" location="'FE Cash Flow'!A1" display="FE Cash Flow" xr:uid="{73026A2A-D6A0-4315-839B-1B3B90890FF0}"/>
    <hyperlink ref="D10" location="'Comparable Companies'!A1" display="Comparable Companies" xr:uid="{A09346F8-9217-4995-BC25-9EDEAC0400FE}"/>
    <hyperlink ref="D8" location="'Depreciation V2'!A1" display="Depreciation Schedule" xr:uid="{30B46220-312B-4E12-87D7-4263504030C1}"/>
    <hyperlink ref="C5" location="'Time 0 Startup Inventory'!A1" display="Time 0 Startup Inventory" xr:uid="{87744B20-4311-4CA1-B478-5C7A55B5CF85}"/>
    <hyperlink ref="C6" location="'Production Capacity Analysis'!A1" display="Production Capacity Analysis" xr:uid="{5E9AC2B6-2048-4713-9690-3CFC3E18CA36}"/>
    <hyperlink ref="C13" location="'Labor Planning'!A1" display="Labor Planning" xr:uid="{7887C73E-69B0-4F0F-A248-2E97DD474B07}"/>
    <hyperlink ref="C11" location="'General and Administrative'!A1" display="General and Administrative" xr:uid="{5F0903D8-51CB-41F8-A947-EC0FAB7DCCBD}"/>
    <hyperlink ref="C16" location="'Location Analysis'!A1" display="Location Analysis" xr:uid="{4C0161E7-503D-4773-89B3-8E85FCC8EAC4}"/>
    <hyperlink ref="C7" location="'Inventory Management'!A1" display="Inventory Management" xr:uid="{E4270F6D-694C-4112-A541-88F354094B01}"/>
    <hyperlink ref="C10" location="'Information Systems Expense'!A1" display="Information Systems Expense" xr:uid="{F1C7B708-B5EF-4228-B437-BB3AF93AD86E}"/>
    <hyperlink ref="B5" location="'Purchase Intent and Price'!A1" display="Purchase Intent &amp; Price" xr:uid="{933AEDEC-A5D3-4D6A-A3B4-7CFF62E6D1AE}"/>
    <hyperlink ref="B6" location="'IMC Schedule'!A1" display="IMC Schedule" xr:uid="{E1BDCE63-E527-434C-B47C-831C0C9CB9C6}"/>
    <hyperlink ref="D9" location="'AR&amp;AP Calculations '!A1" display="AR&amp;AP Calculations" xr:uid="{09367A1A-E7B0-4746-9AD6-A8A1610DAF3E}"/>
    <hyperlink ref="D11" location="'Financial Ratios '!A1" display="Financial Ratios" xr:uid="{1C4DE396-A963-4D91-9C0D-60F414D063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4C39-821D-4100-9B2F-5C7F64E638E4}">
  <sheetPr>
    <tabColor rgb="FFFFC000"/>
  </sheetPr>
  <dimension ref="A1:H40"/>
  <sheetViews>
    <sheetView zoomScaleNormal="100" workbookViewId="0">
      <selection activeCell="J10" sqref="J10"/>
    </sheetView>
  </sheetViews>
  <sheetFormatPr defaultColWidth="8.88671875" defaultRowHeight="14.4"/>
  <cols>
    <col min="2" max="2" width="25" customWidth="1"/>
    <col min="3" max="7" width="14.44140625" customWidth="1"/>
    <col min="8" max="8" width="3.44140625" customWidth="1"/>
    <col min="9" max="9" width="18.88671875" customWidth="1"/>
  </cols>
  <sheetData>
    <row r="1" spans="1:8" ht="28.8">
      <c r="A1" s="1" t="s">
        <v>30</v>
      </c>
    </row>
    <row r="2" spans="1:8" ht="16.5" customHeight="1">
      <c r="A2" s="1143" t="s">
        <v>31</v>
      </c>
    </row>
    <row r="3" spans="1:8">
      <c r="A3" s="284" t="s">
        <v>32</v>
      </c>
    </row>
    <row r="5" spans="1:8">
      <c r="B5" s="1200" t="s">
        <v>33</v>
      </c>
      <c r="C5" s="654">
        <v>1</v>
      </c>
      <c r="D5" s="654">
        <v>2</v>
      </c>
      <c r="E5" s="654">
        <v>3</v>
      </c>
      <c r="F5" s="654">
        <v>4</v>
      </c>
      <c r="G5" s="1201">
        <v>5</v>
      </c>
    </row>
    <row r="6" spans="1:8">
      <c r="B6" s="7" t="s">
        <v>34</v>
      </c>
      <c r="C6" s="3">
        <v>29040000</v>
      </c>
      <c r="D6" s="3">
        <f>C6*(1+D7)-'BASES Model'!C16</f>
        <v>29284348</v>
      </c>
      <c r="E6" s="3">
        <f>D6*(1+E7)-'BASES Model'!D16</f>
        <v>29445522.175999999</v>
      </c>
      <c r="F6" s="3">
        <f>E6*(1+F7)-'BASES Model'!E16</f>
        <v>29546752.442111999</v>
      </c>
      <c r="G6" s="3">
        <f>F6*(1+G7)-'BASES Model'!F16</f>
        <v>29569029.471417341</v>
      </c>
    </row>
    <row r="7" spans="1:8">
      <c r="B7" s="2" t="s">
        <v>35</v>
      </c>
      <c r="C7" s="3">
        <v>0</v>
      </c>
      <c r="D7" s="110">
        <v>1.2E-2</v>
      </c>
      <c r="E7" s="110">
        <v>1.2E-2</v>
      </c>
      <c r="F7" s="110">
        <v>1.2E-2</v>
      </c>
      <c r="G7" s="110">
        <v>1.2E-2</v>
      </c>
    </row>
    <row r="8" spans="1:8">
      <c r="B8" s="2" t="s">
        <v>36</v>
      </c>
      <c r="C8" s="1036">
        <f>'Purchase Intent and Price'!D24</f>
        <v>0.17249999999999999</v>
      </c>
      <c r="D8" s="1036">
        <f>'Purchase Intent and Price'!D25</f>
        <v>0.17722262630233937</v>
      </c>
      <c r="E8" s="1036">
        <f>'Purchase Intent and Price'!D26</f>
        <v>0.18125742869306088</v>
      </c>
      <c r="F8" s="1036">
        <f>'Purchase Intent and Price'!D27</f>
        <v>0.1861872470009408</v>
      </c>
      <c r="G8" s="1036">
        <f>'Purchase Intent and Price'!D28</f>
        <v>0.18764492147910822</v>
      </c>
    </row>
    <row r="9" spans="1:8">
      <c r="B9" s="873" t="s">
        <v>37</v>
      </c>
      <c r="C9" s="1014">
        <f>'IMC Schedule'!T12</f>
        <v>0.14949999999999999</v>
      </c>
      <c r="D9" s="1014">
        <f>'IMC Schedule'!U12</f>
        <v>0.19980000000000001</v>
      </c>
      <c r="E9" s="1014">
        <f>'IMC Schedule'!V12</f>
        <v>0.24979999999999999</v>
      </c>
      <c r="F9" s="1014">
        <f>'IMC Schedule'!W12</f>
        <v>0.29949999999999999</v>
      </c>
      <c r="G9" s="1014">
        <f>'IMC Schedule'!X12</f>
        <v>0.34499999999999997</v>
      </c>
      <c r="H9" s="1158"/>
    </row>
    <row r="10" spans="1:8">
      <c r="B10" s="2" t="s">
        <v>38</v>
      </c>
      <c r="C10" s="1037">
        <f>'Distribution Reach'!C18</f>
        <v>0.13904545454545453</v>
      </c>
      <c r="D10" s="1037">
        <f>'Distribution Reach'!C36</f>
        <v>0.17342045454545454</v>
      </c>
      <c r="E10" s="1037">
        <f>'Distribution Reach'!C58</f>
        <v>0.22288806818181817</v>
      </c>
      <c r="F10" s="1037">
        <f>'Distribution Reach'!C76</f>
        <v>0.27007219545454542</v>
      </c>
      <c r="G10" s="1037">
        <f>'Distribution Reach'!C93</f>
        <v>0.33968702840909087</v>
      </c>
    </row>
    <row r="11" spans="1:8">
      <c r="B11" s="2" t="s">
        <v>39</v>
      </c>
      <c r="C11" s="480">
        <v>1</v>
      </c>
      <c r="D11" s="480">
        <v>1</v>
      </c>
      <c r="E11" s="480">
        <v>1</v>
      </c>
      <c r="F11" s="480">
        <v>1</v>
      </c>
      <c r="G11" s="480">
        <v>1</v>
      </c>
    </row>
    <row r="12" spans="1:8">
      <c r="B12" s="2" t="s">
        <v>40</v>
      </c>
      <c r="C12" s="3">
        <f>C6*C8*C9*C10*C11</f>
        <v>104131.87784999998</v>
      </c>
      <c r="D12" s="3">
        <f t="shared" ref="D12:G12" si="0">D6*D8*D9*D10*D11</f>
        <v>179825.19147806623</v>
      </c>
      <c r="E12" s="3">
        <f t="shared" si="0"/>
        <v>297162.7230258442</v>
      </c>
      <c r="F12" s="3">
        <f t="shared" si="0"/>
        <v>444975.79277508153</v>
      </c>
      <c r="G12" s="3">
        <f t="shared" si="0"/>
        <v>650237.39639070572</v>
      </c>
    </row>
    <row r="13" spans="1:8">
      <c r="B13" s="2" t="s">
        <v>41</v>
      </c>
      <c r="C13" s="2">
        <v>0</v>
      </c>
      <c r="D13" s="260">
        <f>0.1*C12</f>
        <v>10413.187784999998</v>
      </c>
      <c r="E13" s="260">
        <f>0.1*D12</f>
        <v>17982.519147806623</v>
      </c>
      <c r="F13" s="260">
        <f>0.1*E12</f>
        <v>29716.272302584421</v>
      </c>
      <c r="G13" s="260">
        <f>0.1*F12</f>
        <v>44497.579277508157</v>
      </c>
    </row>
    <row r="14" spans="1:8">
      <c r="B14" s="2" t="s">
        <v>42</v>
      </c>
      <c r="C14" s="3">
        <f>C12+C12*C13</f>
        <v>104131.87784999998</v>
      </c>
      <c r="D14" s="3">
        <f>D12+D13</f>
        <v>190238.37926306622</v>
      </c>
      <c r="E14" s="3">
        <f>E12+E13</f>
        <v>315145.24217365083</v>
      </c>
      <c r="F14" s="3">
        <f>F12+F13</f>
        <v>474692.06507766596</v>
      </c>
      <c r="G14" s="3">
        <f>G12+G13</f>
        <v>694734.97566821391</v>
      </c>
    </row>
    <row r="15" spans="1:8">
      <c r="B15" s="2" t="s">
        <v>43</v>
      </c>
      <c r="C15" s="4">
        <v>0</v>
      </c>
      <c r="D15" s="4">
        <v>0</v>
      </c>
      <c r="E15" s="4">
        <v>0.2</v>
      </c>
      <c r="F15" s="4">
        <v>0.3</v>
      </c>
      <c r="G15" s="4">
        <v>0.35</v>
      </c>
    </row>
    <row r="16" spans="1:8">
      <c r="B16" s="7" t="s">
        <v>44</v>
      </c>
      <c r="C16" s="30">
        <f>ROUND('BASES Model'!C14*(1-'BASES Model'!C15),0)</f>
        <v>104132</v>
      </c>
      <c r="D16" s="30">
        <f>ROUND('BASES Model'!D14*(1-'BASES Model'!D15),0)</f>
        <v>190238</v>
      </c>
      <c r="E16" s="30">
        <f>ROUND('BASES Model'!E14*(1-'BASES Model'!E15),0)</f>
        <v>252116</v>
      </c>
      <c r="F16" s="30">
        <f>ROUND('BASES Model'!F14*(1-'BASES Model'!F15),0)</f>
        <v>332284</v>
      </c>
      <c r="G16" s="30">
        <f>ROUND('BASES Model'!G14*(1-'BASES Model'!G15),0)</f>
        <v>451578</v>
      </c>
    </row>
    <row r="17" spans="2:7">
      <c r="B17" s="2" t="s">
        <v>45</v>
      </c>
      <c r="C17" s="5">
        <f>'Distribution Reach'!I13</f>
        <v>19.800000000000004</v>
      </c>
      <c r="D17" s="5">
        <f>'Distribution Reach'!I29</f>
        <v>19.175614310988795</v>
      </c>
      <c r="E17" s="5">
        <f>'Distribution Reach'!I47</f>
        <v>18.642166879523202</v>
      </c>
      <c r="F17" s="5">
        <f>'Distribution Reach'!I69</f>
        <v>17.852193434540055</v>
      </c>
      <c r="G17" s="5">
        <f>'Distribution Reach'!I87</f>
        <v>17.687793391935294</v>
      </c>
    </row>
    <row r="18" spans="2:7">
      <c r="B18" s="7" t="s">
        <v>46</v>
      </c>
      <c r="C18" s="346">
        <f>'BASES Model'!C16*'BASES Model'!C17</f>
        <v>2061813.6000000006</v>
      </c>
      <c r="D18" s="346">
        <f>'BASES Model'!D16*'BASES Model'!D17</f>
        <v>3647930.5152938864</v>
      </c>
      <c r="E18" s="346">
        <f>'BASES Model'!E16*'BASES Model'!E17</f>
        <v>4699988.5449978719</v>
      </c>
      <c r="F18" s="346">
        <f>'BASES Model'!F16*'BASES Model'!F17</f>
        <v>5931998.2432027077</v>
      </c>
      <c r="G18" s="346">
        <f>'BASES Model'!G16*'BASES Model'!G17</f>
        <v>7987418.3643433563</v>
      </c>
    </row>
    <row r="19" spans="2:7">
      <c r="B19" s="69"/>
      <c r="C19" s="347"/>
      <c r="D19" s="347"/>
      <c r="E19" s="347"/>
      <c r="F19" s="347"/>
      <c r="G19" s="347"/>
    </row>
    <row r="20" spans="2:7">
      <c r="B20" s="344"/>
      <c r="C20" s="1210"/>
      <c r="D20" s="32"/>
      <c r="E20" s="23"/>
      <c r="F20" s="23"/>
      <c r="G20" s="23"/>
    </row>
    <row r="21" spans="2:7">
      <c r="C21" s="6"/>
      <c r="D21" s="8"/>
    </row>
    <row r="22" spans="2:7">
      <c r="C22" s="345"/>
      <c r="D22" s="345"/>
      <c r="E22" s="345"/>
      <c r="F22" s="345"/>
      <c r="G22" s="345"/>
    </row>
    <row r="23" spans="2:7">
      <c r="C23" s="6"/>
      <c r="D23" s="8"/>
    </row>
    <row r="24" spans="2:7">
      <c r="B24" s="69"/>
      <c r="C24" s="6"/>
      <c r="D24" s="8"/>
    </row>
    <row r="25" spans="2:7">
      <c r="B25" s="69"/>
      <c r="C25" s="6"/>
      <c r="D25" s="8"/>
    </row>
    <row r="27" spans="2:7">
      <c r="B27" s="1210"/>
      <c r="C27" s="1210"/>
      <c r="D27" s="1210"/>
      <c r="E27" s="1210"/>
      <c r="F27" s="1210"/>
      <c r="G27" s="1210"/>
    </row>
    <row r="28" spans="2:7">
      <c r="B28" s="32"/>
      <c r="C28" s="276"/>
      <c r="D28" s="276"/>
      <c r="E28" s="276"/>
      <c r="F28" s="276"/>
      <c r="G28" s="276"/>
    </row>
    <row r="29" spans="2:7">
      <c r="C29" s="276"/>
      <c r="D29" s="277"/>
      <c r="E29" s="277"/>
      <c r="F29" s="277"/>
      <c r="G29" s="277"/>
    </row>
    <row r="30" spans="2:7">
      <c r="C30" s="23"/>
      <c r="D30" s="23"/>
      <c r="E30" s="23"/>
      <c r="F30" s="23"/>
      <c r="G30" s="23"/>
    </row>
    <row r="31" spans="2:7">
      <c r="C31" s="23"/>
      <c r="D31" s="23"/>
      <c r="E31" s="23"/>
      <c r="F31" s="23"/>
      <c r="G31" s="23"/>
    </row>
    <row r="32" spans="2:7">
      <c r="C32" s="23"/>
      <c r="D32" s="23"/>
      <c r="E32" s="23"/>
      <c r="F32" s="23"/>
      <c r="G32" s="23"/>
    </row>
    <row r="34" spans="2:7">
      <c r="C34" s="276"/>
      <c r="D34" s="276"/>
      <c r="E34" s="276"/>
      <c r="F34" s="276"/>
      <c r="G34" s="276"/>
    </row>
    <row r="35" spans="2:7">
      <c r="D35" s="40"/>
      <c r="E35" s="40"/>
      <c r="F35" s="40"/>
      <c r="G35" s="40"/>
    </row>
    <row r="36" spans="2:7">
      <c r="C36" s="276"/>
      <c r="D36" s="276"/>
      <c r="E36" s="276"/>
      <c r="F36" s="276"/>
      <c r="G36" s="276"/>
    </row>
    <row r="37" spans="2:7">
      <c r="E37" s="8"/>
      <c r="F37" s="8"/>
      <c r="G37" s="8"/>
    </row>
    <row r="38" spans="2:7">
      <c r="B38" s="32"/>
      <c r="C38" s="278"/>
      <c r="D38" s="278"/>
      <c r="E38" s="278"/>
      <c r="F38" s="278"/>
      <c r="G38" s="278"/>
    </row>
    <row r="39" spans="2:7">
      <c r="C39" s="6"/>
      <c r="D39" s="6"/>
      <c r="E39" s="6"/>
      <c r="F39" s="6"/>
      <c r="G39" s="6"/>
    </row>
    <row r="40" spans="2:7">
      <c r="B40" s="32"/>
      <c r="C40" s="279"/>
      <c r="D40" s="279"/>
      <c r="E40" s="279"/>
      <c r="F40" s="279"/>
      <c r="G40" s="279"/>
    </row>
  </sheetData>
  <hyperlinks>
    <hyperlink ref="A3" location="'Index'!A1" display="Back to Index" xr:uid="{E448F880-9FBD-488D-B372-14CA844CC0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2E00-DF35-452A-835E-873C21674167}">
  <sheetPr>
    <tabColor rgb="FFFFC000"/>
  </sheetPr>
  <dimension ref="A1:U84"/>
  <sheetViews>
    <sheetView workbookViewId="0">
      <selection activeCell="J29" sqref="J29"/>
    </sheetView>
  </sheetViews>
  <sheetFormatPr defaultColWidth="8.88671875" defaultRowHeight="14.4"/>
  <cols>
    <col min="1" max="1" width="8.6640625" customWidth="1"/>
    <col min="2" max="2" width="19.5546875" bestFit="1" customWidth="1"/>
    <col min="3" max="3" width="13.44140625" customWidth="1"/>
    <col min="4" max="4" width="13.5546875" bestFit="1" customWidth="1"/>
    <col min="5" max="5" width="13.44140625" customWidth="1"/>
    <col min="6" max="6" width="14.109375" customWidth="1"/>
    <col min="7" max="7" width="20" bestFit="1" customWidth="1"/>
    <col min="8" max="8" width="12.6640625" customWidth="1"/>
    <col min="9" max="9" width="16.88671875" bestFit="1" customWidth="1"/>
    <col min="10" max="10" width="14.88671875" customWidth="1"/>
    <col min="11" max="11" width="14.44140625" customWidth="1"/>
    <col min="12" max="13" width="12.6640625" customWidth="1"/>
  </cols>
  <sheetData>
    <row r="1" spans="1:21" ht="28.8">
      <c r="A1" s="1" t="s">
        <v>47</v>
      </c>
      <c r="S1" s="1"/>
    </row>
    <row r="2" spans="1:21" ht="17.25" customHeight="1">
      <c r="A2" s="1143" t="s">
        <v>48</v>
      </c>
      <c r="S2" s="1144"/>
    </row>
    <row r="3" spans="1:21" ht="14.25" customHeight="1">
      <c r="A3" s="284" t="s">
        <v>32</v>
      </c>
      <c r="S3" s="1"/>
    </row>
    <row r="4" spans="1:21">
      <c r="S4" s="284"/>
    </row>
    <row r="5" spans="1:21">
      <c r="B5" s="61"/>
      <c r="C5" s="1237" t="s">
        <v>49</v>
      </c>
      <c r="D5" s="1237"/>
      <c r="E5" s="1237"/>
      <c r="F5" s="1237"/>
      <c r="G5" s="1237"/>
      <c r="H5" s="1239" t="s">
        <v>50</v>
      </c>
      <c r="I5" s="1239"/>
      <c r="J5" s="1239"/>
      <c r="K5" s="1239"/>
      <c r="L5" s="1239" t="s">
        <v>51</v>
      </c>
      <c r="M5" s="1239"/>
      <c r="N5" s="1239"/>
    </row>
    <row r="6" spans="1:21">
      <c r="B6" s="1213" t="s">
        <v>52</v>
      </c>
      <c r="C6" s="120" t="s">
        <v>53</v>
      </c>
      <c r="D6" s="120" t="s">
        <v>54</v>
      </c>
      <c r="E6" s="120" t="s">
        <v>55</v>
      </c>
      <c r="F6" s="120" t="s">
        <v>56</v>
      </c>
      <c r="G6" s="120" t="s">
        <v>57</v>
      </c>
      <c r="H6" s="118" t="s">
        <v>58</v>
      </c>
      <c r="I6" s="119" t="s">
        <v>57</v>
      </c>
      <c r="J6" s="120" t="s">
        <v>59</v>
      </c>
      <c r="K6" s="120" t="s">
        <v>60</v>
      </c>
      <c r="L6" s="121" t="s">
        <v>61</v>
      </c>
      <c r="M6" s="120" t="s">
        <v>62</v>
      </c>
      <c r="N6" s="122" t="s">
        <v>63</v>
      </c>
    </row>
    <row r="7" spans="1:21">
      <c r="B7" s="207">
        <v>25</v>
      </c>
      <c r="C7" s="906">
        <v>1</v>
      </c>
      <c r="D7" s="907">
        <v>2</v>
      </c>
      <c r="E7" s="907">
        <v>6</v>
      </c>
      <c r="F7" s="907">
        <v>5</v>
      </c>
      <c r="G7" s="908">
        <v>5</v>
      </c>
      <c r="H7" s="113">
        <f>SUM(F7:F$11)</f>
        <v>38</v>
      </c>
      <c r="I7" s="113">
        <f>SUM(G7:G$11)</f>
        <v>20</v>
      </c>
      <c r="J7" s="113">
        <f>0.3*H7</f>
        <v>11.4</v>
      </c>
      <c r="K7" s="113">
        <f>0.8*I7</f>
        <v>16</v>
      </c>
      <c r="L7" s="114">
        <f>SUM(J7:K7)</f>
        <v>27.4</v>
      </c>
      <c r="M7" s="113">
        <f>SUM($C$7:$G$11)</f>
        <v>108</v>
      </c>
      <c r="N7" s="115">
        <f>L7/M7</f>
        <v>0.25370370370370371</v>
      </c>
    </row>
    <row r="8" spans="1:21">
      <c r="B8" s="207">
        <v>30</v>
      </c>
      <c r="C8" s="909">
        <v>0</v>
      </c>
      <c r="D8" s="910">
        <v>3</v>
      </c>
      <c r="E8" s="910">
        <v>4</v>
      </c>
      <c r="F8" s="910">
        <v>10</v>
      </c>
      <c r="G8" s="1070">
        <v>3</v>
      </c>
      <c r="H8" s="94">
        <f>SUM(F8:F$11)</f>
        <v>33</v>
      </c>
      <c r="I8" s="94">
        <f>SUM(G8:G$11)</f>
        <v>15</v>
      </c>
      <c r="J8" s="94">
        <f t="shared" ref="J8:J11" si="0">0.3*H8</f>
        <v>9.9</v>
      </c>
      <c r="K8" s="94">
        <f t="shared" ref="K8:K11" si="1">0.8*I8</f>
        <v>12</v>
      </c>
      <c r="L8" s="116">
        <f t="shared" ref="L8:L11" si="2">SUM(J8:K8)</f>
        <v>21.9</v>
      </c>
      <c r="M8" s="94">
        <f t="shared" ref="M8:M11" si="3">SUM($C$7:$G$11)</f>
        <v>108</v>
      </c>
      <c r="N8" s="1068">
        <f t="shared" ref="N8:N11" si="4">L8/M8</f>
        <v>0.20277777777777775</v>
      </c>
      <c r="Q8" s="261"/>
      <c r="R8" s="261"/>
      <c r="S8" s="261"/>
      <c r="T8" s="261"/>
      <c r="U8" s="261"/>
    </row>
    <row r="9" spans="1:21">
      <c r="B9" s="207">
        <v>35</v>
      </c>
      <c r="C9" s="909">
        <v>0</v>
      </c>
      <c r="D9" s="910">
        <v>4</v>
      </c>
      <c r="E9" s="910">
        <v>8</v>
      </c>
      <c r="F9" s="910">
        <v>6</v>
      </c>
      <c r="G9" s="1070">
        <v>4</v>
      </c>
      <c r="H9" s="94">
        <f>SUM(F9:F$11)</f>
        <v>23</v>
      </c>
      <c r="I9" s="94">
        <f>SUM(G9:G$11)</f>
        <v>12</v>
      </c>
      <c r="J9" s="94">
        <f t="shared" si="0"/>
        <v>6.8999999999999995</v>
      </c>
      <c r="K9" s="94">
        <f t="shared" si="1"/>
        <v>9.6000000000000014</v>
      </c>
      <c r="L9" s="116">
        <f t="shared" si="2"/>
        <v>16.5</v>
      </c>
      <c r="M9" s="94">
        <f t="shared" si="3"/>
        <v>108</v>
      </c>
      <c r="N9" s="1068">
        <f t="shared" si="4"/>
        <v>0.15277777777777779</v>
      </c>
      <c r="Q9" s="261"/>
      <c r="R9" s="261"/>
      <c r="S9" s="261"/>
      <c r="T9" s="261"/>
      <c r="U9" s="261"/>
    </row>
    <row r="10" spans="1:21">
      <c r="B10" s="207">
        <v>40</v>
      </c>
      <c r="C10" s="909">
        <v>1</v>
      </c>
      <c r="D10" s="910">
        <v>4</v>
      </c>
      <c r="E10" s="910">
        <v>4</v>
      </c>
      <c r="F10" s="910">
        <v>10</v>
      </c>
      <c r="G10" s="1070">
        <v>5</v>
      </c>
      <c r="H10" s="94">
        <f>SUM(F10:F$11)</f>
        <v>17</v>
      </c>
      <c r="I10" s="94">
        <f>SUM(G10:G$11)</f>
        <v>8</v>
      </c>
      <c r="J10" s="94">
        <f t="shared" si="0"/>
        <v>5.0999999999999996</v>
      </c>
      <c r="K10" s="94">
        <f t="shared" si="1"/>
        <v>6.4</v>
      </c>
      <c r="L10" s="116">
        <f t="shared" si="2"/>
        <v>11.5</v>
      </c>
      <c r="M10" s="94">
        <f t="shared" si="3"/>
        <v>108</v>
      </c>
      <c r="N10" s="1068">
        <f t="shared" si="4"/>
        <v>0.10648148148148148</v>
      </c>
      <c r="Q10" s="261"/>
      <c r="R10" s="261"/>
      <c r="S10" s="261"/>
      <c r="T10" s="261"/>
      <c r="U10" s="261"/>
    </row>
    <row r="11" spans="1:21">
      <c r="B11" s="208">
        <v>45</v>
      </c>
      <c r="C11" s="911">
        <v>0</v>
      </c>
      <c r="D11" s="912">
        <v>7</v>
      </c>
      <c r="E11" s="912">
        <v>6</v>
      </c>
      <c r="F11" s="912">
        <v>7</v>
      </c>
      <c r="G11" s="913">
        <v>3</v>
      </c>
      <c r="H11" s="112">
        <f>SUM(F11:F$11)</f>
        <v>7</v>
      </c>
      <c r="I11" s="112">
        <f>SUM(G11:G$11)</f>
        <v>3</v>
      </c>
      <c r="J11" s="112">
        <f t="shared" si="0"/>
        <v>2.1</v>
      </c>
      <c r="K11" s="112">
        <f t="shared" si="1"/>
        <v>2.4000000000000004</v>
      </c>
      <c r="L11" s="117">
        <f t="shared" si="2"/>
        <v>4.5</v>
      </c>
      <c r="M11" s="112">
        <f t="shared" si="3"/>
        <v>108</v>
      </c>
      <c r="N11" s="232">
        <f t="shared" si="4"/>
        <v>4.1666666666666664E-2</v>
      </c>
      <c r="Q11" s="261"/>
      <c r="R11" s="261"/>
      <c r="S11" s="261"/>
      <c r="T11" s="261"/>
      <c r="U11" s="261"/>
    </row>
    <row r="12" spans="1:21">
      <c r="Q12" s="261"/>
      <c r="R12" s="261"/>
      <c r="S12" s="261"/>
      <c r="T12" s="261"/>
      <c r="U12" s="261"/>
    </row>
    <row r="13" spans="1:21">
      <c r="C13" s="1238"/>
      <c r="D13" s="1238"/>
      <c r="E13" s="1238"/>
      <c r="F13" s="1238"/>
      <c r="G13" s="1238"/>
    </row>
    <row r="14" spans="1:21" ht="15" customHeight="1">
      <c r="B14" s="1235" t="s">
        <v>52</v>
      </c>
      <c r="C14" s="1241" t="s">
        <v>64</v>
      </c>
      <c r="D14" s="1240" t="s">
        <v>34</v>
      </c>
      <c r="E14" s="1240" t="s">
        <v>65</v>
      </c>
      <c r="F14" s="1240" t="s">
        <v>66</v>
      </c>
      <c r="H14" s="1234" t="s">
        <v>67</v>
      </c>
      <c r="I14" s="1234"/>
    </row>
    <row r="15" spans="1:21">
      <c r="B15" s="1236"/>
      <c r="C15" s="1241"/>
      <c r="D15" s="1240"/>
      <c r="E15" s="1240"/>
      <c r="F15" s="1240"/>
      <c r="H15" s="127" t="s">
        <v>68</v>
      </c>
      <c r="I15" s="50">
        <v>0.51570000000000005</v>
      </c>
    </row>
    <row r="16" spans="1:21">
      <c r="A16" s="23"/>
      <c r="B16" s="206">
        <v>25</v>
      </c>
      <c r="C16" s="804">
        <f>N7</f>
        <v>0.25370370370370371</v>
      </c>
      <c r="D16" s="805">
        <f>'BASES Model'!$C$6</f>
        <v>29040000</v>
      </c>
      <c r="E16" s="805">
        <f>D16*C16</f>
        <v>7367555.555555556</v>
      </c>
      <c r="F16" s="806">
        <f>E16*B16</f>
        <v>184188888.8888889</v>
      </c>
      <c r="H16" s="127" t="s">
        <v>69</v>
      </c>
      <c r="I16" s="605">
        <v>-1.04E-2</v>
      </c>
    </row>
    <row r="17" spans="1:9">
      <c r="A17" s="23"/>
      <c r="B17" s="207">
        <v>30</v>
      </c>
      <c r="C17" s="209">
        <f>N8</f>
        <v>0.20277777777777775</v>
      </c>
      <c r="D17" s="40">
        <f>'BASES Model'!$C$6</f>
        <v>29040000</v>
      </c>
      <c r="E17" s="40">
        <f>D17*C17</f>
        <v>5888666.666666666</v>
      </c>
      <c r="F17" s="123">
        <f t="shared" ref="F17:F20" si="5">E17*B17</f>
        <v>176659999.99999997</v>
      </c>
      <c r="H17" s="1234" t="s">
        <v>70</v>
      </c>
      <c r="I17" s="1234"/>
    </row>
    <row r="18" spans="1:9">
      <c r="A18" s="23"/>
      <c r="B18" s="207">
        <v>35</v>
      </c>
      <c r="C18" s="209">
        <f>N9</f>
        <v>0.15277777777777779</v>
      </c>
      <c r="D18" s="40">
        <f>'BASES Model'!$C$6</f>
        <v>29040000</v>
      </c>
      <c r="E18" s="40">
        <f>D18*C18</f>
        <v>4436666.666666667</v>
      </c>
      <c r="F18" s="123">
        <f t="shared" si="5"/>
        <v>155283333.33333334</v>
      </c>
      <c r="H18" s="127" t="s">
        <v>52</v>
      </c>
      <c r="I18" s="125">
        <v>24.864999999999998</v>
      </c>
    </row>
    <row r="19" spans="1:9">
      <c r="A19" s="23"/>
      <c r="B19" s="207">
        <v>40</v>
      </c>
      <c r="C19" s="209">
        <f>N10</f>
        <v>0.10648148148148148</v>
      </c>
      <c r="D19" s="40">
        <f>'BASES Model'!$C$6</f>
        <v>29040000</v>
      </c>
      <c r="E19" s="40">
        <f>D19*C19</f>
        <v>3092222.2222222225</v>
      </c>
      <c r="F19" s="123">
        <f t="shared" si="5"/>
        <v>123688888.8888889</v>
      </c>
      <c r="H19" s="127" t="s">
        <v>71</v>
      </c>
      <c r="I19" s="126">
        <f>I15+I18*I16</f>
        <v>0.25710400000000005</v>
      </c>
    </row>
    <row r="20" spans="1:9">
      <c r="A20" s="23"/>
      <c r="B20" s="208">
        <v>45</v>
      </c>
      <c r="C20" s="210">
        <f>N11</f>
        <v>4.1666666666666664E-2</v>
      </c>
      <c r="D20" s="81">
        <f>'BASES Model'!$C$6</f>
        <v>29040000</v>
      </c>
      <c r="E20" s="81">
        <f>D20*C20</f>
        <v>1210000</v>
      </c>
      <c r="F20" s="124">
        <f t="shared" si="5"/>
        <v>54450000</v>
      </c>
      <c r="H20" s="128" t="s">
        <v>72</v>
      </c>
      <c r="I20" s="124">
        <f>11620000*I19*I18</f>
        <v>74285392.955200002</v>
      </c>
    </row>
    <row r="22" spans="1:9">
      <c r="H22" s="604"/>
    </row>
    <row r="23" spans="1:9">
      <c r="B23" s="1183" t="s">
        <v>73</v>
      </c>
      <c r="C23" s="1197" t="s">
        <v>52</v>
      </c>
      <c r="D23" s="1194" t="s">
        <v>74</v>
      </c>
    </row>
    <row r="24" spans="1:9">
      <c r="B24" s="132" t="s">
        <v>75</v>
      </c>
      <c r="C24" s="6">
        <f>'Distribution Reach'!K14</f>
        <v>33.000000000000007</v>
      </c>
      <c r="D24" s="126">
        <f>($I$16*C24+$I$15)</f>
        <v>0.17249999999999999</v>
      </c>
      <c r="E24" s="23"/>
      <c r="F24" s="262"/>
      <c r="H24" s="604"/>
    </row>
    <row r="25" spans="1:9">
      <c r="B25" s="132" t="s">
        <v>76</v>
      </c>
      <c r="C25" s="6">
        <f>'Distribution Reach'!K30</f>
        <v>32.545901317082759</v>
      </c>
      <c r="D25" s="126">
        <f t="shared" ref="D25:D28" si="6">($I$16*C25+$I$15)</f>
        <v>0.17722262630233937</v>
      </c>
      <c r="E25" s="23"/>
      <c r="F25" s="262"/>
    </row>
    <row r="26" spans="1:9">
      <c r="B26" s="132" t="s">
        <v>77</v>
      </c>
      <c r="C26" s="6">
        <f>'Distribution Reach'!K48</f>
        <v>32.157939548744153</v>
      </c>
      <c r="D26" s="126">
        <f t="shared" si="6"/>
        <v>0.18125742869306088</v>
      </c>
      <c r="E26" s="23"/>
      <c r="F26" s="262"/>
    </row>
    <row r="27" spans="1:9">
      <c r="B27" s="132" t="s">
        <v>78</v>
      </c>
      <c r="C27" s="6">
        <f>'Distribution Reach'!K70</f>
        <v>31.683918557601849</v>
      </c>
      <c r="D27" s="126">
        <f t="shared" si="6"/>
        <v>0.1861872470009408</v>
      </c>
      <c r="E27" s="23"/>
      <c r="F27" s="262"/>
    </row>
    <row r="28" spans="1:9">
      <c r="B28" s="133" t="s">
        <v>79</v>
      </c>
      <c r="C28" s="129">
        <f>'Distribution Reach'!K88</f>
        <v>31.543757550085754</v>
      </c>
      <c r="D28" s="53">
        <f t="shared" si="6"/>
        <v>0.18764492147910822</v>
      </c>
      <c r="E28" s="23"/>
      <c r="F28" s="262"/>
    </row>
    <row r="31" spans="1:9">
      <c r="B31" t="s">
        <v>80</v>
      </c>
    </row>
    <row r="33" spans="2:11" ht="14.4" customHeight="1">
      <c r="B33" s="1232" t="s">
        <v>81</v>
      </c>
      <c r="C33" s="1233"/>
      <c r="D33" s="1233"/>
      <c r="E33" s="1233"/>
      <c r="F33" s="1233"/>
      <c r="G33" s="1233"/>
      <c r="H33" s="1233"/>
      <c r="I33" s="1233"/>
      <c r="J33" s="1233"/>
      <c r="K33" s="1233"/>
    </row>
    <row r="34" spans="2:11">
      <c r="B34" s="107" t="s">
        <v>82</v>
      </c>
      <c r="C34" s="98" t="s">
        <v>83</v>
      </c>
      <c r="D34" s="98" t="s">
        <v>84</v>
      </c>
      <c r="E34" s="107" t="s">
        <v>85</v>
      </c>
      <c r="F34" s="600" t="s">
        <v>86</v>
      </c>
      <c r="G34" s="1035" t="s">
        <v>87</v>
      </c>
      <c r="H34" s="107" t="s">
        <v>88</v>
      </c>
      <c r="I34" s="107" t="s">
        <v>89</v>
      </c>
      <c r="J34" s="98" t="s">
        <v>90</v>
      </c>
      <c r="K34" s="1035" t="s">
        <v>91</v>
      </c>
    </row>
    <row r="35" spans="2:11">
      <c r="B35" s="49" t="s">
        <v>92</v>
      </c>
      <c r="C35" s="49">
        <v>1</v>
      </c>
      <c r="D35" s="49">
        <v>14</v>
      </c>
      <c r="E35" s="49">
        <v>19</v>
      </c>
      <c r="F35" s="88">
        <v>30</v>
      </c>
      <c r="G35">
        <v>17</v>
      </c>
      <c r="H35" s="88">
        <f>SUM(C35:G35)</f>
        <v>81</v>
      </c>
      <c r="I35" s="1024">
        <f>F35/H35</f>
        <v>0.37037037037037035</v>
      </c>
      <c r="J35" s="1024">
        <f>G35/H35</f>
        <v>0.20987654320987653</v>
      </c>
      <c r="K35" s="1025">
        <f>0.8*J35+0.3*I35</f>
        <v>0.27901234567901234</v>
      </c>
    </row>
    <row r="36" spans="2:11">
      <c r="B36" s="44" t="s">
        <v>93</v>
      </c>
      <c r="C36" s="44">
        <v>4</v>
      </c>
      <c r="D36" s="44">
        <v>12</v>
      </c>
      <c r="E36" s="44">
        <v>16</v>
      </c>
      <c r="F36" s="127">
        <v>15</v>
      </c>
      <c r="G36">
        <v>4</v>
      </c>
      <c r="H36" s="127">
        <f>SUM(C36:G36)</f>
        <v>51</v>
      </c>
      <c r="I36" s="1026">
        <f>F36/H36</f>
        <v>0.29411764705882354</v>
      </c>
      <c r="J36" s="1026">
        <f>G36/H36</f>
        <v>7.8431372549019607E-2</v>
      </c>
      <c r="K36" s="1025">
        <f>0.8*J36+0.3*I36</f>
        <v>0.15098039215686276</v>
      </c>
    </row>
    <row r="37" spans="2:11">
      <c r="B37" s="51" t="s">
        <v>94</v>
      </c>
      <c r="C37" s="51">
        <f>SUM(C35:C36)</f>
        <v>5</v>
      </c>
      <c r="D37" s="51">
        <f>SUM(D35:D36)</f>
        <v>26</v>
      </c>
      <c r="E37" s="51">
        <f>SUM(E35:E36)</f>
        <v>35</v>
      </c>
      <c r="F37" s="128">
        <f>SUM(F35:F36)</f>
        <v>45</v>
      </c>
      <c r="G37" s="35">
        <f>SUM(G35:G36)</f>
        <v>21</v>
      </c>
      <c r="H37" s="128">
        <f>SUM(C37:G37)</f>
        <v>132</v>
      </c>
      <c r="I37" s="1027">
        <f>F37/H37</f>
        <v>0.34090909090909088</v>
      </c>
      <c r="J37" s="1027">
        <f>G37/H37</f>
        <v>0.15909090909090909</v>
      </c>
      <c r="K37" s="1028">
        <f>0.8*J37+0.3*I37</f>
        <v>0.22954545454545455</v>
      </c>
    </row>
    <row r="38" spans="2:11">
      <c r="I38" s="8"/>
      <c r="J38" s="8"/>
      <c r="K38" s="8"/>
    </row>
    <row r="40" spans="2:11" ht="14.4" customHeight="1">
      <c r="B40" s="1232" t="s">
        <v>95</v>
      </c>
      <c r="C40" s="1233"/>
      <c r="D40" s="1233"/>
      <c r="E40" s="1233"/>
      <c r="F40" s="1233"/>
      <c r="G40" s="1233"/>
      <c r="H40" s="1233"/>
      <c r="I40" s="1233"/>
      <c r="J40" s="1233"/>
      <c r="K40" s="1233"/>
    </row>
    <row r="41" spans="2:11">
      <c r="B41" s="107" t="s">
        <v>96</v>
      </c>
      <c r="C41" s="98" t="s">
        <v>83</v>
      </c>
      <c r="D41" s="92" t="s">
        <v>84</v>
      </c>
      <c r="E41" s="1035" t="s">
        <v>85</v>
      </c>
      <c r="F41" s="600" t="s">
        <v>86</v>
      </c>
      <c r="G41" s="107" t="s">
        <v>87</v>
      </c>
      <c r="H41" s="107" t="s">
        <v>88</v>
      </c>
      <c r="I41" s="107" t="s">
        <v>89</v>
      </c>
      <c r="J41" s="98" t="s">
        <v>90</v>
      </c>
      <c r="K41" s="1035" t="s">
        <v>91</v>
      </c>
    </row>
    <row r="42" spans="2:11">
      <c r="B42" s="49" t="s">
        <v>97</v>
      </c>
      <c r="C42" s="49">
        <v>3</v>
      </c>
      <c r="D42" s="44">
        <v>4</v>
      </c>
      <c r="E42" s="44">
        <v>5</v>
      </c>
      <c r="F42" s="49">
        <v>3</v>
      </c>
      <c r="G42" s="49">
        <v>1</v>
      </c>
      <c r="H42" s="88">
        <f>SUM(C42:G42)</f>
        <v>16</v>
      </c>
      <c r="I42" s="1024">
        <f>F42/H42</f>
        <v>0.1875</v>
      </c>
      <c r="J42" s="1024">
        <f>G42/H42</f>
        <v>6.25E-2</v>
      </c>
      <c r="K42" s="1025">
        <f>0.8*J42+0.3*I42</f>
        <v>0.10625</v>
      </c>
    </row>
    <row r="43" spans="2:11">
      <c r="B43" s="44" t="s">
        <v>98</v>
      </c>
      <c r="C43" s="44">
        <v>1</v>
      </c>
      <c r="D43" s="44">
        <v>6</v>
      </c>
      <c r="E43" s="44">
        <v>12</v>
      </c>
      <c r="F43" s="44">
        <v>26</v>
      </c>
      <c r="G43" s="44">
        <v>11</v>
      </c>
      <c r="H43" s="127">
        <f>SUM(C43:G43)</f>
        <v>56</v>
      </c>
      <c r="I43" s="1026">
        <f>F43/H43</f>
        <v>0.4642857142857143</v>
      </c>
      <c r="J43" s="1026">
        <f>G43/H43</f>
        <v>0.19642857142857142</v>
      </c>
      <c r="K43" s="1025">
        <f>0.8*J43+0.3*I43</f>
        <v>0.29642857142857143</v>
      </c>
    </row>
    <row r="44" spans="2:11">
      <c r="B44" s="44" t="s">
        <v>99</v>
      </c>
      <c r="C44" s="44">
        <v>0</v>
      </c>
      <c r="D44" s="44">
        <v>5</v>
      </c>
      <c r="E44" s="44">
        <v>3</v>
      </c>
      <c r="F44" s="44">
        <v>9</v>
      </c>
      <c r="G44" s="44">
        <v>6</v>
      </c>
      <c r="H44" s="127">
        <f>SUM(C44:G44)</f>
        <v>23</v>
      </c>
      <c r="I44" s="1026">
        <f>F44/H44</f>
        <v>0.39130434782608697</v>
      </c>
      <c r="J44" s="1026">
        <f>G44/H44</f>
        <v>0.2608695652173913</v>
      </c>
      <c r="K44" s="1025">
        <f>0.8*J44+0.3*I44</f>
        <v>0.32608695652173914</v>
      </c>
    </row>
    <row r="45" spans="2:11">
      <c r="B45" s="44" t="s">
        <v>100</v>
      </c>
      <c r="C45" s="44">
        <v>0</v>
      </c>
      <c r="D45" s="44">
        <v>9</v>
      </c>
      <c r="E45" s="44">
        <v>7</v>
      </c>
      <c r="F45" s="44">
        <v>5</v>
      </c>
      <c r="G45" s="44">
        <v>2</v>
      </c>
      <c r="H45" s="127">
        <f>SUM(C45:G45)</f>
        <v>23</v>
      </c>
      <c r="I45" s="1026">
        <f>F45/H45</f>
        <v>0.21739130434782608</v>
      </c>
      <c r="J45" s="1026">
        <f>G45/H45</f>
        <v>8.6956521739130432E-2</v>
      </c>
      <c r="K45" s="1025">
        <f>0.8*J45+0.3*I45</f>
        <v>0.13478260869565217</v>
      </c>
    </row>
    <row r="46" spans="2:11">
      <c r="B46" s="51" t="s">
        <v>101</v>
      </c>
      <c r="C46" s="51">
        <v>1</v>
      </c>
      <c r="D46" s="51">
        <v>2</v>
      </c>
      <c r="E46" s="51">
        <v>8</v>
      </c>
      <c r="F46" s="51">
        <v>2</v>
      </c>
      <c r="G46" s="51">
        <v>1</v>
      </c>
      <c r="H46" s="127">
        <f>SUM(C46:G46)</f>
        <v>14</v>
      </c>
      <c r="I46" s="1026">
        <f>F46/H46</f>
        <v>0.14285714285714285</v>
      </c>
      <c r="J46" s="1026">
        <f>G46/H46</f>
        <v>7.1428571428571425E-2</v>
      </c>
      <c r="K46" s="1025">
        <f>0.8*J46+0.3*I46</f>
        <v>9.9999999999999992E-2</v>
      </c>
    </row>
    <row r="47" spans="2:11">
      <c r="H47" s="41"/>
      <c r="I47" s="585"/>
      <c r="J47" s="585"/>
      <c r="K47" s="585"/>
    </row>
    <row r="49" spans="2:11" ht="14.4" customHeight="1">
      <c r="B49" s="1232" t="s">
        <v>102</v>
      </c>
      <c r="C49" s="1233"/>
      <c r="D49" s="1233"/>
      <c r="E49" s="1233"/>
      <c r="F49" s="1233"/>
      <c r="G49" s="1233"/>
      <c r="H49" s="1233"/>
      <c r="I49" s="1233"/>
      <c r="J49" s="1233"/>
      <c r="K49" s="1233"/>
    </row>
    <row r="50" spans="2:11">
      <c r="B50" s="107" t="s">
        <v>103</v>
      </c>
      <c r="C50" s="98" t="s">
        <v>83</v>
      </c>
      <c r="D50" s="92" t="s">
        <v>84</v>
      </c>
      <c r="E50" s="1035" t="s">
        <v>85</v>
      </c>
      <c r="F50" s="600" t="s">
        <v>86</v>
      </c>
      <c r="G50" s="107" t="s">
        <v>87</v>
      </c>
      <c r="H50" s="107" t="s">
        <v>88</v>
      </c>
      <c r="I50" s="107" t="s">
        <v>89</v>
      </c>
      <c r="J50" s="98" t="s">
        <v>90</v>
      </c>
      <c r="K50" s="1035" t="s">
        <v>91</v>
      </c>
    </row>
    <row r="51" spans="2:11">
      <c r="B51" s="88" t="s">
        <v>104</v>
      </c>
      <c r="C51" s="41">
        <v>1</v>
      </c>
      <c r="D51" s="44">
        <v>4</v>
      </c>
      <c r="E51" s="44">
        <v>3</v>
      </c>
      <c r="F51" s="49">
        <v>1</v>
      </c>
      <c r="G51" s="49">
        <v>1</v>
      </c>
      <c r="H51" s="88">
        <f>SUM(C51:G51)</f>
        <v>10</v>
      </c>
      <c r="I51" s="1024">
        <f>F51/H51</f>
        <v>0.1</v>
      </c>
      <c r="J51" s="1024">
        <f>G51/H51</f>
        <v>0.1</v>
      </c>
      <c r="K51" s="1025">
        <f>0.8*J51+0.3*I51</f>
        <v>0.11000000000000001</v>
      </c>
    </row>
    <row r="52" spans="2:11">
      <c r="B52" s="1029" t="s">
        <v>105</v>
      </c>
      <c r="C52">
        <v>1</v>
      </c>
      <c r="D52" s="44">
        <v>5</v>
      </c>
      <c r="E52" s="44">
        <v>5</v>
      </c>
      <c r="F52" s="44">
        <v>11</v>
      </c>
      <c r="G52" s="44">
        <v>2</v>
      </c>
      <c r="H52" s="127">
        <f>SUM(C52:G52)</f>
        <v>24</v>
      </c>
      <c r="I52" s="1026">
        <f>F52/H52</f>
        <v>0.45833333333333331</v>
      </c>
      <c r="J52" s="1026">
        <f>G52/H52</f>
        <v>8.3333333333333329E-2</v>
      </c>
      <c r="K52" s="1025">
        <f>0.8*J52+0.3*I52</f>
        <v>0.20416666666666666</v>
      </c>
    </row>
    <row r="53" spans="2:11">
      <c r="B53" s="127" t="s">
        <v>106</v>
      </c>
      <c r="C53">
        <v>3</v>
      </c>
      <c r="D53" s="44">
        <v>13</v>
      </c>
      <c r="E53" s="44">
        <v>14</v>
      </c>
      <c r="F53" s="44">
        <v>23</v>
      </c>
      <c r="G53" s="44">
        <v>13</v>
      </c>
      <c r="H53" s="127">
        <f>SUM(C53:G53)</f>
        <v>66</v>
      </c>
      <c r="I53" s="1026">
        <f>F53/H53</f>
        <v>0.34848484848484851</v>
      </c>
      <c r="J53" s="1026">
        <f>G53/H53</f>
        <v>0.19696969696969696</v>
      </c>
      <c r="K53" s="1025">
        <f>0.8*J53+0.3*I53</f>
        <v>0.26212121212121214</v>
      </c>
    </row>
    <row r="54" spans="2:11">
      <c r="B54" s="128" t="s">
        <v>107</v>
      </c>
      <c r="C54" s="35">
        <v>0</v>
      </c>
      <c r="D54" s="51">
        <v>4</v>
      </c>
      <c r="E54" s="51">
        <v>13</v>
      </c>
      <c r="F54" s="51">
        <v>10</v>
      </c>
      <c r="G54" s="51">
        <v>5</v>
      </c>
      <c r="H54" s="128">
        <f>SUM(C54:G54)</f>
        <v>32</v>
      </c>
      <c r="I54" s="1027">
        <f>F54/H54</f>
        <v>0.3125</v>
      </c>
      <c r="J54" s="1027">
        <f>G54/H54</f>
        <v>0.15625</v>
      </c>
      <c r="K54" s="1028">
        <f>0.8*J54+0.3*I54</f>
        <v>0.21875</v>
      </c>
    </row>
    <row r="57" spans="2:11" ht="14.4" customHeight="1">
      <c r="B57" s="1231" t="s">
        <v>108</v>
      </c>
      <c r="C57" s="1231"/>
      <c r="D57" s="1231"/>
      <c r="E57" s="1231"/>
      <c r="F57" s="1231"/>
      <c r="G57" s="1231"/>
      <c r="H57" s="1231"/>
      <c r="I57" s="1231"/>
      <c r="J57" s="1231"/>
      <c r="K57" s="1231"/>
    </row>
    <row r="58" spans="2:11">
      <c r="B58" s="107" t="s">
        <v>109</v>
      </c>
      <c r="C58" s="98" t="s">
        <v>83</v>
      </c>
      <c r="D58" s="92" t="s">
        <v>84</v>
      </c>
      <c r="E58" s="1035" t="s">
        <v>85</v>
      </c>
      <c r="F58" s="600" t="s">
        <v>86</v>
      </c>
      <c r="G58" s="107" t="s">
        <v>87</v>
      </c>
      <c r="H58" s="107" t="s">
        <v>88</v>
      </c>
      <c r="I58" s="107" t="s">
        <v>89</v>
      </c>
      <c r="J58" s="98" t="s">
        <v>90</v>
      </c>
      <c r="K58" s="1035" t="s">
        <v>91</v>
      </c>
    </row>
    <row r="59" spans="2:11">
      <c r="B59" s="88">
        <v>1</v>
      </c>
      <c r="C59" s="41">
        <v>0</v>
      </c>
      <c r="D59" s="44">
        <v>4</v>
      </c>
      <c r="E59" s="44">
        <v>2</v>
      </c>
      <c r="F59" s="49">
        <v>2</v>
      </c>
      <c r="G59" s="49">
        <v>1</v>
      </c>
      <c r="H59" s="88">
        <f>SUM(C59:G59)</f>
        <v>9</v>
      </c>
      <c r="I59" s="1024">
        <f>F59/H59</f>
        <v>0.22222222222222221</v>
      </c>
      <c r="J59" s="1024">
        <f>G59/H59</f>
        <v>0.1111111111111111</v>
      </c>
      <c r="K59" s="1025">
        <f>0.8*J59+0.3*I59</f>
        <v>0.15555555555555556</v>
      </c>
    </row>
    <row r="60" spans="2:11">
      <c r="B60" s="127">
        <v>2</v>
      </c>
      <c r="C60">
        <v>3</v>
      </c>
      <c r="D60" s="44">
        <v>7</v>
      </c>
      <c r="E60" s="44">
        <v>11</v>
      </c>
      <c r="F60" s="44">
        <v>14</v>
      </c>
      <c r="G60" s="44">
        <v>8</v>
      </c>
      <c r="H60" s="127">
        <f>SUM(C60:G60)</f>
        <v>43</v>
      </c>
      <c r="I60" s="1026">
        <f>F60/H60</f>
        <v>0.32558139534883723</v>
      </c>
      <c r="J60" s="1026">
        <f>G60/H60</f>
        <v>0.18604651162790697</v>
      </c>
      <c r="K60" s="1025">
        <f>0.8*J60+0.3*I60</f>
        <v>0.24651162790697673</v>
      </c>
    </row>
    <row r="61" spans="2:11">
      <c r="B61" s="127">
        <v>3</v>
      </c>
      <c r="C61">
        <v>1</v>
      </c>
      <c r="D61" s="44">
        <v>13</v>
      </c>
      <c r="E61" s="44">
        <v>22</v>
      </c>
      <c r="F61" s="44">
        <v>26</v>
      </c>
      <c r="G61" s="44">
        <v>12</v>
      </c>
      <c r="H61" s="127">
        <f>SUM(C61:G61)</f>
        <v>74</v>
      </c>
      <c r="I61" s="1026">
        <f>F61/H61</f>
        <v>0.35135135135135137</v>
      </c>
      <c r="J61" s="1026">
        <f>G61/H61</f>
        <v>0.16216216216216217</v>
      </c>
      <c r="K61" s="1025">
        <f>0.8*J61+0.3*I61</f>
        <v>0.23513513513513515</v>
      </c>
    </row>
    <row r="62" spans="2:11">
      <c r="B62" s="128">
        <v>4</v>
      </c>
      <c r="C62" s="35">
        <v>1</v>
      </c>
      <c r="D62" s="51">
        <v>2</v>
      </c>
      <c r="E62" s="51">
        <v>0</v>
      </c>
      <c r="F62" s="51">
        <v>3</v>
      </c>
      <c r="G62" s="51">
        <v>0</v>
      </c>
      <c r="H62" s="128">
        <f>SUM(C62:G62)</f>
        <v>6</v>
      </c>
      <c r="I62" s="1027">
        <f>F62/H62</f>
        <v>0.5</v>
      </c>
      <c r="J62" s="1027">
        <f>G62/H62</f>
        <v>0</v>
      </c>
      <c r="K62" s="1028">
        <f>0.8*J62+0.3*I62</f>
        <v>0.15</v>
      </c>
    </row>
    <row r="65" spans="2:12" ht="14.4" customHeight="1">
      <c r="B65" s="1231" t="s">
        <v>110</v>
      </c>
      <c r="C65" s="1231"/>
      <c r="D65" s="1231"/>
      <c r="E65" s="1231"/>
      <c r="F65" s="1231"/>
      <c r="G65" s="1231"/>
      <c r="H65" s="1231"/>
      <c r="I65" s="1231"/>
      <c r="J65" s="1231"/>
      <c r="K65" s="1231"/>
    </row>
    <row r="66" spans="2:12">
      <c r="B66" s="107" t="s">
        <v>111</v>
      </c>
      <c r="C66" s="98" t="s">
        <v>83</v>
      </c>
      <c r="D66" s="92" t="s">
        <v>84</v>
      </c>
      <c r="E66" s="1035" t="s">
        <v>85</v>
      </c>
      <c r="F66" s="600" t="s">
        <v>86</v>
      </c>
      <c r="G66" s="107" t="s">
        <v>87</v>
      </c>
      <c r="H66" s="107" t="s">
        <v>88</v>
      </c>
      <c r="I66" s="107" t="s">
        <v>89</v>
      </c>
      <c r="J66" s="98" t="s">
        <v>90</v>
      </c>
      <c r="K66" s="1035" t="s">
        <v>91</v>
      </c>
    </row>
    <row r="67" spans="2:12">
      <c r="B67" s="88" t="s">
        <v>112</v>
      </c>
      <c r="C67" s="41">
        <v>4</v>
      </c>
      <c r="D67" s="44">
        <v>3</v>
      </c>
      <c r="E67" s="44">
        <v>13</v>
      </c>
      <c r="F67" s="49">
        <v>18</v>
      </c>
      <c r="G67" s="49">
        <v>9</v>
      </c>
      <c r="H67" s="88">
        <f>SUM(C67:G67)</f>
        <v>47</v>
      </c>
      <c r="I67" s="1024">
        <f>F67/H67</f>
        <v>0.38297872340425532</v>
      </c>
      <c r="J67" s="1024">
        <f>G67/H67</f>
        <v>0.19148936170212766</v>
      </c>
      <c r="K67" s="1025">
        <f>0.8*J67+0.3*I67</f>
        <v>0.26808510638297872</v>
      </c>
    </row>
    <row r="68" spans="2:12">
      <c r="B68" s="127" t="s">
        <v>113</v>
      </c>
      <c r="C68">
        <v>1</v>
      </c>
      <c r="D68" s="44">
        <v>22</v>
      </c>
      <c r="E68" s="44">
        <v>22</v>
      </c>
      <c r="F68" s="44">
        <v>24</v>
      </c>
      <c r="G68" s="44">
        <v>11</v>
      </c>
      <c r="H68" s="127">
        <f>SUM(C68:G68)</f>
        <v>80</v>
      </c>
      <c r="I68" s="1026">
        <f>F68/H68</f>
        <v>0.3</v>
      </c>
      <c r="J68" s="1026">
        <f>G68/H68</f>
        <v>0.13750000000000001</v>
      </c>
      <c r="K68" s="1025">
        <f>0.8*J68+0.3*I68</f>
        <v>0.2</v>
      </c>
    </row>
    <row r="69" spans="2:12">
      <c r="B69" s="128" t="s">
        <v>114</v>
      </c>
      <c r="C69" s="35">
        <v>0</v>
      </c>
      <c r="D69" s="51">
        <v>1</v>
      </c>
      <c r="E69" s="51">
        <v>0</v>
      </c>
      <c r="F69" s="51">
        <v>3</v>
      </c>
      <c r="G69" s="51">
        <v>1</v>
      </c>
      <c r="H69" s="128">
        <f>SUM(C69:G69)</f>
        <v>5</v>
      </c>
      <c r="I69" s="1027">
        <f>F69/H69</f>
        <v>0.6</v>
      </c>
      <c r="J69" s="1027">
        <f>G69/H69</f>
        <v>0.2</v>
      </c>
      <c r="K69" s="1028">
        <f>0.8*J69+0.3*I69</f>
        <v>0.34</v>
      </c>
    </row>
    <row r="72" spans="2:12" ht="14.4" customHeight="1">
      <c r="B72" s="1231" t="s">
        <v>115</v>
      </c>
      <c r="C72" s="1231"/>
      <c r="D72" s="1231"/>
      <c r="E72" s="1231"/>
      <c r="F72" s="1231"/>
      <c r="G72" s="1231"/>
      <c r="H72" s="1231"/>
      <c r="I72" s="1231"/>
      <c r="J72" s="1231"/>
      <c r="K72" s="1231"/>
    </row>
    <row r="73" spans="2:12">
      <c r="B73" s="107" t="s">
        <v>116</v>
      </c>
      <c r="C73" s="98" t="s">
        <v>83</v>
      </c>
      <c r="D73" s="92" t="s">
        <v>84</v>
      </c>
      <c r="E73" s="1035" t="s">
        <v>85</v>
      </c>
      <c r="F73" s="600" t="s">
        <v>86</v>
      </c>
      <c r="G73" s="107" t="s">
        <v>87</v>
      </c>
      <c r="H73" s="107" t="s">
        <v>88</v>
      </c>
      <c r="I73" s="107" t="s">
        <v>89</v>
      </c>
      <c r="J73" s="98" t="s">
        <v>90</v>
      </c>
      <c r="K73" s="1035" t="s">
        <v>91</v>
      </c>
    </row>
    <row r="74" spans="2:12">
      <c r="B74" s="88" t="s">
        <v>117</v>
      </c>
      <c r="C74" s="41">
        <v>1</v>
      </c>
      <c r="D74" s="44">
        <v>21</v>
      </c>
      <c r="E74" s="44">
        <v>31</v>
      </c>
      <c r="F74" s="49">
        <v>32</v>
      </c>
      <c r="G74" s="49">
        <v>12</v>
      </c>
      <c r="H74" s="88">
        <f>SUM(C74:G74)</f>
        <v>97</v>
      </c>
      <c r="I74" s="1024">
        <f>F74/H74</f>
        <v>0.32989690721649484</v>
      </c>
      <c r="J74" s="1024">
        <f>G74/H74</f>
        <v>0.12371134020618557</v>
      </c>
      <c r="K74" s="1025">
        <f>0.8*J74+0.3*I74</f>
        <v>0.19793814432989693</v>
      </c>
    </row>
    <row r="75" spans="2:12">
      <c r="B75" s="128" t="s">
        <v>118</v>
      </c>
      <c r="C75" s="35">
        <v>4</v>
      </c>
      <c r="D75" s="51">
        <v>5</v>
      </c>
      <c r="E75" s="51">
        <v>4</v>
      </c>
      <c r="F75" s="51">
        <v>13</v>
      </c>
      <c r="G75" s="51">
        <v>9</v>
      </c>
      <c r="H75" s="128">
        <f>SUM(C75:G75)</f>
        <v>35</v>
      </c>
      <c r="I75" s="1027">
        <f>F75/H75</f>
        <v>0.37142857142857144</v>
      </c>
      <c r="J75" s="1027">
        <f>G75/H75</f>
        <v>0.25714285714285712</v>
      </c>
      <c r="K75" s="1028">
        <f>0.8*J75+0.3*I75</f>
        <v>0.31714285714285717</v>
      </c>
    </row>
    <row r="78" spans="2:12" ht="14.4" customHeight="1">
      <c r="B78" s="1231" t="s">
        <v>119</v>
      </c>
      <c r="C78" s="1231"/>
      <c r="D78" s="1231"/>
      <c r="E78" s="1231"/>
      <c r="F78" s="1231"/>
      <c r="G78" s="1231"/>
      <c r="H78" s="1231"/>
      <c r="I78" s="1231"/>
      <c r="J78" s="1231"/>
      <c r="K78" s="1231"/>
      <c r="L78" s="1231"/>
    </row>
    <row r="79" spans="2:12">
      <c r="B79" s="92" t="s">
        <v>120</v>
      </c>
      <c r="C79" s="588" t="s">
        <v>121</v>
      </c>
      <c r="D79" s="680" t="s">
        <v>122</v>
      </c>
      <c r="E79" s="588" t="s">
        <v>123</v>
      </c>
      <c r="F79" s="680" t="s">
        <v>122</v>
      </c>
      <c r="G79" s="588" t="s">
        <v>124</v>
      </c>
      <c r="H79" s="680" t="s">
        <v>122</v>
      </c>
      <c r="I79" s="588" t="s">
        <v>125</v>
      </c>
      <c r="J79" s="680" t="s">
        <v>122</v>
      </c>
      <c r="K79" s="588" t="s">
        <v>126</v>
      </c>
      <c r="L79" s="1211" t="s">
        <v>122</v>
      </c>
    </row>
    <row r="80" spans="2:12">
      <c r="B80" s="44" t="s">
        <v>127</v>
      </c>
      <c r="C80" s="44">
        <v>22</v>
      </c>
      <c r="D80" s="8">
        <f>C80/(SUM($C80,$E80,$G80,$I80,$K80))</f>
        <v>0.27160493827160492</v>
      </c>
      <c r="E80" s="44">
        <v>9</v>
      </c>
      <c r="F80" s="8">
        <f>E80/(SUM($C80,$E80,$G80,$I80,$K80))</f>
        <v>0.1111111111111111</v>
      </c>
      <c r="G80" s="44">
        <v>15</v>
      </c>
      <c r="H80" s="8">
        <f>G80/(SUM($C80,$E80,$G80,$I80,$K80))</f>
        <v>0.18518518518518517</v>
      </c>
      <c r="I80" s="44">
        <v>20</v>
      </c>
      <c r="J80" s="8">
        <f>I80/(SUM($C80,$E80,$G80,$I80,$K80))</f>
        <v>0.24691358024691357</v>
      </c>
      <c r="K80" s="44">
        <v>15</v>
      </c>
      <c r="L80" s="155">
        <f>K80/(SUM($C80,$E80,$G80,$I80,$K80))</f>
        <v>0.18518518518518517</v>
      </c>
    </row>
    <row r="81" spans="2:12">
      <c r="B81" s="44" t="s">
        <v>128</v>
      </c>
      <c r="C81" s="44">
        <v>17</v>
      </c>
      <c r="D81" s="8">
        <f>C81/(SUM($C81,$E81,$G81,$I81,$K81))</f>
        <v>0.20987654320987653</v>
      </c>
      <c r="E81" s="44">
        <v>28</v>
      </c>
      <c r="F81" s="8">
        <f>E81/(SUM($C81,$E81,$G81,$I81,$K81))</f>
        <v>0.34567901234567899</v>
      </c>
      <c r="G81" s="44">
        <v>14</v>
      </c>
      <c r="H81" s="8">
        <f>G81/(SUM($C81,$E81,$G81,$I81,$K81))</f>
        <v>0.1728395061728395</v>
      </c>
      <c r="I81" s="44">
        <v>15</v>
      </c>
      <c r="J81" s="8">
        <f>I81/(SUM($C81,$E81,$G81,$I81,$K81))</f>
        <v>0.18518518518518517</v>
      </c>
      <c r="K81" s="44">
        <v>7</v>
      </c>
      <c r="L81" s="155">
        <f>K81/(SUM($C81,$E81,$G81,$I81,$K81))</f>
        <v>8.6419753086419748E-2</v>
      </c>
    </row>
    <row r="82" spans="2:12">
      <c r="B82" s="44" t="s">
        <v>129</v>
      </c>
      <c r="C82" s="44">
        <v>32</v>
      </c>
      <c r="D82" s="8">
        <f>C82/(SUM($C82,$E82,$G82,$I82,$K82))</f>
        <v>0.39506172839506171</v>
      </c>
      <c r="E82" s="44">
        <v>26</v>
      </c>
      <c r="F82" s="8">
        <f>E82/(SUM($C82,$E82,$G82,$I82,$K82))</f>
        <v>0.32098765432098764</v>
      </c>
      <c r="G82" s="44">
        <v>14</v>
      </c>
      <c r="H82" s="8">
        <f>G82/(SUM($C82,$E82,$G82,$I82,$K82))</f>
        <v>0.1728395061728395</v>
      </c>
      <c r="I82" s="44">
        <v>7</v>
      </c>
      <c r="J82" s="8">
        <f>I82/(SUM($C82,$E82,$G82,$I82,$K82))</f>
        <v>8.6419753086419748E-2</v>
      </c>
      <c r="K82" s="44">
        <v>2</v>
      </c>
      <c r="L82" s="155">
        <f>K82/(SUM($C82,$E82,$G82,$I82,$K82))</f>
        <v>2.4691358024691357E-2</v>
      </c>
    </row>
    <row r="83" spans="2:12">
      <c r="B83" s="44" t="s">
        <v>130</v>
      </c>
      <c r="C83" s="44">
        <v>9</v>
      </c>
      <c r="D83" s="8">
        <f>C83/(SUM($C83,$E83,$G83,$I83,$K83))</f>
        <v>0.1111111111111111</v>
      </c>
      <c r="E83" s="44">
        <v>12</v>
      </c>
      <c r="F83" s="8">
        <f>E83/(SUM($C83,$E83,$G83,$I83,$K83))</f>
        <v>0.14814814814814814</v>
      </c>
      <c r="G83" s="44">
        <v>25</v>
      </c>
      <c r="H83" s="8">
        <f>G83/(SUM($C83,$E83,$G83,$I83,$K83))</f>
        <v>0.30864197530864196</v>
      </c>
      <c r="I83" s="44">
        <v>20</v>
      </c>
      <c r="J83" s="8">
        <f>I83/(SUM($C83,$E83,$G83,$I83,$K83))</f>
        <v>0.24691358024691357</v>
      </c>
      <c r="K83" s="44">
        <v>15</v>
      </c>
      <c r="L83" s="155">
        <f>K83/(SUM($C83,$E83,$G83,$I83,$K83))</f>
        <v>0.18518518518518517</v>
      </c>
    </row>
    <row r="84" spans="2:12">
      <c r="B84" s="51" t="s">
        <v>131</v>
      </c>
      <c r="C84" s="51">
        <v>1</v>
      </c>
      <c r="D84" s="1030">
        <f>C84/(SUM($C84,$E84,$G84,$I84,$K84))</f>
        <v>1.2048192771084338E-2</v>
      </c>
      <c r="E84" s="51">
        <v>8</v>
      </c>
      <c r="F84" s="1030">
        <f>E84/(SUM($C84,$E84,$G84,$I84,$K84))</f>
        <v>9.6385542168674704E-2</v>
      </c>
      <c r="G84" s="51">
        <v>13</v>
      </c>
      <c r="H84" s="1030">
        <f>G84/(SUM($C84,$E84,$G84,$I84,$K84))</f>
        <v>0.15662650602409639</v>
      </c>
      <c r="I84" s="51">
        <v>19</v>
      </c>
      <c r="J84" s="1030">
        <f>I84/(SUM($C84,$E84,$G84,$I84,$K84))</f>
        <v>0.2289156626506024</v>
      </c>
      <c r="K84" s="51">
        <v>42</v>
      </c>
      <c r="L84" s="1031">
        <f>K84/(SUM($C84,$E84,$G84,$I84,$K84))</f>
        <v>0.50602409638554213</v>
      </c>
    </row>
  </sheetData>
  <mergeCells count="18">
    <mergeCell ref="L5:N5"/>
    <mergeCell ref="D14:D15"/>
    <mergeCell ref="C14:C15"/>
    <mergeCell ref="E14:E15"/>
    <mergeCell ref="F14:F15"/>
    <mergeCell ref="H14:I14"/>
    <mergeCell ref="H17:I17"/>
    <mergeCell ref="B14:B15"/>
    <mergeCell ref="C5:G5"/>
    <mergeCell ref="C13:G13"/>
    <mergeCell ref="H5:K5"/>
    <mergeCell ref="B65:K65"/>
    <mergeCell ref="B72:K72"/>
    <mergeCell ref="B78:L78"/>
    <mergeCell ref="B33:K33"/>
    <mergeCell ref="B40:K40"/>
    <mergeCell ref="B49:K49"/>
    <mergeCell ref="B57:K57"/>
  </mergeCells>
  <hyperlinks>
    <hyperlink ref="A3" location="'Index'!A1" display="Back to Index" xr:uid="{C924CABA-D81C-43D6-8772-14B404C64A3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A887-0189-4E90-A2AC-4142C1CF7DFF}">
  <sheetPr>
    <tabColor rgb="FFFFC000"/>
  </sheetPr>
  <dimension ref="A1:CB181"/>
  <sheetViews>
    <sheetView topLeftCell="V2" workbookViewId="0">
      <selection activeCell="AE7" sqref="AE7"/>
    </sheetView>
  </sheetViews>
  <sheetFormatPr defaultColWidth="10.6640625" defaultRowHeight="15" customHeight="1"/>
  <cols>
    <col min="2" max="2" width="29.88671875" customWidth="1"/>
    <col min="15" max="15" width="10.6640625" style="502" customWidth="1"/>
    <col min="16" max="16" width="10.6640625" style="94"/>
    <col min="18" max="18" width="24.6640625" customWidth="1"/>
    <col min="19" max="19" width="29.109375" customWidth="1"/>
    <col min="20" max="25" width="14.6640625" style="94" customWidth="1"/>
    <col min="26" max="26" width="11.88671875" style="94" bestFit="1" customWidth="1"/>
    <col min="27" max="27" width="7" style="94" customWidth="1"/>
    <col min="28" max="28" width="21.44140625" customWidth="1"/>
    <col min="29" max="29" width="22.109375" customWidth="1"/>
    <col min="30" max="30" width="11.5546875" customWidth="1"/>
    <col min="31" max="31" width="11.6640625" customWidth="1"/>
    <col min="32" max="32" width="15.44140625" customWidth="1"/>
    <col min="33" max="33" width="13.109375" customWidth="1"/>
    <col min="36" max="36" width="15.88671875" customWidth="1"/>
    <col min="37" max="37" width="19" style="94" customWidth="1"/>
    <col min="38" max="38" width="10.6640625" style="94"/>
    <col min="39" max="39" width="13.88671875" style="109" customWidth="1"/>
    <col min="40" max="40" width="13.6640625" style="94" customWidth="1"/>
    <col min="41" max="41" width="11.109375" style="94" customWidth="1"/>
    <col min="42" max="42" width="20.109375" style="94" customWidth="1"/>
    <col min="43" max="43" width="10.6640625" style="94"/>
    <col min="45" max="45" width="16" customWidth="1"/>
    <col min="46" max="46" width="12.44140625" customWidth="1"/>
    <col min="48" max="48" width="15" customWidth="1"/>
    <col min="49" max="49" width="15.5546875" customWidth="1"/>
    <col min="50" max="50" width="14.88671875" customWidth="1"/>
    <col min="52" max="52" width="13.33203125" customWidth="1"/>
    <col min="53" max="53" width="15.88671875" customWidth="1"/>
    <col min="55" max="55" width="14.109375" customWidth="1"/>
    <col min="56" max="56" width="13.109375" customWidth="1"/>
    <col min="57" max="57" width="14.5546875" customWidth="1"/>
    <col min="58" max="58" width="13.88671875" customWidth="1"/>
    <col min="59" max="59" width="16.33203125" customWidth="1"/>
    <col min="61" max="61" width="16" customWidth="1"/>
    <col min="62" max="62" width="9.6640625" customWidth="1"/>
    <col min="64" max="64" width="18.6640625" customWidth="1"/>
    <col min="68" max="68" width="13.88671875" customWidth="1"/>
    <col min="71" max="71" width="13.33203125" customWidth="1"/>
    <col min="75" max="75" width="36.6640625" customWidth="1"/>
    <col min="77" max="77" width="18.5546875" customWidth="1"/>
    <col min="78" max="78" width="24.6640625" customWidth="1"/>
    <col min="91" max="91" width="11.6640625" customWidth="1"/>
    <col min="92" max="92" width="11.44140625" bestFit="1" customWidth="1"/>
    <col min="95" max="95" width="24.33203125" customWidth="1"/>
    <col min="108" max="108" width="12.33203125" customWidth="1"/>
  </cols>
  <sheetData>
    <row r="1" spans="1:80" ht="28.8">
      <c r="A1" s="1" t="s">
        <v>10</v>
      </c>
    </row>
    <row r="2" spans="1:80" ht="18">
      <c r="A2" s="1145" t="s">
        <v>132</v>
      </c>
    </row>
    <row r="3" spans="1:80" ht="14.4">
      <c r="A3" s="284" t="s">
        <v>32</v>
      </c>
    </row>
    <row r="4" spans="1:80" ht="14.4">
      <c r="A4" s="284"/>
    </row>
    <row r="5" spans="1:80" ht="21" customHeight="1">
      <c r="B5" s="663" t="s">
        <v>133</v>
      </c>
      <c r="C5" s="664"/>
      <c r="D5" s="664"/>
      <c r="E5" s="664"/>
      <c r="F5" s="664"/>
      <c r="G5" s="664"/>
      <c r="H5" s="664"/>
      <c r="I5" s="664"/>
      <c r="J5" s="664"/>
      <c r="K5" s="664"/>
      <c r="L5" s="662"/>
      <c r="M5" s="662"/>
      <c r="N5" s="662"/>
      <c r="O5" s="688"/>
      <c r="P5" s="689"/>
      <c r="Q5" s="662"/>
      <c r="S5" s="663" t="s">
        <v>134</v>
      </c>
      <c r="T5" s="673"/>
      <c r="U5" s="673"/>
      <c r="V5" s="673"/>
      <c r="W5" s="673"/>
      <c r="X5" s="673"/>
      <c r="Y5" s="673"/>
      <c r="Z5" s="673"/>
      <c r="AA5" s="673"/>
      <c r="AB5" s="664"/>
      <c r="AC5" s="664"/>
      <c r="AD5" s="664"/>
      <c r="AE5" s="664"/>
      <c r="AF5" s="664"/>
      <c r="AG5" s="664"/>
      <c r="AH5" s="664"/>
      <c r="AI5" s="1142"/>
      <c r="AJ5" s="663" t="s">
        <v>135</v>
      </c>
      <c r="AK5" s="673"/>
      <c r="AL5" s="673"/>
      <c r="AM5" s="758"/>
      <c r="AN5" s="689"/>
      <c r="AO5" s="689"/>
      <c r="AP5" s="689"/>
      <c r="AQ5" s="689"/>
      <c r="AR5" s="662"/>
      <c r="AS5" s="662"/>
      <c r="AT5" s="662"/>
      <c r="AU5" s="662"/>
      <c r="AV5" s="662"/>
      <c r="AW5" s="662"/>
      <c r="AX5" s="662"/>
      <c r="AY5" s="662"/>
      <c r="AZ5" s="662"/>
      <c r="BA5" s="662"/>
      <c r="BB5" s="662"/>
      <c r="BC5" s="662"/>
      <c r="BD5" s="662"/>
      <c r="BE5" s="662"/>
      <c r="BF5" s="662"/>
      <c r="BG5" s="662"/>
      <c r="BH5" s="662"/>
      <c r="BI5" s="662"/>
      <c r="BJ5" s="662"/>
      <c r="BK5" s="662"/>
      <c r="BL5" s="662"/>
      <c r="BM5" s="662"/>
      <c r="BN5" s="662"/>
      <c r="BO5" s="662"/>
      <c r="BP5" s="662"/>
      <c r="BQ5" s="662"/>
      <c r="BR5" s="662"/>
      <c r="BS5" s="662"/>
      <c r="BT5" s="662"/>
      <c r="BU5" s="662"/>
      <c r="BV5" s="662"/>
      <c r="BW5" s="662"/>
      <c r="BX5" s="662"/>
      <c r="BY5" s="662"/>
      <c r="BZ5" s="662"/>
      <c r="CA5" s="662"/>
      <c r="CB5" s="662"/>
    </row>
    <row r="6" spans="1:80" ht="14.4">
      <c r="B6" s="33"/>
      <c r="Y6" s="807"/>
      <c r="Z6" s="807"/>
      <c r="AA6" s="807"/>
    </row>
    <row r="7" spans="1:80" ht="18.75" customHeight="1">
      <c r="B7" s="185" t="s">
        <v>136</v>
      </c>
      <c r="C7" s="89" t="s">
        <v>137</v>
      </c>
      <c r="D7" s="89" t="s">
        <v>138</v>
      </c>
      <c r="E7" s="89" t="s">
        <v>139</v>
      </c>
      <c r="F7" s="89" t="s">
        <v>140</v>
      </c>
      <c r="G7" s="89" t="s">
        <v>141</v>
      </c>
      <c r="H7" s="89" t="s">
        <v>142</v>
      </c>
      <c r="I7" s="89" t="s">
        <v>143</v>
      </c>
      <c r="J7" s="89" t="s">
        <v>144</v>
      </c>
      <c r="K7" s="89" t="s">
        <v>145</v>
      </c>
      <c r="L7" s="89" t="s">
        <v>146</v>
      </c>
      <c r="M7" s="89" t="s">
        <v>147</v>
      </c>
      <c r="N7" s="89" t="s">
        <v>148</v>
      </c>
      <c r="O7" s="851" t="s">
        <v>149</v>
      </c>
      <c r="P7" s="690"/>
      <c r="S7" s="134" t="s">
        <v>150</v>
      </c>
      <c r="T7" s="853"/>
      <c r="U7" s="853"/>
      <c r="V7" s="502"/>
      <c r="W7" s="502"/>
      <c r="X7" s="502"/>
      <c r="Y7" s="502"/>
      <c r="Z7" s="502"/>
      <c r="AA7" s="502"/>
      <c r="AJ7" s="710" t="s">
        <v>151</v>
      </c>
      <c r="AS7" s="134" t="s">
        <v>152</v>
      </c>
      <c r="AZ7" s="134" t="s">
        <v>153</v>
      </c>
      <c r="BL7" s="710" t="s">
        <v>154</v>
      </c>
      <c r="BV7" s="134" t="s">
        <v>155</v>
      </c>
    </row>
    <row r="8" spans="1:80" ht="15.75" customHeight="1">
      <c r="B8" s="127" t="s">
        <v>156</v>
      </c>
      <c r="O8" s="530">
        <f>'IMC Schedule'!CA11</f>
        <v>7000</v>
      </c>
      <c r="P8" s="690"/>
      <c r="S8" s="1202"/>
      <c r="T8" s="86" t="s">
        <v>157</v>
      </c>
      <c r="U8" s="86" t="s">
        <v>158</v>
      </c>
      <c r="V8" s="86" t="s">
        <v>159</v>
      </c>
      <c r="W8" s="86" t="s">
        <v>160</v>
      </c>
      <c r="X8" s="87" t="s">
        <v>161</v>
      </c>
      <c r="Y8" s="1210"/>
      <c r="Z8" s="1210"/>
      <c r="AA8" s="1210"/>
      <c r="AB8" s="38" t="s">
        <v>157</v>
      </c>
      <c r="AC8" s="38" t="s">
        <v>37</v>
      </c>
      <c r="AD8" s="38" t="s">
        <v>162</v>
      </c>
      <c r="AE8" s="38" t="s">
        <v>163</v>
      </c>
      <c r="AF8" s="38" t="s">
        <v>164</v>
      </c>
      <c r="AG8" s="38" t="s">
        <v>165</v>
      </c>
      <c r="AJ8" s="105" t="s">
        <v>157</v>
      </c>
      <c r="AK8" s="782" t="s">
        <v>166</v>
      </c>
      <c r="AL8" s="782" t="s">
        <v>167</v>
      </c>
      <c r="AM8" s="761" t="s">
        <v>168</v>
      </c>
      <c r="AN8" s="1184" t="s">
        <v>169</v>
      </c>
      <c r="AO8" s="1184" t="s">
        <v>170</v>
      </c>
      <c r="AP8" s="1184" t="s">
        <v>171</v>
      </c>
      <c r="AQ8" s="783" t="s">
        <v>37</v>
      </c>
      <c r="AS8" s="711" t="s">
        <v>73</v>
      </c>
      <c r="AT8" s="711" t="s">
        <v>172</v>
      </c>
      <c r="AU8" s="1252" t="s">
        <v>173</v>
      </c>
      <c r="AV8" s="1252"/>
      <c r="AW8" s="1252"/>
      <c r="AX8" s="711" t="s">
        <v>37</v>
      </c>
      <c r="AZ8" s="77" t="s">
        <v>73</v>
      </c>
      <c r="BA8" s="1259" t="s">
        <v>157</v>
      </c>
      <c r="BB8" s="1259"/>
      <c r="BC8" s="1259" t="s">
        <v>158</v>
      </c>
      <c r="BD8" s="1259"/>
      <c r="BE8" s="1259" t="s">
        <v>159</v>
      </c>
      <c r="BF8" s="1259"/>
      <c r="BG8" s="1259" t="s">
        <v>160</v>
      </c>
      <c r="BH8" s="1259"/>
      <c r="BI8" s="1259" t="s">
        <v>161</v>
      </c>
      <c r="BJ8" s="1260"/>
      <c r="BL8" s="741" t="s">
        <v>157</v>
      </c>
      <c r="BM8" s="743" t="s">
        <v>166</v>
      </c>
      <c r="BN8" s="743" t="s">
        <v>174</v>
      </c>
      <c r="BO8" s="743" t="s">
        <v>167</v>
      </c>
      <c r="BP8" s="75" t="s">
        <v>175</v>
      </c>
      <c r="BQ8" s="75" t="s">
        <v>169</v>
      </c>
      <c r="BR8" s="75" t="s">
        <v>170</v>
      </c>
      <c r="BS8" s="75" t="s">
        <v>164</v>
      </c>
      <c r="BT8" s="744" t="s">
        <v>37</v>
      </c>
      <c r="BV8" s="48" t="s">
        <v>176</v>
      </c>
      <c r="BW8" s="1184" t="s">
        <v>177</v>
      </c>
      <c r="BX8" s="100" t="s">
        <v>178</v>
      </c>
      <c r="BY8" s="100" t="s">
        <v>179</v>
      </c>
      <c r="BZ8" s="100" t="s">
        <v>180</v>
      </c>
      <c r="CA8" s="103" t="s">
        <v>149</v>
      </c>
    </row>
    <row r="9" spans="1:80" ht="14.4">
      <c r="B9" s="127" t="s">
        <v>181</v>
      </c>
      <c r="E9" s="151"/>
      <c r="O9" s="530">
        <f>'IMC Schedule'!CA10</f>
        <v>6000</v>
      </c>
      <c r="P9" s="690"/>
      <c r="S9" s="7" t="s">
        <v>182</v>
      </c>
      <c r="T9" s="674">
        <f>'BASES Model'!C6</f>
        <v>29040000</v>
      </c>
      <c r="U9" s="674">
        <f>'BASES Model'!D6</f>
        <v>29284348</v>
      </c>
      <c r="V9" s="674">
        <f>'BASES Model'!E6</f>
        <v>29445522.175999999</v>
      </c>
      <c r="W9" s="674">
        <f>'BASES Model'!F6</f>
        <v>29546752.442111999</v>
      </c>
      <c r="X9" s="674">
        <f>'BASES Model'!G6</f>
        <v>29569029.471417341</v>
      </c>
      <c r="Y9" s="1017"/>
      <c r="Z9" s="1017"/>
      <c r="AA9" s="1017"/>
      <c r="AB9" s="1011" t="s">
        <v>183</v>
      </c>
      <c r="AC9" s="1012">
        <f>T12</f>
        <v>0.14949999999999999</v>
      </c>
      <c r="AD9" s="287">
        <f>SUM(AD10:AD15)</f>
        <v>0.99999999999999989</v>
      </c>
      <c r="AE9" s="287"/>
      <c r="AF9" s="1013">
        <f t="shared" ref="AF9:AF15" si="0">$T$9*AC9</f>
        <v>4341480</v>
      </c>
      <c r="AG9" s="724"/>
      <c r="AJ9" s="46" t="s">
        <v>184</v>
      </c>
      <c r="AK9" s="698">
        <f>AK11+AK10</f>
        <v>172797.73420799995</v>
      </c>
      <c r="AL9" s="738">
        <v>9.1</v>
      </c>
      <c r="AM9" s="759"/>
      <c r="AN9" s="731">
        <f>(AK9/AL9)*1000</f>
        <v>18988762.000879116</v>
      </c>
      <c r="AO9" s="731">
        <f>AN9*0.5</f>
        <v>9494381.0004395582</v>
      </c>
      <c r="AP9" s="731">
        <f>AO9/4</f>
        <v>2373595.2501098895</v>
      </c>
      <c r="AQ9" s="115">
        <f>AP9/'IMC Schedule'!$T$9</f>
        <v>8.1735373626373606E-2</v>
      </c>
      <c r="AS9" s="712" t="s">
        <v>157</v>
      </c>
      <c r="AT9" s="713">
        <v>10000</v>
      </c>
      <c r="AU9" s="1253" t="s">
        <v>185</v>
      </c>
      <c r="AV9" s="1253"/>
      <c r="AW9" s="1253"/>
      <c r="AX9" s="714">
        <v>0.01</v>
      </c>
      <c r="AZ9" s="38" t="s">
        <v>186</v>
      </c>
      <c r="BA9" s="1255">
        <v>2</v>
      </c>
      <c r="BB9" s="1255"/>
      <c r="BC9" s="1255">
        <v>2</v>
      </c>
      <c r="BD9" s="1255"/>
      <c r="BE9" s="1255">
        <v>2</v>
      </c>
      <c r="BF9" s="1255"/>
      <c r="BG9" s="1255">
        <v>2</v>
      </c>
      <c r="BH9" s="1256"/>
      <c r="BI9" s="1255">
        <v>2</v>
      </c>
      <c r="BJ9" s="1255"/>
      <c r="BL9" s="192" t="s">
        <v>183</v>
      </c>
      <c r="BM9" s="745">
        <f>'IMC Schedule'!T32</f>
        <v>19249.542955664994</v>
      </c>
      <c r="BN9" s="188"/>
      <c r="BO9" s="188"/>
      <c r="BP9" s="188"/>
      <c r="BQ9" s="188"/>
      <c r="BR9" s="188"/>
      <c r="BS9" s="188"/>
      <c r="BT9" s="746">
        <f>SUM(BT10:BT13)</f>
        <v>2.6887500473978358E-3</v>
      </c>
      <c r="BV9" s="98"/>
      <c r="BW9" s="49" t="s">
        <v>187</v>
      </c>
      <c r="BX9" s="41" t="s">
        <v>138</v>
      </c>
      <c r="BY9" s="54">
        <v>2000</v>
      </c>
      <c r="BZ9" s="54">
        <f>2*BY9</f>
        <v>4000</v>
      </c>
      <c r="CA9" s="55">
        <f>SUM(BY9:BZ9)</f>
        <v>6000</v>
      </c>
    </row>
    <row r="10" spans="1:80" ht="14.4">
      <c r="B10" s="127" t="s">
        <v>188</v>
      </c>
      <c r="D10" s="152"/>
      <c r="O10" s="530">
        <f>'IMC Schedule'!CA9</f>
        <v>6000</v>
      </c>
      <c r="P10" s="690"/>
      <c r="S10" s="7" t="s">
        <v>72</v>
      </c>
      <c r="T10" s="675" cm="1">
        <f t="array" ref="T10:X10">'BASES Model'!C18:G18</f>
        <v>2061813.6000000006</v>
      </c>
      <c r="U10" s="676">
        <v>3647930.5152938864</v>
      </c>
      <c r="V10" s="676">
        <v>4699988.5449978719</v>
      </c>
      <c r="W10" s="676">
        <v>5931998.2432027077</v>
      </c>
      <c r="X10" s="676">
        <v>7987418.3643433563</v>
      </c>
      <c r="Y10" s="1018"/>
      <c r="Z10" s="1018"/>
      <c r="AA10" s="1018"/>
      <c r="AB10" s="39" t="s">
        <v>189</v>
      </c>
      <c r="AC10" s="1014">
        <f>($AC$9-$T$27-$T$39-$T$41-$T$43)*AD10</f>
        <v>3.2264999999999995E-2</v>
      </c>
      <c r="AD10" s="1016">
        <v>0.27</v>
      </c>
      <c r="AE10" s="39">
        <v>10.5</v>
      </c>
      <c r="AF10" s="1015">
        <f t="shared" si="0"/>
        <v>936975.59999999986</v>
      </c>
      <c r="AG10" s="1015">
        <f>((AF10*8)*AE10)/1000</f>
        <v>78705.950399999987</v>
      </c>
      <c r="AH10" s="23"/>
      <c r="AJ10" s="44" t="s">
        <v>189</v>
      </c>
      <c r="AK10" s="502">
        <f>T20</f>
        <v>78705.950399999987</v>
      </c>
      <c r="AL10" s="739">
        <v>10.5</v>
      </c>
      <c r="AN10" s="460">
        <f>(AK10/AL10)*1000</f>
        <v>7495804.7999999989</v>
      </c>
      <c r="AO10" s="460">
        <f>AN10*0.5</f>
        <v>3747902.3999999994</v>
      </c>
      <c r="AP10" s="460">
        <f>AO10/4</f>
        <v>936975.59999999986</v>
      </c>
      <c r="AQ10" s="1068">
        <f>AP10/'IMC Schedule'!$T$9</f>
        <v>3.2264999999999995E-2</v>
      </c>
      <c r="AS10" s="712" t="s">
        <v>158</v>
      </c>
      <c r="AT10" s="713">
        <v>20000</v>
      </c>
      <c r="AU10" s="1254" t="s">
        <v>190</v>
      </c>
      <c r="AV10" s="1254"/>
      <c r="AW10" s="1254"/>
      <c r="AX10" s="714">
        <v>0.02</v>
      </c>
      <c r="AZ10" s="38" t="s">
        <v>191</v>
      </c>
      <c r="BA10" s="1255">
        <v>3</v>
      </c>
      <c r="BB10" s="1255"/>
      <c r="BC10" s="1255">
        <v>3</v>
      </c>
      <c r="BD10" s="1255"/>
      <c r="BE10" s="1255">
        <v>3</v>
      </c>
      <c r="BF10" s="1255"/>
      <c r="BG10" s="1255">
        <v>3</v>
      </c>
      <c r="BH10" s="1256"/>
      <c r="BI10" s="1255">
        <v>3</v>
      </c>
      <c r="BJ10" s="1255"/>
      <c r="BL10" s="44" t="s">
        <v>192</v>
      </c>
      <c r="BM10" s="34">
        <f>$BM$9*BN10</f>
        <v>5774.8628866994977</v>
      </c>
      <c r="BN10" s="751">
        <v>0.3</v>
      </c>
      <c r="BO10" s="739">
        <v>22.5</v>
      </c>
      <c r="BP10" s="471"/>
      <c r="BQ10" s="40">
        <f>(BM10/BO10)*1000</f>
        <v>256660.5727421999</v>
      </c>
      <c r="BR10" s="40">
        <f>BQ10*0.5</f>
        <v>128330.28637109995</v>
      </c>
      <c r="BS10" s="40">
        <f>BR10/4</f>
        <v>32082.571592774988</v>
      </c>
      <c r="BT10" s="43">
        <f>BS10/'IMC Schedule'!$T$9</f>
        <v>1.1047717490624996E-3</v>
      </c>
      <c r="BV10" s="99"/>
      <c r="BW10" s="44" t="s">
        <v>181</v>
      </c>
      <c r="BX10" t="s">
        <v>139</v>
      </c>
      <c r="BY10" s="37">
        <f>2000</f>
        <v>2000</v>
      </c>
      <c r="BZ10" s="37">
        <f>2*BY10</f>
        <v>4000</v>
      </c>
      <c r="CA10" s="58">
        <f>SUM(BY10:BZ10)</f>
        <v>6000</v>
      </c>
    </row>
    <row r="11" spans="1:80" ht="14.4">
      <c r="B11" s="190" t="s">
        <v>193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691">
        <f>SUM(O8:O10)</f>
        <v>19000</v>
      </c>
      <c r="P11" s="690"/>
      <c r="S11" s="2" t="s">
        <v>194</v>
      </c>
      <c r="T11" s="677">
        <f>T13/T10</f>
        <v>0.18862321824678918</v>
      </c>
      <c r="U11" s="677">
        <f>U13/U10</f>
        <v>0.13422864381485194</v>
      </c>
      <c r="V11" s="677">
        <f>V13/V10</f>
        <v>0.13309623761258146</v>
      </c>
      <c r="W11" s="677">
        <f>W13/W10</f>
        <v>0.12454911824758046</v>
      </c>
      <c r="X11" s="677">
        <f>X13/X10</f>
        <v>0.10526433356882112</v>
      </c>
      <c r="Y11" s="1019"/>
      <c r="Z11" s="1019"/>
      <c r="AA11" s="1019"/>
      <c r="AB11" s="39" t="s">
        <v>195</v>
      </c>
      <c r="AC11" s="1014">
        <f t="shared" ref="AC11:AC15" si="1">($AC$9-$T$27-$T$39-$T$41-$T$43)*AD11</f>
        <v>4.421499999999999E-2</v>
      </c>
      <c r="AD11" s="1016">
        <v>0.37</v>
      </c>
      <c r="AE11" s="39">
        <v>9.16</v>
      </c>
      <c r="AF11" s="1015">
        <f t="shared" si="0"/>
        <v>1284003.5999999996</v>
      </c>
      <c r="AG11" s="1015">
        <f>((AF11*8)*AE11)/1000</f>
        <v>94091.783807999964</v>
      </c>
      <c r="AJ11" s="44" t="s">
        <v>196</v>
      </c>
      <c r="AK11" s="502">
        <f>T22</f>
        <v>94091.783807999964</v>
      </c>
      <c r="AL11" s="739">
        <v>9.16</v>
      </c>
      <c r="AN11" s="460">
        <f>(AK11/AL11)*1000</f>
        <v>10272028.799999997</v>
      </c>
      <c r="AO11" s="460">
        <f>AN11*0.5</f>
        <v>5136014.3999999985</v>
      </c>
      <c r="AP11" s="460">
        <f>AO11/4</f>
        <v>1284003.5999999996</v>
      </c>
      <c r="AQ11" s="1068">
        <f>AP11/'IMC Schedule'!$T$9</f>
        <v>4.421499999999999E-2</v>
      </c>
      <c r="AS11" s="712" t="s">
        <v>159</v>
      </c>
      <c r="AT11" s="713">
        <v>30000</v>
      </c>
      <c r="AU11" s="1254" t="s">
        <v>197</v>
      </c>
      <c r="AV11" s="1254"/>
      <c r="AW11" s="1254"/>
      <c r="AX11" s="714">
        <v>0.03</v>
      </c>
      <c r="AZ11" s="95" t="s">
        <v>172</v>
      </c>
      <c r="BA11" s="96" t="s">
        <v>198</v>
      </c>
      <c r="BB11" s="749">
        <f>SUM(BB12:BB21)</f>
        <v>28050</v>
      </c>
      <c r="BC11" s="96" t="s">
        <v>198</v>
      </c>
      <c r="BD11" s="749">
        <f>SUM(BD12:BD21)</f>
        <v>25110</v>
      </c>
      <c r="BE11" s="96" t="s">
        <v>198</v>
      </c>
      <c r="BF11" s="749">
        <f>SUM(BF12:BF21)</f>
        <v>33330</v>
      </c>
      <c r="BG11" s="96" t="s">
        <v>198</v>
      </c>
      <c r="BH11" s="749">
        <f>SUM(BH12:BH21)</f>
        <v>31560</v>
      </c>
      <c r="BI11" s="96" t="s">
        <v>198</v>
      </c>
      <c r="BJ11" s="750">
        <f>SUM(BJ12:BJ21)</f>
        <v>24480</v>
      </c>
      <c r="BL11" s="44" t="s">
        <v>199</v>
      </c>
      <c r="BM11" s="34">
        <f>$BM$9*BN11</f>
        <v>3849.9085911329989</v>
      </c>
      <c r="BN11" s="751">
        <v>0.2</v>
      </c>
      <c r="BO11" s="739">
        <v>32.5</v>
      </c>
      <c r="BP11" s="471"/>
      <c r="BQ11" s="40">
        <f>(BM11/BO11)*1000</f>
        <v>118458.72588101536</v>
      </c>
      <c r="BR11" s="40">
        <f>BQ11*0.5</f>
        <v>59229.362940507679</v>
      </c>
      <c r="BS11" s="40">
        <f>BR11/4</f>
        <v>14807.34073512692</v>
      </c>
      <c r="BT11" s="43">
        <f>BS11/'IMC Schedule'!$T$9</f>
        <v>5.0989465341346146E-4</v>
      </c>
      <c r="BV11" s="99"/>
      <c r="BW11" s="1263" t="s">
        <v>200</v>
      </c>
      <c r="BX11" s="1264"/>
      <c r="BY11" s="1264"/>
      <c r="BZ11" s="1264"/>
      <c r="CA11" s="57">
        <v>7000</v>
      </c>
    </row>
    <row r="12" spans="1:80" ht="14.25" customHeight="1">
      <c r="B12" s="127"/>
      <c r="O12" s="530"/>
      <c r="P12" s="690"/>
      <c r="S12" s="7" t="s">
        <v>201</v>
      </c>
      <c r="T12" s="1039">
        <v>0.14949999999999999</v>
      </c>
      <c r="U12" s="1039">
        <v>0.19980000000000001</v>
      </c>
      <c r="V12" s="1039">
        <v>0.24979999999999999</v>
      </c>
      <c r="W12" s="1039">
        <v>0.29949999999999999</v>
      </c>
      <c r="X12" s="1039">
        <v>0.34499999999999997</v>
      </c>
      <c r="Y12" s="692"/>
      <c r="Z12" s="692"/>
      <c r="AA12" s="692"/>
      <c r="AB12" s="39" t="s">
        <v>202</v>
      </c>
      <c r="AC12" s="1014">
        <f t="shared" si="1"/>
        <v>3.4654999999999991E-2</v>
      </c>
      <c r="AD12" s="1016">
        <v>0.28999999999999998</v>
      </c>
      <c r="AE12" s="39">
        <v>9.6</v>
      </c>
      <c r="AF12" s="1015">
        <f t="shared" si="0"/>
        <v>1006381.1999999997</v>
      </c>
      <c r="AG12" s="1015">
        <f>((AF12*8)*AE12)/1000</f>
        <v>77290.076159999982</v>
      </c>
      <c r="AH12" s="319"/>
      <c r="AJ12" s="42" t="s">
        <v>203</v>
      </c>
      <c r="AK12" s="502">
        <f>T24</f>
        <v>77290.076159999982</v>
      </c>
      <c r="AL12" s="736">
        <v>9.6</v>
      </c>
      <c r="AN12" s="460">
        <f>(AK12/AL12)*1000</f>
        <v>8051049.5999999987</v>
      </c>
      <c r="AO12" s="460">
        <f>AN12*0.5</f>
        <v>4025524.7999999993</v>
      </c>
      <c r="AP12" s="460">
        <f>AO12/4</f>
        <v>1006381.1999999998</v>
      </c>
      <c r="AQ12" s="1068">
        <f>AP12/'IMC Schedule'!$T$9</f>
        <v>3.4654999999999991E-2</v>
      </c>
      <c r="AS12" s="712" t="s">
        <v>160</v>
      </c>
      <c r="AT12" s="713">
        <v>40000</v>
      </c>
      <c r="AU12" s="1254" t="s">
        <v>204</v>
      </c>
      <c r="AV12" s="1254"/>
      <c r="AW12" s="1254"/>
      <c r="AX12" s="714">
        <v>0.04</v>
      </c>
      <c r="AZ12" s="85" t="s">
        <v>205</v>
      </c>
      <c r="BA12" s="78" t="s">
        <v>206</v>
      </c>
      <c r="BB12" s="502">
        <f>VLOOKUP(BA12,$BA$24:$BC$43,3,FALSE)*BA$9*BA$10</f>
        <v>5970</v>
      </c>
      <c r="BC12" s="79" t="s">
        <v>207</v>
      </c>
      <c r="BD12" s="502">
        <f t="shared" ref="BD12:BD21" si="2">VLOOKUP(BC12,$BA$24:$BC$43,3,FALSE)*BC$9*BC$10</f>
        <v>2760</v>
      </c>
      <c r="BE12" s="44" t="s">
        <v>208</v>
      </c>
      <c r="BF12" s="502">
        <f t="shared" ref="BF12:BF21" si="3">VLOOKUP(BE12,$BA$24:$BC$43,3,FALSE)*BE$9*BE$10</f>
        <v>2400</v>
      </c>
      <c r="BG12" s="44" t="s">
        <v>209</v>
      </c>
      <c r="BH12" s="502">
        <f t="shared" ref="BH12:BH21" si="4">VLOOKUP(BG12,$BA$24:$BC$43,3,FALSE)*BG$9*BG$10</f>
        <v>3000</v>
      </c>
      <c r="BI12" s="44" t="s">
        <v>210</v>
      </c>
      <c r="BJ12" s="503">
        <f t="shared" ref="BJ12:BJ21" si="5">VLOOKUP(BI12,$BA$24:$BC$43,3,FALSE)*BI$9*BI$10</f>
        <v>2910</v>
      </c>
      <c r="BL12" s="44" t="s">
        <v>211</v>
      </c>
      <c r="BM12" s="34">
        <f>$BM$9*BN12</f>
        <v>3849.9085911329989</v>
      </c>
      <c r="BN12" s="751">
        <v>0.2</v>
      </c>
      <c r="BO12" s="855">
        <v>20</v>
      </c>
      <c r="BP12" s="471"/>
      <c r="BQ12" s="40">
        <f>(BM12/BO12)*1000</f>
        <v>192495.42955664996</v>
      </c>
      <c r="BR12" s="40">
        <f>BQ12*0.5</f>
        <v>96247.714778324982</v>
      </c>
      <c r="BS12" s="40">
        <f>BR12/4</f>
        <v>24061.928694581246</v>
      </c>
      <c r="BT12" s="43">
        <f>BS12/'IMC Schedule'!$T$9</f>
        <v>8.2857881179687479E-4</v>
      </c>
      <c r="BV12" s="611"/>
      <c r="BW12" s="194" t="s">
        <v>212</v>
      </c>
      <c r="BX12" s="196"/>
      <c r="BY12" s="196"/>
      <c r="BZ12" s="196"/>
      <c r="CA12" s="740">
        <f>SUM(CA9:CA11)</f>
        <v>19000</v>
      </c>
    </row>
    <row r="13" spans="1:80" ht="14.25" customHeight="1">
      <c r="B13" s="765" t="s">
        <v>213</v>
      </c>
      <c r="C13" s="766"/>
      <c r="D13" s="766"/>
      <c r="E13" s="766"/>
      <c r="F13" s="766"/>
      <c r="G13" s="766"/>
      <c r="H13" s="766"/>
      <c r="I13" s="766"/>
      <c r="J13" s="766"/>
      <c r="K13" s="766"/>
      <c r="L13" s="766"/>
      <c r="M13" s="766"/>
      <c r="N13" s="766"/>
      <c r="O13" s="767">
        <f>'IMC Schedule'!T50</f>
        <v>20000</v>
      </c>
      <c r="P13" s="690"/>
      <c r="S13" s="7" t="s">
        <v>214</v>
      </c>
      <c r="T13" s="1038">
        <f>SUM(T46,T48,T50)</f>
        <v>388905.91665699822</v>
      </c>
      <c r="U13" s="1038">
        <f>SUM(U46,U48,U50)</f>
        <v>489656.76579871244</v>
      </c>
      <c r="V13" s="1038">
        <f>SUM(V46,V48,V50)</f>
        <v>625550.79216144781</v>
      </c>
      <c r="W13" s="1038">
        <f>SUM(W46,W48,W50)</f>
        <v>738825.15063709358</v>
      </c>
      <c r="X13" s="1038">
        <f>SUM(X46,X48,X50)</f>
        <v>840790.27105796663</v>
      </c>
      <c r="Y13" s="1020"/>
      <c r="Z13" s="1020"/>
      <c r="AA13" s="1020"/>
      <c r="AB13" s="39" t="s">
        <v>215</v>
      </c>
      <c r="AC13" s="1014">
        <f>($AC$9-$T$27-$T$39-$T$41-$T$43)*AD13</f>
        <v>8.962499999999998E-4</v>
      </c>
      <c r="AD13" s="1016">
        <v>7.4999999999999997E-3</v>
      </c>
      <c r="AE13" s="39">
        <v>1.3</v>
      </c>
      <c r="AF13" s="1015">
        <f t="shared" si="0"/>
        <v>26027.099999999995</v>
      </c>
      <c r="AG13" s="1015">
        <f>AF13*AE13</f>
        <v>33835.229999999996</v>
      </c>
      <c r="AJ13" s="42" t="s">
        <v>216</v>
      </c>
      <c r="AK13" s="502">
        <f>T26</f>
        <v>33835.229999999996</v>
      </c>
      <c r="AM13" s="760">
        <v>1.3</v>
      </c>
      <c r="AO13" s="460"/>
      <c r="AP13" s="460">
        <f>AK13/AM13</f>
        <v>26027.099999999995</v>
      </c>
      <c r="AQ13" s="1068">
        <f>AP13/'IMC Schedule'!$T$9</f>
        <v>8.962499999999998E-4</v>
      </c>
      <c r="AS13" s="715" t="s">
        <v>161</v>
      </c>
      <c r="AT13" s="716">
        <v>50000</v>
      </c>
      <c r="AU13" s="1268" t="s">
        <v>217</v>
      </c>
      <c r="AV13" s="1268"/>
      <c r="AW13" s="1268"/>
      <c r="AX13" s="717">
        <v>0.05</v>
      </c>
      <c r="AZ13" s="85"/>
      <c r="BA13" s="78" t="s">
        <v>218</v>
      </c>
      <c r="BB13" s="502">
        <f t="shared" ref="BB13:BB21" si="6">VLOOKUP(BA13,$BA$24:$BC$43,3,FALSE)*$BA$9*$BA$10</f>
        <v>2940</v>
      </c>
      <c r="BC13" s="79" t="s">
        <v>219</v>
      </c>
      <c r="BD13" s="502">
        <f t="shared" si="2"/>
        <v>1800</v>
      </c>
      <c r="BE13" s="44" t="s">
        <v>220</v>
      </c>
      <c r="BF13" s="502">
        <f t="shared" si="3"/>
        <v>3000</v>
      </c>
      <c r="BG13" s="44" t="s">
        <v>221</v>
      </c>
      <c r="BH13" s="502">
        <f t="shared" si="4"/>
        <v>2100</v>
      </c>
      <c r="BI13" s="44" t="s">
        <v>222</v>
      </c>
      <c r="BJ13" s="503">
        <f t="shared" si="5"/>
        <v>2100</v>
      </c>
      <c r="BL13" s="44" t="s">
        <v>223</v>
      </c>
      <c r="BM13" s="34">
        <f>$BM$9*BN13</f>
        <v>5774.8628866994977</v>
      </c>
      <c r="BN13" s="751">
        <v>0.3</v>
      </c>
      <c r="BO13" s="595"/>
      <c r="BP13" s="739">
        <v>0.81</v>
      </c>
      <c r="BS13" s="40">
        <f>BM13/BP13</f>
        <v>7129.4603539499967</v>
      </c>
      <c r="BT13" s="43">
        <f>BS13/'IMC Schedule'!$T$9</f>
        <v>2.4550483312499988E-4</v>
      </c>
    </row>
    <row r="14" spans="1:80" ht="15.75" customHeight="1">
      <c r="B14" s="74" t="s">
        <v>224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51">
        <f>SUM(O11:O13)</f>
        <v>39000</v>
      </c>
      <c r="P14" s="690"/>
      <c r="S14" s="2" t="s">
        <v>225</v>
      </c>
      <c r="T14" s="678">
        <f>T46</f>
        <v>349105.91665699822</v>
      </c>
      <c r="U14" s="678">
        <f>U46</f>
        <v>446856.76579871244</v>
      </c>
      <c r="V14" s="678">
        <f>V46</f>
        <v>586350.79216144781</v>
      </c>
      <c r="W14" s="678">
        <f>W46</f>
        <v>699625.15063709358</v>
      </c>
      <c r="X14" s="678">
        <f>X46</f>
        <v>801590.27105796663</v>
      </c>
      <c r="Y14" s="502"/>
      <c r="Z14" s="502"/>
      <c r="AA14" s="502"/>
      <c r="AB14" s="88" t="s">
        <v>226</v>
      </c>
      <c r="AC14" s="1014">
        <f t="shared" si="1"/>
        <v>2.6887499999999993E-3</v>
      </c>
      <c r="AD14" s="1040">
        <v>2.2499999999999999E-2</v>
      </c>
      <c r="AE14" s="1060">
        <v>0.24653205</v>
      </c>
      <c r="AF14" s="1041">
        <f t="shared" si="0"/>
        <v>78081.299999999974</v>
      </c>
      <c r="AG14" s="1041">
        <f>(0.24653205*AF14)</f>
        <v>19249.542955664994</v>
      </c>
      <c r="AJ14" s="192" t="s">
        <v>183</v>
      </c>
      <c r="AK14" s="732">
        <f>SUM(AK10:AK13)</f>
        <v>283923.04036799993</v>
      </c>
      <c r="AL14" s="733"/>
      <c r="AM14" s="626"/>
      <c r="AN14" s="733"/>
      <c r="AO14" s="733"/>
      <c r="AP14" s="733"/>
      <c r="AQ14" s="696">
        <f>SUM(AQ11:AQ13)</f>
        <v>7.9766249999999983E-2</v>
      </c>
      <c r="AZ14" s="85"/>
      <c r="BA14" s="78" t="s">
        <v>227</v>
      </c>
      <c r="BB14" s="502">
        <f t="shared" si="6"/>
        <v>2700</v>
      </c>
      <c r="BC14" s="79" t="s">
        <v>228</v>
      </c>
      <c r="BD14" s="502">
        <f t="shared" si="2"/>
        <v>2100</v>
      </c>
      <c r="BE14" s="44" t="s">
        <v>229</v>
      </c>
      <c r="BF14" s="502">
        <f t="shared" si="3"/>
        <v>2940</v>
      </c>
      <c r="BG14" s="44" t="s">
        <v>230</v>
      </c>
      <c r="BH14" s="502">
        <f t="shared" si="4"/>
        <v>5970</v>
      </c>
      <c r="BI14" s="44" t="s">
        <v>228</v>
      </c>
      <c r="BJ14" s="503">
        <f t="shared" si="5"/>
        <v>2100</v>
      </c>
      <c r="BL14" s="741" t="s">
        <v>158</v>
      </c>
      <c r="BM14" s="743" t="s">
        <v>166</v>
      </c>
      <c r="BN14" s="743" t="s">
        <v>174</v>
      </c>
      <c r="BO14" s="743" t="s">
        <v>167</v>
      </c>
      <c r="BP14" s="75" t="s">
        <v>175</v>
      </c>
      <c r="BQ14" s="75" t="s">
        <v>169</v>
      </c>
      <c r="BR14" s="75" t="s">
        <v>170</v>
      </c>
      <c r="BS14" s="75" t="s">
        <v>164</v>
      </c>
      <c r="BT14" s="744" t="s">
        <v>37</v>
      </c>
    </row>
    <row r="15" spans="1:80" ht="16.5" customHeight="1">
      <c r="B15" s="32"/>
      <c r="O15" s="692"/>
      <c r="P15" s="690"/>
      <c r="S15" s="70" t="s">
        <v>231</v>
      </c>
      <c r="T15" s="679">
        <f>T48</f>
        <v>19800</v>
      </c>
      <c r="U15" s="679">
        <f>U48</f>
        <v>22800</v>
      </c>
      <c r="V15" s="679">
        <f>V48</f>
        <v>19200</v>
      </c>
      <c r="W15" s="679">
        <f>W48</f>
        <v>19200</v>
      </c>
      <c r="X15" s="679">
        <f>X48</f>
        <v>19200</v>
      </c>
      <c r="Y15" s="502"/>
      <c r="Z15" s="502"/>
      <c r="AA15" s="502"/>
      <c r="AB15" s="1168" t="s">
        <v>232</v>
      </c>
      <c r="AC15" s="1014">
        <f t="shared" si="1"/>
        <v>4.7799999999999995E-3</v>
      </c>
      <c r="AD15" s="1169">
        <v>0.04</v>
      </c>
      <c r="AE15" s="1061">
        <v>0.03</v>
      </c>
      <c r="AF15" s="1170">
        <f t="shared" si="0"/>
        <v>138811.19999999998</v>
      </c>
      <c r="AG15" s="1170">
        <f>(((AF15/$T$9)*100)/AE15)*1000</f>
        <v>15933.333333333334</v>
      </c>
      <c r="AJ15" s="741" t="s">
        <v>158</v>
      </c>
      <c r="AK15" s="1069" t="s">
        <v>166</v>
      </c>
      <c r="AL15" s="1069" t="s">
        <v>167</v>
      </c>
      <c r="AM15" s="762" t="s">
        <v>168</v>
      </c>
      <c r="AN15" s="1197" t="s">
        <v>169</v>
      </c>
      <c r="AO15" s="1197" t="s">
        <v>170</v>
      </c>
      <c r="AP15" s="1197" t="s">
        <v>171</v>
      </c>
      <c r="AQ15" s="1186" t="s">
        <v>37</v>
      </c>
      <c r="AS15" s="1190" t="s">
        <v>233</v>
      </c>
      <c r="AT15" s="1258" t="s">
        <v>234</v>
      </c>
      <c r="AU15" s="1258"/>
      <c r="AV15" s="1258"/>
      <c r="AW15" s="1192" t="s">
        <v>235</v>
      </c>
      <c r="AX15" s="661" t="s">
        <v>236</v>
      </c>
      <c r="AZ15" s="85"/>
      <c r="BA15" s="78" t="s">
        <v>237</v>
      </c>
      <c r="BB15" s="502">
        <f t="shared" si="6"/>
        <v>1770</v>
      </c>
      <c r="BC15" s="79" t="s">
        <v>222</v>
      </c>
      <c r="BD15" s="502">
        <f t="shared" si="2"/>
        <v>2100</v>
      </c>
      <c r="BE15" s="44" t="s">
        <v>238</v>
      </c>
      <c r="BF15" s="502">
        <f t="shared" si="3"/>
        <v>1500</v>
      </c>
      <c r="BG15" s="44" t="s">
        <v>239</v>
      </c>
      <c r="BH15" s="502">
        <f t="shared" si="4"/>
        <v>2850</v>
      </c>
      <c r="BI15" s="44" t="s">
        <v>219</v>
      </c>
      <c r="BJ15" s="503">
        <f t="shared" si="5"/>
        <v>1800</v>
      </c>
      <c r="BL15" s="192" t="s">
        <v>183</v>
      </c>
      <c r="BM15" s="745">
        <f>'IMC Schedule'!U32</f>
        <v>19964.787964259573</v>
      </c>
      <c r="BN15" s="188"/>
      <c r="BO15" s="188"/>
      <c r="BP15" s="188"/>
      <c r="BQ15" s="188"/>
      <c r="BR15" s="188"/>
      <c r="BS15" s="188"/>
      <c r="BT15" s="746">
        <f>SUM(BT16:BT19)</f>
        <v>2.7653860239056399E-3</v>
      </c>
      <c r="BV15" s="105" t="s">
        <v>157</v>
      </c>
      <c r="BW15" s="1185" t="s">
        <v>177</v>
      </c>
      <c r="BX15" s="100" t="s">
        <v>178</v>
      </c>
      <c r="BY15" s="100" t="s">
        <v>179</v>
      </c>
      <c r="BZ15" s="100" t="s">
        <v>180</v>
      </c>
      <c r="CA15" s="103" t="s">
        <v>149</v>
      </c>
    </row>
    <row r="16" spans="1:80" ht="15.75" customHeight="1">
      <c r="P16" s="693"/>
      <c r="S16" s="92"/>
      <c r="T16" s="680"/>
      <c r="U16" s="680"/>
      <c r="V16" s="680"/>
      <c r="W16" s="680"/>
      <c r="X16" s="1211"/>
      <c r="Z16" s="1034"/>
      <c r="AC16" s="23"/>
      <c r="AD16" s="23"/>
      <c r="AE16" s="23"/>
      <c r="AJ16" s="42" t="s">
        <v>184</v>
      </c>
      <c r="AK16" s="502">
        <f>AK17+AK18</f>
        <v>241300.15981019239</v>
      </c>
      <c r="AL16" s="736">
        <f>AL9</f>
        <v>9.1</v>
      </c>
      <c r="AN16" s="460">
        <f>(AK16/AL16)*1000</f>
        <v>26516501.078043122</v>
      </c>
      <c r="AO16" s="460">
        <f>AN16*0.5</f>
        <v>13258250.539021561</v>
      </c>
      <c r="AP16" s="460">
        <f>AO16/4</f>
        <v>3314562.6347553902</v>
      </c>
      <c r="AQ16" s="1068">
        <f>AP16/'IMC Schedule'!$U$9</f>
        <v>0.11318546804441028</v>
      </c>
      <c r="AS16" s="722" t="s">
        <v>240</v>
      </c>
      <c r="AT16" s="1257" t="s">
        <v>241</v>
      </c>
      <c r="AU16" s="1257"/>
      <c r="AV16" s="1257"/>
      <c r="AW16" s="718">
        <v>3343</v>
      </c>
      <c r="AX16" s="719" t="s">
        <v>242</v>
      </c>
      <c r="AZ16" s="85"/>
      <c r="BA16" s="78" t="s">
        <v>243</v>
      </c>
      <c r="BB16" s="502">
        <f t="shared" si="6"/>
        <v>3000</v>
      </c>
      <c r="BC16" s="79" t="s">
        <v>210</v>
      </c>
      <c r="BD16" s="502">
        <f t="shared" si="2"/>
        <v>2910</v>
      </c>
      <c r="BE16" s="44" t="s">
        <v>244</v>
      </c>
      <c r="BF16" s="502">
        <f t="shared" si="3"/>
        <v>3600</v>
      </c>
      <c r="BG16" s="44" t="s">
        <v>206</v>
      </c>
      <c r="BH16" s="502">
        <f t="shared" si="4"/>
        <v>5970</v>
      </c>
      <c r="BI16" s="44" t="s">
        <v>207</v>
      </c>
      <c r="BJ16" s="503">
        <f t="shared" si="5"/>
        <v>2760</v>
      </c>
      <c r="BL16" s="44" t="s">
        <v>192</v>
      </c>
      <c r="BM16" s="34">
        <f>$BM$15*BN16</f>
        <v>5989.436389277872</v>
      </c>
      <c r="BN16" s="751">
        <f t="shared" ref="BN16:BO18" si="7">BN10</f>
        <v>0.3</v>
      </c>
      <c r="BO16" s="739">
        <f t="shared" si="7"/>
        <v>22.5</v>
      </c>
      <c r="BP16" s="471"/>
      <c r="BQ16" s="40">
        <f>(BM16/BO16)*1000</f>
        <v>266197.17285679426</v>
      </c>
      <c r="BR16" s="40">
        <f>BQ16*0.5</f>
        <v>133098.58642839713</v>
      </c>
      <c r="BS16" s="40">
        <f>BR16/4</f>
        <v>33274.646607099283</v>
      </c>
      <c r="BT16" s="43">
        <f>BS16/'IMC Schedule'!$U$9</f>
        <v>1.1362604558277781E-3</v>
      </c>
      <c r="BV16" s="107"/>
      <c r="BW16" s="41" t="s">
        <v>187</v>
      </c>
      <c r="BX16" s="41" t="s">
        <v>138</v>
      </c>
      <c r="BY16" s="54">
        <v>2000</v>
      </c>
      <c r="BZ16" s="54">
        <f>2*BY16</f>
        <v>4000</v>
      </c>
      <c r="CA16" s="55">
        <f>SUM(BY16:BZ16)</f>
        <v>6000</v>
      </c>
    </row>
    <row r="17" spans="2:79" ht="21" customHeight="1">
      <c r="B17" s="663" t="s">
        <v>75</v>
      </c>
      <c r="C17" s="664"/>
      <c r="D17" s="664"/>
      <c r="E17" s="664"/>
      <c r="F17" s="664"/>
      <c r="G17" s="664"/>
      <c r="H17" s="664"/>
      <c r="I17" s="664"/>
      <c r="J17" s="664"/>
      <c r="K17" s="664"/>
      <c r="L17" s="662"/>
      <c r="M17" s="662"/>
      <c r="N17" s="662"/>
      <c r="O17" s="688"/>
      <c r="P17" s="689"/>
      <c r="Q17" s="662"/>
      <c r="T17" s="1066"/>
      <c r="U17" s="1066"/>
      <c r="V17" s="1066"/>
      <c r="W17" s="1066"/>
      <c r="X17" s="1066"/>
      <c r="Y17" s="460"/>
      <c r="Z17" s="460"/>
      <c r="AA17" s="460"/>
      <c r="AB17" s="38" t="s">
        <v>158</v>
      </c>
      <c r="AC17" s="38" t="s">
        <v>37</v>
      </c>
      <c r="AD17" s="38" t="s">
        <v>162</v>
      </c>
      <c r="AE17" s="38" t="s">
        <v>163</v>
      </c>
      <c r="AF17" s="38" t="s">
        <v>164</v>
      </c>
      <c r="AG17" s="38" t="s">
        <v>165</v>
      </c>
      <c r="AJ17" s="44" t="s">
        <v>189</v>
      </c>
      <c r="AK17" s="502">
        <f>U20</f>
        <v>97179.030300974991</v>
      </c>
      <c r="AL17" s="737">
        <f>AL10</f>
        <v>10.5</v>
      </c>
      <c r="AN17" s="460">
        <f>(AK17/AL17)*1000</f>
        <v>9255145.742949998</v>
      </c>
      <c r="AO17" s="460">
        <f>AN17*0.5</f>
        <v>4627572.871474999</v>
      </c>
      <c r="AP17" s="460">
        <f>AO17/4</f>
        <v>1156893.2178687498</v>
      </c>
      <c r="AQ17" s="1068">
        <f>AP17/'IMC Schedule'!$U$9</f>
        <v>3.9505513930812107E-2</v>
      </c>
      <c r="AS17" s="722" t="s">
        <v>245</v>
      </c>
      <c r="AT17" s="1257" t="s">
        <v>246</v>
      </c>
      <c r="AU17" s="1257"/>
      <c r="AV17" s="1257"/>
      <c r="AW17" s="718">
        <v>18200</v>
      </c>
      <c r="AX17" s="719" t="s">
        <v>247</v>
      </c>
      <c r="AZ17" s="85"/>
      <c r="BA17" s="78" t="s">
        <v>207</v>
      </c>
      <c r="BB17" s="502">
        <f t="shared" si="6"/>
        <v>2760</v>
      </c>
      <c r="BC17" s="79" t="s">
        <v>208</v>
      </c>
      <c r="BD17" s="502">
        <f t="shared" si="2"/>
        <v>2400</v>
      </c>
      <c r="BE17" s="44" t="s">
        <v>209</v>
      </c>
      <c r="BF17" s="502">
        <f t="shared" si="3"/>
        <v>3000</v>
      </c>
      <c r="BG17" s="44" t="s">
        <v>210</v>
      </c>
      <c r="BH17" s="502">
        <f t="shared" si="4"/>
        <v>2910</v>
      </c>
      <c r="BI17" s="44" t="s">
        <v>218</v>
      </c>
      <c r="BJ17" s="503">
        <f t="shared" si="5"/>
        <v>2940</v>
      </c>
      <c r="BL17" s="44" t="s">
        <v>199</v>
      </c>
      <c r="BM17" s="34">
        <f>$BM$15*BN17</f>
        <v>3992.9575928519148</v>
      </c>
      <c r="BN17" s="751">
        <f t="shared" si="7"/>
        <v>0.2</v>
      </c>
      <c r="BO17" s="739">
        <f t="shared" si="7"/>
        <v>32.5</v>
      </c>
      <c r="BP17" s="471"/>
      <c r="BQ17" s="40">
        <f>(BM17/BO17)*1000</f>
        <v>122860.23362621276</v>
      </c>
      <c r="BR17" s="40">
        <f>BQ17*0.5</f>
        <v>61430.116813106382</v>
      </c>
      <c r="BS17" s="40">
        <f>BR17/4</f>
        <v>15357.529203276596</v>
      </c>
      <c r="BT17" s="43">
        <f>BS17/'IMC Schedule'!$U$9</f>
        <v>5.2442790268974386E-4</v>
      </c>
      <c r="BV17" s="101"/>
      <c r="BW17" t="s">
        <v>181</v>
      </c>
      <c r="BX17" t="s">
        <v>139</v>
      </c>
      <c r="BY17" s="37">
        <f>2000</f>
        <v>2000</v>
      </c>
      <c r="BZ17" s="37">
        <f>2*BY17</f>
        <v>4000</v>
      </c>
      <c r="CA17" s="58">
        <f>SUM(BY17:BZ17)</f>
        <v>6000</v>
      </c>
    </row>
    <row r="18" spans="2:79" ht="14.4">
      <c r="B18" s="32"/>
      <c r="S18" s="38" t="s">
        <v>248</v>
      </c>
      <c r="T18" s="86" t="s">
        <v>157</v>
      </c>
      <c r="U18" s="86" t="s">
        <v>158</v>
      </c>
      <c r="V18" s="86" t="s">
        <v>159</v>
      </c>
      <c r="W18" s="86" t="s">
        <v>160</v>
      </c>
      <c r="X18" s="87" t="s">
        <v>161</v>
      </c>
      <c r="Y18" s="1210"/>
      <c r="Z18" s="1210"/>
      <c r="AA18" s="1210"/>
      <c r="AB18" s="1011" t="s">
        <v>183</v>
      </c>
      <c r="AC18" s="1012">
        <f>U12</f>
        <v>0.19980000000000001</v>
      </c>
      <c r="AD18" s="287">
        <f>SUM(AD19:AD24)</f>
        <v>1</v>
      </c>
      <c r="AE18" s="287"/>
      <c r="AF18" s="1013">
        <f t="shared" ref="AF18:AF23" si="8">$U$9*AC18</f>
        <v>5851012.7303999998</v>
      </c>
      <c r="AG18" s="724"/>
      <c r="AJ18" s="44" t="s">
        <v>196</v>
      </c>
      <c r="AK18" s="502">
        <f>U22</f>
        <v>144121.1295092174</v>
      </c>
      <c r="AL18" s="736">
        <f>AL11</f>
        <v>9.16</v>
      </c>
      <c r="AN18" s="460">
        <f>(AK18/AL18)*1000</f>
        <v>15733747.763014998</v>
      </c>
      <c r="AO18" s="460">
        <f>AN18*0.5</f>
        <v>7866873.8815074991</v>
      </c>
      <c r="AP18" s="460">
        <f>AO18/4</f>
        <v>1966718.4703768748</v>
      </c>
      <c r="AQ18" s="1068">
        <f>AP18/'IMC Schedule'!$U$9</f>
        <v>6.7159373682380591E-2</v>
      </c>
      <c r="AS18" s="722" t="s">
        <v>249</v>
      </c>
      <c r="AT18" s="1257" t="s">
        <v>250</v>
      </c>
      <c r="AU18" s="1257"/>
      <c r="AV18" s="1257"/>
      <c r="AW18" s="718">
        <v>181000</v>
      </c>
      <c r="AX18" s="719" t="s">
        <v>251</v>
      </c>
      <c r="AZ18" s="85"/>
      <c r="BA18" s="78" t="s">
        <v>219</v>
      </c>
      <c r="BB18" s="502">
        <f t="shared" si="6"/>
        <v>1800</v>
      </c>
      <c r="BC18" s="79" t="s">
        <v>220</v>
      </c>
      <c r="BD18" s="502">
        <f t="shared" si="2"/>
        <v>3000</v>
      </c>
      <c r="BE18" s="44" t="s">
        <v>221</v>
      </c>
      <c r="BF18" s="502">
        <f t="shared" si="3"/>
        <v>2100</v>
      </c>
      <c r="BG18" s="44" t="s">
        <v>222</v>
      </c>
      <c r="BH18" s="502">
        <f t="shared" si="4"/>
        <v>2100</v>
      </c>
      <c r="BI18" s="44" t="s">
        <v>227</v>
      </c>
      <c r="BJ18" s="503">
        <f t="shared" si="5"/>
        <v>2700</v>
      </c>
      <c r="BL18" s="44" t="s">
        <v>211</v>
      </c>
      <c r="BM18" s="34">
        <f>$BM$15*BN18</f>
        <v>3992.9575928519148</v>
      </c>
      <c r="BN18" s="751">
        <f t="shared" si="7"/>
        <v>0.2</v>
      </c>
      <c r="BO18" s="739">
        <f t="shared" si="7"/>
        <v>20</v>
      </c>
      <c r="BP18" s="471"/>
      <c r="BQ18" s="40">
        <f>(BM18/BO18)*1000</f>
        <v>199647.87964259574</v>
      </c>
      <c r="BR18" s="40">
        <f>BQ18*0.5</f>
        <v>99823.93982129787</v>
      </c>
      <c r="BS18" s="40">
        <f>BR18/4</f>
        <v>24955.984955324468</v>
      </c>
      <c r="BT18" s="43">
        <f>BS18/'IMC Schedule'!$U$9</f>
        <v>8.5219534187083376E-4</v>
      </c>
      <c r="BV18" s="101"/>
      <c r="BW18" s="35" t="s">
        <v>252</v>
      </c>
      <c r="BX18" s="35" t="s">
        <v>139</v>
      </c>
      <c r="BY18" s="56">
        <v>2000</v>
      </c>
      <c r="BZ18" s="56">
        <f>2*BY18</f>
        <v>4000</v>
      </c>
      <c r="CA18" s="57">
        <f>SUM(BY18:BZ18)</f>
        <v>6000</v>
      </c>
    </row>
    <row r="19" spans="2:79" ht="18.75" customHeight="1">
      <c r="B19" s="182" t="s">
        <v>253</v>
      </c>
      <c r="C19" s="89" t="s">
        <v>137</v>
      </c>
      <c r="D19" s="89" t="s">
        <v>138</v>
      </c>
      <c r="E19" s="89" t="s">
        <v>139</v>
      </c>
      <c r="F19" s="89" t="s">
        <v>140</v>
      </c>
      <c r="G19" s="89" t="s">
        <v>141</v>
      </c>
      <c r="H19" s="89" t="s">
        <v>142</v>
      </c>
      <c r="I19" s="89" t="s">
        <v>143</v>
      </c>
      <c r="J19" s="89" t="s">
        <v>144</v>
      </c>
      <c r="K19" s="89" t="s">
        <v>145</v>
      </c>
      <c r="L19" s="89" t="s">
        <v>146</v>
      </c>
      <c r="M19" s="89" t="s">
        <v>147</v>
      </c>
      <c r="N19" s="89" t="s">
        <v>148</v>
      </c>
      <c r="O19" s="694" t="s">
        <v>149</v>
      </c>
      <c r="P19" s="1196" t="s">
        <v>37</v>
      </c>
      <c r="S19" s="39" t="s">
        <v>254</v>
      </c>
      <c r="T19" s="681">
        <f>AC10</f>
        <v>3.2264999999999995E-2</v>
      </c>
      <c r="U19" s="681">
        <f>AC19</f>
        <v>3.9505513930812121E-2</v>
      </c>
      <c r="V19" s="681">
        <f>AC28</f>
        <v>6.4867986213904175E-2</v>
      </c>
      <c r="W19" s="681">
        <f>AC37</f>
        <v>6.7908432058067722E-2</v>
      </c>
      <c r="X19" s="681">
        <f>AC46</f>
        <v>7.7422214791398672E-2</v>
      </c>
      <c r="Y19" s="1066"/>
      <c r="Z19" s="1066"/>
      <c r="AA19" s="1066"/>
      <c r="AB19" s="39" t="s">
        <v>189</v>
      </c>
      <c r="AC19" s="1014">
        <f>($AC$18-$U$27-$U$39-$U$41-$U$43)*AD19</f>
        <v>3.9505513930812121E-2</v>
      </c>
      <c r="AD19" s="1016">
        <v>0.25</v>
      </c>
      <c r="AE19" s="39">
        <v>10.5</v>
      </c>
      <c r="AF19" s="1015">
        <f t="shared" si="8"/>
        <v>1156893.21786875</v>
      </c>
      <c r="AG19" s="1015">
        <f>((AF19*8)*AE19)/1000</f>
        <v>97179.030300974991</v>
      </c>
      <c r="AJ19" s="42" t="s">
        <v>203</v>
      </c>
      <c r="AK19" s="502">
        <f>U24</f>
        <v>92403.375097612807</v>
      </c>
      <c r="AL19" s="736">
        <f>AL12</f>
        <v>9.6</v>
      </c>
      <c r="AN19" s="460">
        <f>(AK19/AL19)*1000</f>
        <v>9625351.5726680011</v>
      </c>
      <c r="AO19" s="460">
        <f>AN19*0.5</f>
        <v>4812675.7863340005</v>
      </c>
      <c r="AP19" s="460">
        <f>AO19/4</f>
        <v>1203168.9465835001</v>
      </c>
      <c r="AQ19" s="1068">
        <f>AP19/'IMC Schedule'!$U$9</f>
        <v>4.108573448804461E-2</v>
      </c>
      <c r="AS19" s="722" t="s">
        <v>255</v>
      </c>
      <c r="AT19" s="1257" t="s">
        <v>256</v>
      </c>
      <c r="AU19" s="1257"/>
      <c r="AV19" s="1257"/>
      <c r="AW19" s="718">
        <v>628600</v>
      </c>
      <c r="AX19" s="719" t="s">
        <v>257</v>
      </c>
      <c r="AZ19" s="85"/>
      <c r="BA19" s="78" t="s">
        <v>228</v>
      </c>
      <c r="BB19" s="502">
        <f t="shared" si="6"/>
        <v>2100</v>
      </c>
      <c r="BC19" s="79" t="s">
        <v>229</v>
      </c>
      <c r="BD19" s="502">
        <f t="shared" si="2"/>
        <v>2940</v>
      </c>
      <c r="BE19" s="44" t="s">
        <v>230</v>
      </c>
      <c r="BF19" s="502">
        <f t="shared" si="3"/>
        <v>5970</v>
      </c>
      <c r="BG19" s="44" t="s">
        <v>228</v>
      </c>
      <c r="BH19" s="502">
        <f t="shared" si="4"/>
        <v>2100</v>
      </c>
      <c r="BI19" s="44" t="s">
        <v>237</v>
      </c>
      <c r="BJ19" s="503">
        <f t="shared" si="5"/>
        <v>1770</v>
      </c>
      <c r="BL19" s="44" t="s">
        <v>223</v>
      </c>
      <c r="BM19" s="34">
        <f>$BM$15*BN19</f>
        <v>5989.436389277872</v>
      </c>
      <c r="BN19" s="751">
        <f>BN13</f>
        <v>0.3</v>
      </c>
      <c r="BO19" s="595"/>
      <c r="BP19" s="739">
        <f>BP13</f>
        <v>0.81</v>
      </c>
      <c r="BS19" s="40">
        <f>BM19/BP19</f>
        <v>7394.3659126887305</v>
      </c>
      <c r="BT19" s="43">
        <f>BS19/'IMC Schedule'!$U$9</f>
        <v>2.5250232351728408E-4</v>
      </c>
      <c r="BU19" s="71"/>
      <c r="BV19" s="101"/>
      <c r="BW19" s="1101" t="s">
        <v>258</v>
      </c>
      <c r="BX19" s="97" t="s">
        <v>259</v>
      </c>
      <c r="BY19" s="97" t="s">
        <v>260</v>
      </c>
      <c r="BZ19" s="97" t="s">
        <v>261</v>
      </c>
      <c r="CA19" s="106" t="s">
        <v>149</v>
      </c>
    </row>
    <row r="20" spans="2:79" ht="15" customHeight="1">
      <c r="B20" s="191" t="s">
        <v>248</v>
      </c>
      <c r="O20" s="538"/>
      <c r="P20" s="534"/>
      <c r="R20" s="262"/>
      <c r="S20" s="39" t="s">
        <v>165</v>
      </c>
      <c r="T20" s="854">
        <f>AG10</f>
        <v>78705.950399999987</v>
      </c>
      <c r="U20" s="854">
        <f>AG19</f>
        <v>97179.030300974991</v>
      </c>
      <c r="V20" s="854">
        <f>AG28</f>
        <v>160446.02503221409</v>
      </c>
      <c r="W20" s="854">
        <f>AG37</f>
        <v>168543.78498314356</v>
      </c>
      <c r="X20" s="854">
        <f>AG46</f>
        <v>192301.17907637873</v>
      </c>
      <c r="Y20" s="502"/>
      <c r="Z20" s="502"/>
      <c r="AA20" s="502"/>
      <c r="AB20" s="39" t="s">
        <v>195</v>
      </c>
      <c r="AC20" s="1014">
        <f t="shared" ref="AC20:AC24" si="9">($AC$18-$U$27-$U$39-$U$41-$U$43)*AD20</f>
        <v>6.7159373682380605E-2</v>
      </c>
      <c r="AD20" s="1016">
        <v>0.42499999999999999</v>
      </c>
      <c r="AE20" s="39">
        <v>9.16</v>
      </c>
      <c r="AF20" s="1015">
        <f t="shared" si="8"/>
        <v>1966718.470376875</v>
      </c>
      <c r="AG20" s="1015">
        <f>((AF20*8)*AE20)/1000</f>
        <v>144121.1295092174</v>
      </c>
      <c r="AJ20" s="42" t="s">
        <v>216</v>
      </c>
      <c r="AK20" s="502">
        <f>U26</f>
        <v>45118.835496881242</v>
      </c>
      <c r="AM20" s="760">
        <f>AM13</f>
        <v>1.3</v>
      </c>
      <c r="AN20" s="460"/>
      <c r="AO20" s="460"/>
      <c r="AP20" s="460">
        <f>AK20/AM20</f>
        <v>34706.796536062495</v>
      </c>
      <c r="AQ20" s="1068">
        <f>AP20/'IMC Schedule'!$U$9</f>
        <v>1.1851654179243635E-3</v>
      </c>
      <c r="AS20" s="723" t="s">
        <v>262</v>
      </c>
      <c r="AT20" s="1269" t="s">
        <v>263</v>
      </c>
      <c r="AU20" s="1269"/>
      <c r="AV20" s="1269"/>
      <c r="AW20" s="720">
        <v>2120000</v>
      </c>
      <c r="AX20" s="721" t="s">
        <v>264</v>
      </c>
      <c r="AZ20" s="85"/>
      <c r="BA20" s="78" t="s">
        <v>222</v>
      </c>
      <c r="BB20" s="502">
        <f t="shared" si="6"/>
        <v>2100</v>
      </c>
      <c r="BC20" s="79" t="s">
        <v>238</v>
      </c>
      <c r="BD20" s="502">
        <f t="shared" si="2"/>
        <v>1500</v>
      </c>
      <c r="BE20" s="44" t="s">
        <v>239</v>
      </c>
      <c r="BF20" s="502">
        <f t="shared" si="3"/>
        <v>2850</v>
      </c>
      <c r="BG20" s="44" t="s">
        <v>219</v>
      </c>
      <c r="BH20" s="502">
        <f t="shared" si="4"/>
        <v>1800</v>
      </c>
      <c r="BI20" s="44" t="s">
        <v>243</v>
      </c>
      <c r="BJ20" s="503">
        <f t="shared" si="5"/>
        <v>3000</v>
      </c>
      <c r="BL20" s="741" t="s">
        <v>159</v>
      </c>
      <c r="BM20" s="743" t="s">
        <v>166</v>
      </c>
      <c r="BN20" s="743" t="s">
        <v>174</v>
      </c>
      <c r="BO20" s="743" t="s">
        <v>167</v>
      </c>
      <c r="BP20" s="75" t="s">
        <v>175</v>
      </c>
      <c r="BQ20" s="75" t="s">
        <v>169</v>
      </c>
      <c r="BR20" s="75" t="s">
        <v>170</v>
      </c>
      <c r="BS20" s="75" t="s">
        <v>164</v>
      </c>
      <c r="BT20" s="744" t="s">
        <v>37</v>
      </c>
      <c r="BU20" s="36"/>
      <c r="BV20" s="101"/>
      <c r="BW20" s="41" t="s">
        <v>265</v>
      </c>
      <c r="BX20" s="41" t="s">
        <v>266</v>
      </c>
      <c r="BY20" s="41">
        <v>3</v>
      </c>
      <c r="BZ20" s="54">
        <v>600</v>
      </c>
      <c r="CA20" s="55">
        <f>BZ20*BY20</f>
        <v>1800</v>
      </c>
    </row>
    <row r="21" spans="2:79" ht="15.75" customHeight="1">
      <c r="B21" s="127" t="s">
        <v>267</v>
      </c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532">
        <f>'IMC Schedule'!T20</f>
        <v>78705.950399999987</v>
      </c>
      <c r="P21" s="1068">
        <f>'IMC Schedule'!T19</f>
        <v>3.2264999999999995E-2</v>
      </c>
      <c r="R21" s="496"/>
      <c r="S21" s="39" t="s">
        <v>268</v>
      </c>
      <c r="T21" s="681">
        <f>AC11</f>
        <v>4.421499999999999E-2</v>
      </c>
      <c r="U21" s="681">
        <f>AC20</f>
        <v>6.7159373682380605E-2</v>
      </c>
      <c r="V21" s="681">
        <f>AC29</f>
        <v>5.159953448833287E-2</v>
      </c>
      <c r="W21" s="681">
        <f>AC38</f>
        <v>8.0202199930648962E-2</v>
      </c>
      <c r="X21" s="681">
        <f>AC47</f>
        <v>9.1438305400186368E-2</v>
      </c>
      <c r="Y21" s="1066"/>
      <c r="Z21" s="1066"/>
      <c r="AA21" s="1066"/>
      <c r="AB21" s="39" t="s">
        <v>202</v>
      </c>
      <c r="AC21" s="1014">
        <f t="shared" si="9"/>
        <v>4.108573448804461E-2</v>
      </c>
      <c r="AD21" s="1016">
        <v>0.26</v>
      </c>
      <c r="AE21" s="39">
        <v>9.6</v>
      </c>
      <c r="AF21" s="1015">
        <f t="shared" si="8"/>
        <v>1203168.9465835001</v>
      </c>
      <c r="AG21" s="1015">
        <f>((AF21*8)*AE21)/1000</f>
        <v>92403.375097612807</v>
      </c>
      <c r="AJ21" s="192" t="s">
        <v>183</v>
      </c>
      <c r="AK21" s="732">
        <f>SUM(AK17:AK20)</f>
        <v>378822.37040468643</v>
      </c>
      <c r="AL21" s="733"/>
      <c r="AM21" s="626"/>
      <c r="AN21" s="733"/>
      <c r="AO21" s="733"/>
      <c r="AP21" s="733"/>
      <c r="AQ21" s="696">
        <f>SUM(AQ17:AQ20)</f>
        <v>0.14893578751916167</v>
      </c>
      <c r="AS21" s="704"/>
      <c r="AT21" s="1191"/>
      <c r="AU21" s="1191"/>
      <c r="AV21" s="1191"/>
      <c r="AW21" s="705"/>
      <c r="AX21" s="706"/>
      <c r="AZ21" s="85"/>
      <c r="BA21" s="78" t="s">
        <v>210</v>
      </c>
      <c r="BB21" s="502">
        <f t="shared" si="6"/>
        <v>2910</v>
      </c>
      <c r="BC21" s="79" t="s">
        <v>244</v>
      </c>
      <c r="BD21" s="502">
        <f t="shared" si="2"/>
        <v>3600</v>
      </c>
      <c r="BE21" s="44" t="s">
        <v>206</v>
      </c>
      <c r="BF21" s="502">
        <f t="shared" si="3"/>
        <v>5970</v>
      </c>
      <c r="BG21" s="44" t="s">
        <v>207</v>
      </c>
      <c r="BH21" s="502">
        <f t="shared" si="4"/>
        <v>2760</v>
      </c>
      <c r="BI21" s="44" t="s">
        <v>208</v>
      </c>
      <c r="BJ21" s="503">
        <f t="shared" si="5"/>
        <v>2400</v>
      </c>
      <c r="BL21" s="192" t="s">
        <v>183</v>
      </c>
      <c r="BM21" s="745">
        <f>'IMC Schedule'!V32</f>
        <v>24971.646127236785</v>
      </c>
      <c r="BN21" s="188"/>
      <c r="BO21" s="188"/>
      <c r="BP21" s="188"/>
      <c r="BQ21" s="188"/>
      <c r="BR21" s="188"/>
      <c r="BS21" s="188"/>
      <c r="BT21" s="746">
        <f>SUM(BT22:BT25)</f>
        <v>3.4399690265293371E-3</v>
      </c>
      <c r="BU21" s="36"/>
      <c r="BV21" s="611"/>
      <c r="BW21" s="219" t="s">
        <v>212</v>
      </c>
      <c r="BX21" s="708"/>
      <c r="BY21" s="708"/>
      <c r="BZ21" s="708"/>
      <c r="CA21" s="308">
        <f>SUM(CA16:CA20)</f>
        <v>19800</v>
      </c>
    </row>
    <row r="22" spans="2:79" ht="16.5" customHeight="1">
      <c r="B22" s="127" t="s">
        <v>269</v>
      </c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532">
        <f>'IMC Schedule'!T22</f>
        <v>94091.783807999964</v>
      </c>
      <c r="P22" s="1068">
        <f>'IMC Schedule'!T21</f>
        <v>4.421499999999999E-2</v>
      </c>
      <c r="R22" s="262"/>
      <c r="S22" s="39" t="s">
        <v>165</v>
      </c>
      <c r="T22" s="854">
        <f>AG11</f>
        <v>94091.783807999964</v>
      </c>
      <c r="U22" s="854">
        <f>AG20</f>
        <v>144121.1295092174</v>
      </c>
      <c r="V22" s="854">
        <f>AG29</f>
        <v>111339.8173708395</v>
      </c>
      <c r="W22" s="854">
        <f>AG38</f>
        <v>173652.68197951277</v>
      </c>
      <c r="X22" s="854">
        <f>AG47</f>
        <v>198130.2098904181</v>
      </c>
      <c r="Y22" s="502"/>
      <c r="Z22" s="502"/>
      <c r="AA22" s="502"/>
      <c r="AB22" s="39" t="s">
        <v>215</v>
      </c>
      <c r="AC22" s="1014">
        <f t="shared" si="9"/>
        <v>1.1851654179243635E-3</v>
      </c>
      <c r="AD22" s="1016">
        <v>7.4999999999999997E-3</v>
      </c>
      <c r="AE22" s="39">
        <v>1.3</v>
      </c>
      <c r="AF22" s="1015">
        <f t="shared" si="8"/>
        <v>34706.796536062495</v>
      </c>
      <c r="AG22" s="1015">
        <f>AF22*AE22</f>
        <v>45118.835496881242</v>
      </c>
      <c r="AJ22" s="105" t="s">
        <v>159</v>
      </c>
      <c r="AK22" s="782" t="s">
        <v>166</v>
      </c>
      <c r="AL22" s="782" t="s">
        <v>167</v>
      </c>
      <c r="AM22" s="761" t="s">
        <v>168</v>
      </c>
      <c r="AN22" s="1184" t="s">
        <v>169</v>
      </c>
      <c r="AO22" s="1184" t="s">
        <v>170</v>
      </c>
      <c r="AP22" s="1184" t="s">
        <v>171</v>
      </c>
      <c r="AQ22" s="783" t="s">
        <v>37</v>
      </c>
      <c r="AZ22" s="72" t="s">
        <v>37</v>
      </c>
      <c r="BA22" s="1266">
        <f>(BB11*$BG$25)/1000</f>
        <v>8.4149999999999989E-3</v>
      </c>
      <c r="BB22" s="1266"/>
      <c r="BC22" s="1266">
        <f>(BD11*$BG$25)/1000</f>
        <v>7.5329999999999998E-3</v>
      </c>
      <c r="BD22" s="1266"/>
      <c r="BE22" s="1266">
        <f>(BF11*$BG$25)/1000</f>
        <v>9.9989999999999992E-3</v>
      </c>
      <c r="BF22" s="1266"/>
      <c r="BG22" s="1266">
        <f>(BH11*$BG$25)/1000</f>
        <v>9.4680000000000007E-3</v>
      </c>
      <c r="BH22" s="1266"/>
      <c r="BI22" s="1266">
        <f>(BJ11*$BG$25)/1000</f>
        <v>7.3439999999999998E-3</v>
      </c>
      <c r="BJ22" s="1267"/>
      <c r="BL22" s="44" t="s">
        <v>192</v>
      </c>
      <c r="BM22" s="34">
        <f>$BM$21*BN22</f>
        <v>7491.4938381710353</v>
      </c>
      <c r="BN22" s="751">
        <f t="shared" ref="BN22:BO24" si="10">BN10</f>
        <v>0.3</v>
      </c>
      <c r="BO22" s="739">
        <f t="shared" si="10"/>
        <v>22.5</v>
      </c>
      <c r="BP22" s="471"/>
      <c r="BQ22" s="40">
        <f>(BM22/BO22)*1000</f>
        <v>332955.28169649048</v>
      </c>
      <c r="BR22" s="40">
        <f>BQ22*0.5</f>
        <v>166477.64084824524</v>
      </c>
      <c r="BS22" s="40">
        <f>BR22/4</f>
        <v>41619.41021206131</v>
      </c>
      <c r="BT22" s="43">
        <f>BS22/'IMC Schedule'!$V$9</f>
        <v>1.4134376684949339E-3</v>
      </c>
      <c r="BU22" s="36"/>
    </row>
    <row r="23" spans="2:79" ht="21">
      <c r="B23" s="127" t="s">
        <v>270</v>
      </c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532">
        <f>'IMC Schedule'!T24</f>
        <v>77290.076159999982</v>
      </c>
      <c r="P23" s="1068">
        <f>'IMC Schedule'!T23</f>
        <v>3.4654999999999991E-2</v>
      </c>
      <c r="R23" s="496"/>
      <c r="S23" s="39" t="s">
        <v>271</v>
      </c>
      <c r="T23" s="681">
        <f>AC12</f>
        <v>3.4654999999999991E-2</v>
      </c>
      <c r="U23" s="681">
        <f>AC21</f>
        <v>4.108573448804461E-2</v>
      </c>
      <c r="V23" s="681">
        <f>AC30</f>
        <v>6.6833682765840674E-2</v>
      </c>
      <c r="W23" s="681">
        <f>AC39</f>
        <v>7.0250102129035583E-2</v>
      </c>
      <c r="X23" s="681">
        <f>AC48</f>
        <v>8.0091946335929656E-2</v>
      </c>
      <c r="Y23" s="1066"/>
      <c r="Z23" s="1066"/>
      <c r="AA23" s="1066"/>
      <c r="AB23" s="39" t="s">
        <v>226</v>
      </c>
      <c r="AC23" s="1014">
        <f t="shared" si="9"/>
        <v>2.7653859751568489E-3</v>
      </c>
      <c r="AD23" s="1016">
        <v>1.7500000000000002E-2</v>
      </c>
      <c r="AE23" s="1062">
        <v>0.24653205</v>
      </c>
      <c r="AF23" s="1015">
        <f t="shared" si="8"/>
        <v>80982.525250812512</v>
      </c>
      <c r="AG23" s="1015">
        <f>(0.24653205*AF23)</f>
        <v>19964.787964259573</v>
      </c>
      <c r="AJ23" s="46" t="s">
        <v>184</v>
      </c>
      <c r="AK23" s="698">
        <f>AK24+AK25</f>
        <v>271785.8424030536</v>
      </c>
      <c r="AL23" s="738">
        <f>AL9</f>
        <v>9.1</v>
      </c>
      <c r="AM23" s="759"/>
      <c r="AN23" s="731">
        <f>(AK23/AL23)*1000</f>
        <v>29866576.088247649</v>
      </c>
      <c r="AO23" s="731">
        <f>AN23*0.5</f>
        <v>14933288.044123825</v>
      </c>
      <c r="AP23" s="731">
        <f>AO23/4</f>
        <v>3733322.0110309562</v>
      </c>
      <c r="AQ23" s="115">
        <f>AP23/'IMC Schedule'!$V$9</f>
        <v>0.12678742759990361</v>
      </c>
      <c r="AS23" s="710" t="s">
        <v>272</v>
      </c>
      <c r="BH23" s="32"/>
      <c r="BI23" s="32"/>
      <c r="BJ23" s="32"/>
      <c r="BL23" s="44" t="s">
        <v>199</v>
      </c>
      <c r="BM23" s="34">
        <f>$BM$21*BN23</f>
        <v>4994.3292254473572</v>
      </c>
      <c r="BN23" s="751">
        <f t="shared" si="10"/>
        <v>0.2</v>
      </c>
      <c r="BO23" s="739">
        <f t="shared" si="10"/>
        <v>32.5</v>
      </c>
      <c r="BP23" s="471"/>
      <c r="BQ23" s="40">
        <f>(BM23/BO23)*1000</f>
        <v>153671.6684753033</v>
      </c>
      <c r="BR23" s="40">
        <f>BQ23*0.5</f>
        <v>76835.834237651652</v>
      </c>
      <c r="BS23" s="40">
        <f>BR23/4</f>
        <v>19208.958559412913</v>
      </c>
      <c r="BT23" s="43">
        <f>BS23/'IMC Schedule'!$V$9</f>
        <v>6.5235584699766176E-4</v>
      </c>
      <c r="BU23" s="36"/>
    </row>
    <row r="24" spans="2:79" ht="14.4">
      <c r="B24" s="127" t="s">
        <v>216</v>
      </c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532">
        <f>'IMC Schedule'!T26</f>
        <v>33835.229999999996</v>
      </c>
      <c r="P24" s="1068">
        <f>'IMC Schedule'!T25</f>
        <v>8.962499999999998E-4</v>
      </c>
      <c r="R24" s="262"/>
      <c r="S24" s="39" t="s">
        <v>165</v>
      </c>
      <c r="T24" s="854">
        <f>AG12</f>
        <v>77290.076159999982</v>
      </c>
      <c r="U24" s="854">
        <f>AG21</f>
        <v>92403.375097612807</v>
      </c>
      <c r="V24" s="854">
        <f>AG30</f>
        <v>151138.76643727184</v>
      </c>
      <c r="W24" s="854">
        <f>AG39</f>
        <v>159410.87052592891</v>
      </c>
      <c r="X24" s="854">
        <f>AG48</f>
        <v>181880.91814120553</v>
      </c>
      <c r="Y24" s="502"/>
      <c r="Z24" s="502"/>
      <c r="AA24" s="502"/>
      <c r="AB24" s="1168" t="s">
        <v>232</v>
      </c>
      <c r="AC24" s="1014">
        <f t="shared" si="9"/>
        <v>6.3208822289299391E-3</v>
      </c>
      <c r="AD24" s="1169">
        <v>0.04</v>
      </c>
      <c r="AE24" s="1061">
        <v>0.03</v>
      </c>
      <c r="AF24" s="1170">
        <f t="shared" ref="AF24" si="11">$T$9*AC24</f>
        <v>183558.41992812543</v>
      </c>
      <c r="AG24" s="1170">
        <f>(((AF24/$T$9)*100)/AE24)*1000</f>
        <v>21069.607429766464</v>
      </c>
      <c r="AJ24" s="44" t="s">
        <v>189</v>
      </c>
      <c r="AK24" s="502">
        <f>V20</f>
        <v>160446.02503221409</v>
      </c>
      <c r="AL24" s="736">
        <f>AL10</f>
        <v>10.5</v>
      </c>
      <c r="AN24" s="460">
        <f>(AK24/AL24)*1000</f>
        <v>15280573.812591817</v>
      </c>
      <c r="AO24" s="460">
        <f>AN24*0.5</f>
        <v>7640286.9062959086</v>
      </c>
      <c r="AP24" s="460">
        <f>AO24/4</f>
        <v>1910071.7265739772</v>
      </c>
      <c r="AQ24" s="1068">
        <f>AP24/'IMC Schedule'!$V$9</f>
        <v>6.4867986213904161E-2</v>
      </c>
      <c r="AS24" s="105"/>
      <c r="AT24" s="782" t="s">
        <v>157</v>
      </c>
      <c r="AU24" s="782" t="s">
        <v>158</v>
      </c>
      <c r="AV24" s="782" t="s">
        <v>159</v>
      </c>
      <c r="AW24" s="1184" t="s">
        <v>160</v>
      </c>
      <c r="AX24" s="1196" t="s">
        <v>161</v>
      </c>
      <c r="AZ24" s="74" t="s">
        <v>273</v>
      </c>
      <c r="BA24" s="75" t="s">
        <v>274</v>
      </c>
      <c r="BB24" s="75" t="s">
        <v>275</v>
      </c>
      <c r="BC24" s="75" t="s">
        <v>276</v>
      </c>
      <c r="BD24" s="76" t="s">
        <v>277</v>
      </c>
      <c r="BF24" s="1239" t="s">
        <v>278</v>
      </c>
      <c r="BG24" s="1265"/>
      <c r="BI24" s="37"/>
      <c r="BJ24" s="37"/>
      <c r="BL24" s="44" t="s">
        <v>211</v>
      </c>
      <c r="BM24" s="34">
        <f>$BM$21*BN24</f>
        <v>4994.3292254473572</v>
      </c>
      <c r="BN24" s="751">
        <f t="shared" si="10"/>
        <v>0.2</v>
      </c>
      <c r="BO24" s="739">
        <f t="shared" si="10"/>
        <v>20</v>
      </c>
      <c r="BP24" s="471"/>
      <c r="BQ24" s="40">
        <f>(BM24/BO24)*1000</f>
        <v>249716.46127236786</v>
      </c>
      <c r="BR24" s="40">
        <f>BQ24*0.5</f>
        <v>124858.23063618393</v>
      </c>
      <c r="BS24" s="40">
        <f>BR24/4</f>
        <v>31214.557659045982</v>
      </c>
      <c r="BT24" s="43">
        <f>BS24/'IMC Schedule'!$V$9</f>
        <v>1.0600782513712004E-3</v>
      </c>
      <c r="BU24" s="36"/>
      <c r="BV24" s="105" t="s">
        <v>158</v>
      </c>
      <c r="BW24" s="1185" t="s">
        <v>177</v>
      </c>
      <c r="BX24" s="100" t="s">
        <v>178</v>
      </c>
      <c r="BY24" s="100" t="s">
        <v>179</v>
      </c>
      <c r="BZ24" s="100" t="s">
        <v>180</v>
      </c>
      <c r="CA24" s="103" t="s">
        <v>149</v>
      </c>
    </row>
    <row r="25" spans="2:79" ht="14.4">
      <c r="B25" s="127" t="s">
        <v>152</v>
      </c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532">
        <f>'IMC Schedule'!T28</f>
        <v>10000</v>
      </c>
      <c r="P25" s="581">
        <f>'IMC Schedule'!T27</f>
        <v>0.01</v>
      </c>
      <c r="R25" s="496"/>
      <c r="S25" s="39" t="s">
        <v>279</v>
      </c>
      <c r="T25" s="681">
        <f>AC13</f>
        <v>8.962499999999998E-4</v>
      </c>
      <c r="U25" s="681">
        <f>AC22</f>
        <v>1.1851654179243635E-3</v>
      </c>
      <c r="V25" s="681">
        <f>AC31</f>
        <v>1.9656965519364903E-3</v>
      </c>
      <c r="W25" s="681">
        <f>AC40</f>
        <v>2.3416700709678528E-3</v>
      </c>
      <c r="X25" s="681">
        <f>AC49</f>
        <v>2.6697315445309887E-3</v>
      </c>
      <c r="Y25" s="1066"/>
      <c r="Z25" s="1066"/>
      <c r="AA25" s="1066"/>
      <c r="AC25" s="23"/>
      <c r="AD25" s="23"/>
      <c r="AE25" s="23"/>
      <c r="AJ25" s="44" t="s">
        <v>196</v>
      </c>
      <c r="AK25" s="502">
        <f>V22</f>
        <v>111339.8173708395</v>
      </c>
      <c r="AL25" s="736">
        <f>AL11</f>
        <v>9.16</v>
      </c>
      <c r="AN25" s="460">
        <f>(AK25/AL25)*1000</f>
        <v>12155001.896379858</v>
      </c>
      <c r="AO25" s="460">
        <f>AN25*0.5</f>
        <v>6077500.9481899291</v>
      </c>
      <c r="AP25" s="460">
        <f>AO25/4</f>
        <v>1519375.2370474823</v>
      </c>
      <c r="AQ25" s="1068">
        <f>AP25/'IMC Schedule'!$V$9</f>
        <v>5.159953448833287E-2</v>
      </c>
      <c r="AS25" s="83" t="s">
        <v>280</v>
      </c>
      <c r="AT25" s="1023">
        <f>'BASES Model'!C14</f>
        <v>104131.87784999998</v>
      </c>
      <c r="AU25" s="1023">
        <f>'BASES Model'!D14</f>
        <v>190238.37926306622</v>
      </c>
      <c r="AV25" s="1023">
        <f>'BASES Model'!E14</f>
        <v>315145.24217365083</v>
      </c>
      <c r="AW25" s="1023">
        <f>'BASES Model'!F14</f>
        <v>474692.06507766596</v>
      </c>
      <c r="AX25" s="1023">
        <f>'BASES Model'!G14</f>
        <v>694734.97566821391</v>
      </c>
      <c r="AZ25" s="73">
        <v>1</v>
      </c>
      <c r="BA25" t="s">
        <v>206</v>
      </c>
      <c r="BB25" s="63" t="s">
        <v>281</v>
      </c>
      <c r="BC25" s="37">
        <v>995</v>
      </c>
      <c r="BD25" s="50" t="s">
        <v>282</v>
      </c>
      <c r="BF25" s="748" t="s">
        <v>283</v>
      </c>
      <c r="BG25" s="198">
        <v>2.9999999999999997E-4</v>
      </c>
      <c r="BI25" s="37"/>
      <c r="BJ25" s="37"/>
      <c r="BL25" s="44" t="s">
        <v>223</v>
      </c>
      <c r="BM25" s="34">
        <f>$BM$21*BN25</f>
        <v>7491.4938381710353</v>
      </c>
      <c r="BN25" s="751">
        <f>BN13</f>
        <v>0.3</v>
      </c>
      <c r="BO25" s="595"/>
      <c r="BP25" s="739">
        <f>BP13</f>
        <v>0.81</v>
      </c>
      <c r="BS25" s="40">
        <f>BM25/BP25</f>
        <v>9248.7578249025119</v>
      </c>
      <c r="BT25" s="43">
        <f>BS25/'IMC Schedule'!$V$9</f>
        <v>3.140972596655408E-4</v>
      </c>
      <c r="BV25" s="107"/>
      <c r="BW25" s="41" t="s">
        <v>187</v>
      </c>
      <c r="BX25" s="41" t="s">
        <v>138</v>
      </c>
      <c r="BY25" s="54">
        <v>2000</v>
      </c>
      <c r="BZ25" s="54">
        <f>2*BY25</f>
        <v>4000</v>
      </c>
      <c r="CA25" s="55">
        <f>SUM(BY25:BZ25)</f>
        <v>6000</v>
      </c>
    </row>
    <row r="26" spans="2:79" ht="15" customHeight="1">
      <c r="B26" s="130" t="s">
        <v>284</v>
      </c>
      <c r="O26" s="532"/>
      <c r="P26" s="1068"/>
      <c r="R26" s="262"/>
      <c r="S26" s="39" t="s">
        <v>165</v>
      </c>
      <c r="T26" s="854">
        <f>AG13</f>
        <v>33835.229999999996</v>
      </c>
      <c r="U26" s="854">
        <f>AG22</f>
        <v>45118.835496881242</v>
      </c>
      <c r="V26" s="854">
        <f>AG31</f>
        <v>75245.249834732458</v>
      </c>
      <c r="W26" s="854">
        <f>AG40</f>
        <v>89945.369654386974</v>
      </c>
      <c r="X26" s="854">
        <f>AG49</f>
        <v>102623.78193731215</v>
      </c>
      <c r="Y26" s="502"/>
      <c r="Z26" s="502"/>
      <c r="AA26" s="502"/>
      <c r="AB26" s="38" t="s">
        <v>159</v>
      </c>
      <c r="AC26" s="38" t="s">
        <v>37</v>
      </c>
      <c r="AD26" s="38" t="s">
        <v>162</v>
      </c>
      <c r="AE26" s="38" t="s">
        <v>163</v>
      </c>
      <c r="AF26" s="38" t="s">
        <v>164</v>
      </c>
      <c r="AG26" s="38" t="s">
        <v>165</v>
      </c>
      <c r="AJ26" s="42" t="s">
        <v>203</v>
      </c>
      <c r="AK26" s="502">
        <f>V24</f>
        <v>151138.76643727184</v>
      </c>
      <c r="AL26" s="736">
        <f>AL12</f>
        <v>9.6</v>
      </c>
      <c r="AN26" s="460">
        <f>(AK26/AL26)*1000</f>
        <v>15743621.503882485</v>
      </c>
      <c r="AO26" s="460">
        <f>AN26*0.5</f>
        <v>7871810.7519412423</v>
      </c>
      <c r="AP26" s="460">
        <f>AO26/4</f>
        <v>1967952.6879853106</v>
      </c>
      <c r="AQ26" s="1068">
        <f>AP26/'IMC Schedule'!$V$9</f>
        <v>6.6833682765840674E-2</v>
      </c>
      <c r="AS26" s="44" t="s">
        <v>285</v>
      </c>
      <c r="AT26" s="94">
        <v>0</v>
      </c>
      <c r="AU26" s="460">
        <f>AT25*$AT$32</f>
        <v>26032.969462499994</v>
      </c>
      <c r="AV26" s="460">
        <f>AU25*$AT$32</f>
        <v>47559.594815766555</v>
      </c>
      <c r="AW26" s="460">
        <f>AV25*$AT$32</f>
        <v>78786.310543412706</v>
      </c>
      <c r="AX26" s="638">
        <f>AW25*$AT$32</f>
        <v>118673.01626941649</v>
      </c>
      <c r="AZ26" s="73">
        <v>2</v>
      </c>
      <c r="BA26" t="s">
        <v>218</v>
      </c>
      <c r="BB26" s="63" t="s">
        <v>286</v>
      </c>
      <c r="BC26" s="37">
        <v>490</v>
      </c>
      <c r="BD26" s="50" t="s">
        <v>282</v>
      </c>
      <c r="BF26" s="37"/>
      <c r="BG26" s="747"/>
      <c r="BH26" s="24"/>
      <c r="BI26" s="37"/>
      <c r="BJ26" s="37"/>
      <c r="BL26" s="741" t="s">
        <v>160</v>
      </c>
      <c r="BM26" s="743" t="s">
        <v>166</v>
      </c>
      <c r="BN26" s="743" t="s">
        <v>174</v>
      </c>
      <c r="BO26" s="743" t="s">
        <v>167</v>
      </c>
      <c r="BP26" s="75" t="s">
        <v>175</v>
      </c>
      <c r="BQ26" s="75" t="s">
        <v>169</v>
      </c>
      <c r="BR26" s="75" t="s">
        <v>170</v>
      </c>
      <c r="BS26" s="75" t="s">
        <v>164</v>
      </c>
      <c r="BT26" s="744" t="s">
        <v>37</v>
      </c>
      <c r="BV26" s="101"/>
      <c r="BW26" t="s">
        <v>181</v>
      </c>
      <c r="BX26" t="s">
        <v>139</v>
      </c>
      <c r="BY26" s="37">
        <f>2000</f>
        <v>2000</v>
      </c>
      <c r="BZ26" s="37">
        <f>2*BY26</f>
        <v>4000</v>
      </c>
      <c r="CA26" s="58">
        <f>SUM(BY26:BZ26)</f>
        <v>6000</v>
      </c>
    </row>
    <row r="27" spans="2:79" ht="14.4">
      <c r="B27" s="127" t="s">
        <v>287</v>
      </c>
      <c r="E27" s="140"/>
      <c r="F27" s="140"/>
      <c r="K27" s="140"/>
      <c r="L27" s="140"/>
      <c r="O27" s="532">
        <f>'IMC Schedule'!T30</f>
        <v>15933.333333333334</v>
      </c>
      <c r="P27" s="1068">
        <f>'IMC Schedule'!T29</f>
        <v>4.7799999999999995E-3</v>
      </c>
      <c r="R27" s="496"/>
      <c r="S27" s="39" t="s">
        <v>288</v>
      </c>
      <c r="T27" s="682">
        <f>'IMC Schedule'!AX9</f>
        <v>0.01</v>
      </c>
      <c r="U27" s="682">
        <f>'IMC Schedule'!AX10</f>
        <v>0.02</v>
      </c>
      <c r="V27" s="682">
        <f>'IMC Schedule'!AX11</f>
        <v>0.03</v>
      </c>
      <c r="W27" s="682">
        <f>'IMC Schedule'!AX12</f>
        <v>0.04</v>
      </c>
      <c r="X27" s="682">
        <f>'IMC Schedule'!AX13</f>
        <v>0.05</v>
      </c>
      <c r="Y27" s="852"/>
      <c r="Z27" s="852"/>
      <c r="AA27" s="852"/>
      <c r="AB27" s="1011" t="s">
        <v>183</v>
      </c>
      <c r="AC27" s="1012">
        <f>V12</f>
        <v>0.24979999999999999</v>
      </c>
      <c r="AD27" s="287">
        <f>SUM(AD28:AD33)</f>
        <v>1</v>
      </c>
      <c r="AE27" s="287"/>
      <c r="AF27" s="1013">
        <f t="shared" ref="AF27:AF32" si="12">$V$9*AC27</f>
        <v>7355491.4395647999</v>
      </c>
      <c r="AG27" s="724"/>
      <c r="AJ27" s="42" t="s">
        <v>216</v>
      </c>
      <c r="AK27" s="502">
        <f>V26</f>
        <v>75245.249834732458</v>
      </c>
      <c r="AM27" s="760">
        <f>AM13</f>
        <v>1.3</v>
      </c>
      <c r="AN27" s="460"/>
      <c r="AO27" s="460"/>
      <c r="AP27" s="460">
        <f>AK27/AM27</f>
        <v>57880.961411332661</v>
      </c>
      <c r="AQ27" s="1068">
        <f>AP27/'IMC Schedule'!$V$9</f>
        <v>1.9656965519364903E-3</v>
      </c>
      <c r="AS27" s="44" t="s">
        <v>289</v>
      </c>
      <c r="AT27" s="94">
        <f>AT26*$AT$33</f>
        <v>0</v>
      </c>
      <c r="AU27" s="460">
        <f>AU26*$AT$33</f>
        <v>52065.938924999988</v>
      </c>
      <c r="AV27" s="460">
        <f>AV26*$AT$33</f>
        <v>95119.189631533111</v>
      </c>
      <c r="AW27" s="460">
        <f>AW26*$AT$33</f>
        <v>157572.62108682541</v>
      </c>
      <c r="AX27" s="638">
        <f>AX26*$AT$33</f>
        <v>237346.03253883298</v>
      </c>
      <c r="AZ27" s="73">
        <v>3</v>
      </c>
      <c r="BA27" t="s">
        <v>227</v>
      </c>
      <c r="BB27" s="63" t="s">
        <v>290</v>
      </c>
      <c r="BC27" s="37">
        <v>450</v>
      </c>
      <c r="BD27" s="50" t="s">
        <v>282</v>
      </c>
      <c r="BF27" s="37"/>
      <c r="BI27" s="37"/>
      <c r="BJ27" s="37"/>
      <c r="BL27" s="192" t="s">
        <v>183</v>
      </c>
      <c r="BM27" s="745">
        <f>'IMC Schedule'!W32</f>
        <v>29850.175881216677</v>
      </c>
      <c r="BN27" s="188"/>
      <c r="BO27" s="188"/>
      <c r="BP27" s="188"/>
      <c r="BQ27" s="188"/>
      <c r="BR27" s="188"/>
      <c r="BS27" s="188"/>
      <c r="BT27" s="746">
        <f>SUM(BT28:BT31)</f>
        <v>4.0979226964327643E-3</v>
      </c>
      <c r="BV27" s="101"/>
      <c r="BW27" s="35" t="s">
        <v>252</v>
      </c>
      <c r="BX27" s="35" t="s">
        <v>139</v>
      </c>
      <c r="BY27" s="56">
        <v>2000</v>
      </c>
      <c r="BZ27" s="56">
        <f>2*BY27</f>
        <v>4000</v>
      </c>
      <c r="CA27" s="57">
        <f>SUM(BY27:BZ27)</f>
        <v>6000</v>
      </c>
    </row>
    <row r="28" spans="2:79" ht="14.4">
      <c r="B28" s="156" t="s">
        <v>291</v>
      </c>
      <c r="C28" s="142"/>
      <c r="D28" s="142"/>
      <c r="E28" s="142"/>
      <c r="F28" s="142"/>
      <c r="G28" s="142"/>
      <c r="H28" s="142"/>
      <c r="O28" s="532">
        <f>'IMC Schedule'!BM10</f>
        <v>5774.8628866994977</v>
      </c>
      <c r="P28" s="1068">
        <f>'IMC Schedule'!BT10</f>
        <v>1.1047717490624996E-3</v>
      </c>
      <c r="R28" s="496"/>
      <c r="S28" s="39" t="s">
        <v>165</v>
      </c>
      <c r="T28" s="683">
        <f>'IMC Schedule'!AT9</f>
        <v>10000</v>
      </c>
      <c r="U28" s="683">
        <f>'IMC Schedule'!AT10</f>
        <v>20000</v>
      </c>
      <c r="V28" s="683">
        <f>'IMC Schedule'!AT11</f>
        <v>30000</v>
      </c>
      <c r="W28" s="683">
        <f>'IMC Schedule'!AT12</f>
        <v>40000</v>
      </c>
      <c r="X28" s="683">
        <f>'IMC Schedule'!AT13</f>
        <v>50000</v>
      </c>
      <c r="Y28" s="502"/>
      <c r="Z28" s="502"/>
      <c r="AA28" s="502"/>
      <c r="AB28" s="39" t="s">
        <v>189</v>
      </c>
      <c r="AC28" s="1014">
        <f>($AC$27-$V$27-$V$39-$V$41-$V$43)*AD28</f>
        <v>6.4867986213904175E-2</v>
      </c>
      <c r="AD28" s="1016">
        <v>0.33</v>
      </c>
      <c r="AE28" s="39">
        <v>10.5</v>
      </c>
      <c r="AF28" s="1015">
        <f t="shared" si="12"/>
        <v>1910071.7265739776</v>
      </c>
      <c r="AG28" s="1015">
        <f>((AF28*8)*AE28)/1000</f>
        <v>160446.02503221409</v>
      </c>
      <c r="AJ28" s="192" t="s">
        <v>183</v>
      </c>
      <c r="AK28" s="732">
        <f>SUM(AK24:AK27)</f>
        <v>498169.85867505788</v>
      </c>
      <c r="AL28" s="733"/>
      <c r="AM28" s="626"/>
      <c r="AN28" s="733"/>
      <c r="AO28" s="733"/>
      <c r="AP28" s="733"/>
      <c r="AQ28" s="696">
        <f>SUM(AQ24:AQ27)</f>
        <v>0.1852669000200142</v>
      </c>
      <c r="AS28" s="194" t="s">
        <v>292</v>
      </c>
      <c r="AT28" s="1216">
        <f>AT27/'IMC Schedule'!T9</f>
        <v>0</v>
      </c>
      <c r="AU28" s="1216">
        <f>AU27/'IMC Schedule'!U9</f>
        <v>1.7779442767515256E-3</v>
      </c>
      <c r="AV28" s="1216">
        <f>AV27/'IMC Schedule'!V9</f>
        <v>3.2303448063509431E-3</v>
      </c>
      <c r="AW28" s="1216">
        <f>AW27/'IMC Schedule'!W9</f>
        <v>5.3329929032147174E-3</v>
      </c>
      <c r="AX28" s="1217">
        <f>AX27/'IMC Schedule'!X9</f>
        <v>8.026845546901076E-3</v>
      </c>
      <c r="AZ28" s="73">
        <v>4</v>
      </c>
      <c r="BA28" t="s">
        <v>237</v>
      </c>
      <c r="BB28" s="63" t="s">
        <v>293</v>
      </c>
      <c r="BC28" s="37">
        <v>295</v>
      </c>
      <c r="BD28" s="50" t="s">
        <v>294</v>
      </c>
      <c r="BF28" s="37"/>
      <c r="BG28" s="37"/>
      <c r="BH28" s="37"/>
      <c r="BI28" s="37"/>
      <c r="BJ28" s="37"/>
      <c r="BL28" s="44" t="s">
        <v>192</v>
      </c>
      <c r="BM28" s="34">
        <f>$BM$27*BN28</f>
        <v>8955.0527643650021</v>
      </c>
      <c r="BN28" s="751">
        <f t="shared" ref="BN28:BO30" si="13">BN10</f>
        <v>0.3</v>
      </c>
      <c r="BO28" s="739">
        <f t="shared" si="13"/>
        <v>22.5</v>
      </c>
      <c r="BP28" s="471"/>
      <c r="BQ28" s="40">
        <f>(BM28/BO28)*1000</f>
        <v>398002.34508288902</v>
      </c>
      <c r="BR28" s="40">
        <f>BQ28*0.5</f>
        <v>199001.17254144451</v>
      </c>
      <c r="BS28" s="40">
        <f>BR28/4</f>
        <v>49750.293135361127</v>
      </c>
      <c r="BT28" s="43">
        <f>BS28/'IMC Schedule'!$W$9</f>
        <v>1.6837821088064385E-3</v>
      </c>
      <c r="BV28" s="101"/>
      <c r="BW28" s="1101" t="s">
        <v>258</v>
      </c>
      <c r="BX28" s="97" t="s">
        <v>259</v>
      </c>
      <c r="BY28" s="97" t="s">
        <v>260</v>
      </c>
      <c r="BZ28" s="97" t="s">
        <v>261</v>
      </c>
      <c r="CA28" s="106" t="s">
        <v>149</v>
      </c>
    </row>
    <row r="29" spans="2:79" ht="16.5" customHeight="1">
      <c r="B29" s="127" t="s">
        <v>295</v>
      </c>
      <c r="I29" s="143"/>
      <c r="J29" s="143"/>
      <c r="K29" s="143"/>
      <c r="L29" s="143"/>
      <c r="M29" s="143"/>
      <c r="N29" s="143"/>
      <c r="O29" s="532">
        <f>'IMC Schedule'!BM11</f>
        <v>3849.9085911329989</v>
      </c>
      <c r="P29" s="1068">
        <f>'IMC Schedule'!BT11</f>
        <v>5.0989465341346146E-4</v>
      </c>
      <c r="R29" s="496"/>
      <c r="S29" s="39" t="s">
        <v>296</v>
      </c>
      <c r="T29" s="1043">
        <f>AC15</f>
        <v>4.7799999999999995E-3</v>
      </c>
      <c r="U29" s="681">
        <f>AC24</f>
        <v>6.3208822289299391E-3</v>
      </c>
      <c r="V29" s="681">
        <f>AC33</f>
        <v>7.8627862077459611E-3</v>
      </c>
      <c r="W29" s="681">
        <f>AC42</f>
        <v>9.3666802838714112E-3</v>
      </c>
      <c r="X29" s="681">
        <f>AC51</f>
        <v>1.0678926178123955E-2</v>
      </c>
      <c r="Y29" s="1066"/>
      <c r="Z29" s="1066"/>
      <c r="AA29" s="1066"/>
      <c r="AB29" s="39" t="s">
        <v>195</v>
      </c>
      <c r="AC29" s="1014">
        <f t="shared" ref="AC29:AC33" si="14">($AC$27-$V$27-$V$39-$V$41-$V$43)*AD29</f>
        <v>5.159953448833287E-2</v>
      </c>
      <c r="AD29" s="1016">
        <v>0.26250000000000001</v>
      </c>
      <c r="AE29" s="39">
        <v>9.16</v>
      </c>
      <c r="AF29" s="1015">
        <f t="shared" si="12"/>
        <v>1519375.2370474823</v>
      </c>
      <c r="AG29" s="1015">
        <f>((AF29*8)*AE29)/1000</f>
        <v>111339.8173708395</v>
      </c>
      <c r="AJ29" s="741" t="s">
        <v>160</v>
      </c>
      <c r="AK29" s="1069" t="s">
        <v>166</v>
      </c>
      <c r="AL29" s="1069" t="s">
        <v>167</v>
      </c>
      <c r="AM29" s="762" t="s">
        <v>168</v>
      </c>
      <c r="AN29" s="1197" t="s">
        <v>169</v>
      </c>
      <c r="AO29" s="1197" t="s">
        <v>170</v>
      </c>
      <c r="AP29" s="1197" t="s">
        <v>171</v>
      </c>
      <c r="AQ29" s="1186" t="s">
        <v>37</v>
      </c>
      <c r="AT29" s="34"/>
      <c r="AU29" s="8"/>
      <c r="AV29" s="80"/>
      <c r="AZ29" s="73">
        <v>5</v>
      </c>
      <c r="BA29" t="s">
        <v>243</v>
      </c>
      <c r="BB29" s="63" t="s">
        <v>297</v>
      </c>
      <c r="BC29" s="37">
        <v>500</v>
      </c>
      <c r="BD29" s="50" t="s">
        <v>282</v>
      </c>
      <c r="BF29" s="37"/>
      <c r="BG29" s="37"/>
      <c r="BH29" s="37"/>
      <c r="BI29" s="37"/>
      <c r="BJ29" s="37"/>
      <c r="BL29" s="44" t="s">
        <v>199</v>
      </c>
      <c r="BM29" s="34">
        <f>$BM$27*BN29</f>
        <v>5970.0351762433356</v>
      </c>
      <c r="BN29" s="751">
        <f t="shared" si="13"/>
        <v>0.2</v>
      </c>
      <c r="BO29" s="739">
        <f t="shared" si="13"/>
        <v>32.5</v>
      </c>
      <c r="BP29" s="471"/>
      <c r="BQ29" s="40">
        <f>(BM29/BO29)*1000</f>
        <v>183693.39003825648</v>
      </c>
      <c r="BR29" s="40">
        <f>BQ29*0.5</f>
        <v>91846.695019128238</v>
      </c>
      <c r="BS29" s="40">
        <f>BR29/4</f>
        <v>22961.673754782059</v>
      </c>
      <c r="BT29" s="43">
        <f>BS29/'IMC Schedule'!$W$9</f>
        <v>7.7713020406451009E-4</v>
      </c>
      <c r="BV29" s="101"/>
      <c r="BW29" s="41" t="s">
        <v>265</v>
      </c>
      <c r="BX29" s="41" t="s">
        <v>298</v>
      </c>
      <c r="BY29" s="41">
        <v>8</v>
      </c>
      <c r="BZ29" s="54">
        <v>600</v>
      </c>
      <c r="CA29" s="55">
        <f>BZ29*BY29</f>
        <v>4800</v>
      </c>
    </row>
    <row r="30" spans="2:79" ht="14.4">
      <c r="B30" s="127" t="s">
        <v>211</v>
      </c>
      <c r="G30" s="144"/>
      <c r="H30" s="144"/>
      <c r="I30" s="144"/>
      <c r="J30" s="144"/>
      <c r="O30" s="532">
        <f>'IMC Schedule'!BM12</f>
        <v>3849.9085911329989</v>
      </c>
      <c r="P30" s="1068">
        <f>'IMC Schedule'!BT12</f>
        <v>8.2857881179687479E-4</v>
      </c>
      <c r="R30" s="496"/>
      <c r="S30" s="59" t="s">
        <v>165</v>
      </c>
      <c r="T30" s="854">
        <f>AG15</f>
        <v>15933.333333333334</v>
      </c>
      <c r="U30" s="1042">
        <f>AG24</f>
        <v>21069.607429766464</v>
      </c>
      <c r="V30" s="854">
        <f>AG33</f>
        <v>26209.287359153204</v>
      </c>
      <c r="W30" s="854">
        <f>AG42</f>
        <v>31222.267612904707</v>
      </c>
      <c r="X30" s="854">
        <f>AG51</f>
        <v>35596.420593746523</v>
      </c>
      <c r="Y30" s="1066"/>
      <c r="Z30" s="502"/>
      <c r="AA30" s="502"/>
      <c r="AB30" s="39" t="s">
        <v>202</v>
      </c>
      <c r="AC30" s="1014">
        <f t="shared" si="14"/>
        <v>6.6833682765840674E-2</v>
      </c>
      <c r="AD30" s="1016">
        <v>0.34</v>
      </c>
      <c r="AE30" s="39">
        <v>9.6</v>
      </c>
      <c r="AF30" s="1015">
        <f t="shared" si="12"/>
        <v>1967952.6879853106</v>
      </c>
      <c r="AG30" s="1015">
        <f>((AF30*8)*AE30)/1000</f>
        <v>151138.76643727184</v>
      </c>
      <c r="AJ30" s="42" t="s">
        <v>184</v>
      </c>
      <c r="AK30" s="502">
        <f>AK31+AK32</f>
        <v>342196.46696265636</v>
      </c>
      <c r="AL30" s="736">
        <f>AL9</f>
        <v>9.1</v>
      </c>
      <c r="AN30" s="460">
        <f>(AK30/AL30)*1000</f>
        <v>37604007.358533666</v>
      </c>
      <c r="AO30" s="460">
        <f>AN30*0.5</f>
        <v>18802003.679266833</v>
      </c>
      <c r="AP30" s="460">
        <f>AO30/4</f>
        <v>4700500.9198167082</v>
      </c>
      <c r="AQ30" s="1068">
        <f>AP30/'IMC Schedule'!$W$9</f>
        <v>0.15908688878840171</v>
      </c>
      <c r="AS30" s="1261" t="s">
        <v>299</v>
      </c>
      <c r="AT30" s="1262"/>
      <c r="AZ30" s="73">
        <v>6</v>
      </c>
      <c r="BA30" t="s">
        <v>208</v>
      </c>
      <c r="BB30" s="63" t="s">
        <v>300</v>
      </c>
      <c r="BC30" s="37">
        <v>400</v>
      </c>
      <c r="BD30" s="50" t="s">
        <v>282</v>
      </c>
      <c r="BF30" s="37"/>
      <c r="BG30" s="37"/>
      <c r="BH30" s="37"/>
      <c r="BI30" s="37"/>
      <c r="BJ30" s="37"/>
      <c r="BL30" s="44" t="s">
        <v>211</v>
      </c>
      <c r="BM30" s="34">
        <f>$BM$27*BN30</f>
        <v>5970.0351762433356</v>
      </c>
      <c r="BN30" s="751">
        <f t="shared" si="13"/>
        <v>0.2</v>
      </c>
      <c r="BO30" s="739">
        <f t="shared" si="13"/>
        <v>20</v>
      </c>
      <c r="BP30" s="471"/>
      <c r="BQ30" s="40">
        <f>(BM30/BO30)*1000</f>
        <v>298501.75881216675</v>
      </c>
      <c r="BR30" s="40">
        <f>BQ30*0.5</f>
        <v>149250.87940608338</v>
      </c>
      <c r="BS30" s="40">
        <f>BR30/4</f>
        <v>37312.719851520844</v>
      </c>
      <c r="BT30" s="43">
        <f>BS30/'IMC Schedule'!$W$9</f>
        <v>1.2628365816048288E-3</v>
      </c>
      <c r="BV30" s="102"/>
      <c r="BW30" s="709" t="s">
        <v>301</v>
      </c>
      <c r="BX30" s="708"/>
      <c r="BY30" s="708"/>
      <c r="BZ30" s="708"/>
      <c r="CA30" s="308">
        <f>SUM(CA25:CA29)</f>
        <v>22800</v>
      </c>
    </row>
    <row r="31" spans="2:79" ht="14.4">
      <c r="B31" s="127" t="s">
        <v>223</v>
      </c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532">
        <f>'IMC Schedule'!BM13</f>
        <v>5774.8628866994977</v>
      </c>
      <c r="P31" s="1068">
        <f>'IMC Schedule'!BT13</f>
        <v>2.4550483312499988E-4</v>
      </c>
      <c r="R31" s="496"/>
      <c r="S31" s="39" t="s">
        <v>302</v>
      </c>
      <c r="T31" s="1044">
        <f>AC14</f>
        <v>2.6887499999999993E-3</v>
      </c>
      <c r="U31" s="681">
        <f>AC23</f>
        <v>2.7653859751568489E-3</v>
      </c>
      <c r="V31" s="681">
        <f>AC32</f>
        <v>3.4399689658888583E-3</v>
      </c>
      <c r="W31" s="681">
        <f>AC41</f>
        <v>4.0979226241937431E-3</v>
      </c>
      <c r="X31" s="681">
        <f>AC50</f>
        <v>4.6720302029292305E-3</v>
      </c>
      <c r="Y31" s="1066"/>
      <c r="Z31" s="1066"/>
      <c r="AA31" s="1066"/>
      <c r="AB31" s="39" t="s">
        <v>215</v>
      </c>
      <c r="AC31" s="1014">
        <f t="shared" si="14"/>
        <v>1.9656965519364903E-3</v>
      </c>
      <c r="AD31" s="1016">
        <v>0.01</v>
      </c>
      <c r="AE31" s="39">
        <v>1.3</v>
      </c>
      <c r="AF31" s="1015">
        <f t="shared" si="12"/>
        <v>57880.961411332661</v>
      </c>
      <c r="AG31" s="1015">
        <f>AF31*AE31</f>
        <v>75245.249834732458</v>
      </c>
      <c r="AJ31" s="44" t="s">
        <v>189</v>
      </c>
      <c r="AK31" s="502">
        <f>W20</f>
        <v>168543.78498314356</v>
      </c>
      <c r="AL31" s="736">
        <f>AL10</f>
        <v>10.5</v>
      </c>
      <c r="AN31" s="460">
        <f>(AK31/AL31)*1000</f>
        <v>16051789.046013674</v>
      </c>
      <c r="AO31" s="460">
        <f>AN31*0.5</f>
        <v>8025894.5230068369</v>
      </c>
      <c r="AP31" s="460">
        <f>AO31/4</f>
        <v>2006473.6307517092</v>
      </c>
      <c r="AQ31" s="1068">
        <f>AP31/'IMC Schedule'!$W$9</f>
        <v>6.7908432058067722E-2</v>
      </c>
      <c r="AS31" s="44" t="s">
        <v>303</v>
      </c>
      <c r="AT31" s="242" t="s">
        <v>304</v>
      </c>
      <c r="AZ31" s="73">
        <v>7</v>
      </c>
      <c r="BA31" t="s">
        <v>220</v>
      </c>
      <c r="BB31" s="63" t="s">
        <v>305</v>
      </c>
      <c r="BC31" s="37">
        <v>500</v>
      </c>
      <c r="BD31" s="50" t="s">
        <v>282</v>
      </c>
      <c r="BF31" s="37"/>
      <c r="BG31" s="37"/>
      <c r="BH31" s="37"/>
      <c r="BI31" s="37"/>
      <c r="BJ31" s="37"/>
      <c r="BL31" s="44" t="s">
        <v>223</v>
      </c>
      <c r="BM31" s="34">
        <f>$BM$27*BN31</f>
        <v>8955.0527643650021</v>
      </c>
      <c r="BN31" s="751">
        <f>BN13</f>
        <v>0.3</v>
      </c>
      <c r="BO31" s="595"/>
      <c r="BP31" s="739">
        <f>BP13</f>
        <v>0.81</v>
      </c>
      <c r="BS31" s="40">
        <f>BM31/BP31</f>
        <v>11055.620696746915</v>
      </c>
      <c r="BT31" s="43">
        <f>BS31/'IMC Schedule'!$W$9</f>
        <v>3.7417380195698628E-4</v>
      </c>
    </row>
    <row r="32" spans="2:79" ht="15" customHeight="1">
      <c r="B32" s="130" t="s">
        <v>306</v>
      </c>
      <c r="O32" s="532"/>
      <c r="P32" s="242"/>
      <c r="R32" s="262"/>
      <c r="S32" s="39" t="s">
        <v>165</v>
      </c>
      <c r="T32" s="854">
        <f>AG14</f>
        <v>19249.542955664994</v>
      </c>
      <c r="U32" s="854">
        <f>AG23</f>
        <v>19964.787964259573</v>
      </c>
      <c r="V32" s="854">
        <f>AG32</f>
        <v>24971.646127236785</v>
      </c>
      <c r="W32" s="854">
        <f>AG41</f>
        <v>29850.175881216677</v>
      </c>
      <c r="X32" s="854">
        <f>AG50</f>
        <v>34057.76141890572</v>
      </c>
      <c r="Y32" s="502"/>
      <c r="Z32" s="502"/>
      <c r="AA32" s="502"/>
      <c r="AB32" s="39" t="s">
        <v>226</v>
      </c>
      <c r="AC32" s="1014">
        <f t="shared" si="14"/>
        <v>3.4399689658888583E-3</v>
      </c>
      <c r="AD32" s="1016">
        <v>1.7500000000000002E-2</v>
      </c>
      <c r="AE32" s="1062">
        <v>0.24653205</v>
      </c>
      <c r="AF32" s="1015">
        <f t="shared" si="12"/>
        <v>101291.68246983216</v>
      </c>
      <c r="AG32" s="1015">
        <f>(0.24653205*AF32)</f>
        <v>24971.646127236785</v>
      </c>
      <c r="AJ32" s="44" t="s">
        <v>196</v>
      </c>
      <c r="AK32" s="502">
        <f>W22</f>
        <v>173652.68197951277</v>
      </c>
      <c r="AL32" s="736">
        <f>AL11</f>
        <v>9.16</v>
      </c>
      <c r="AN32" s="460">
        <f>(AK32/AL32)*1000</f>
        <v>18957716.373309255</v>
      </c>
      <c r="AO32" s="460">
        <f>AN32*0.5</f>
        <v>9478858.1866546273</v>
      </c>
      <c r="AP32" s="460">
        <f>AO32/4</f>
        <v>2369714.5466636568</v>
      </c>
      <c r="AQ32" s="1068">
        <f>AP32/'IMC Schedule'!$W$9</f>
        <v>8.0202199930648962E-2</v>
      </c>
      <c r="AS32" s="44" t="s">
        <v>307</v>
      </c>
      <c r="AT32" s="242">
        <v>0.25</v>
      </c>
      <c r="AZ32" s="73">
        <v>8</v>
      </c>
      <c r="BA32" t="s">
        <v>229</v>
      </c>
      <c r="BB32" s="63" t="s">
        <v>308</v>
      </c>
      <c r="BC32" s="37">
        <v>490</v>
      </c>
      <c r="BD32" s="50" t="s">
        <v>282</v>
      </c>
      <c r="BF32" s="37"/>
      <c r="BG32" s="37"/>
      <c r="BH32" s="37"/>
      <c r="BI32" s="37"/>
      <c r="BJ32" s="37"/>
      <c r="BL32" s="741" t="s">
        <v>161</v>
      </c>
      <c r="BM32" s="743" t="s">
        <v>166</v>
      </c>
      <c r="BN32" s="743" t="s">
        <v>174</v>
      </c>
      <c r="BO32" s="743" t="s">
        <v>167</v>
      </c>
      <c r="BP32" s="75" t="s">
        <v>175</v>
      </c>
      <c r="BQ32" s="75" t="s">
        <v>169</v>
      </c>
      <c r="BR32" s="75" t="s">
        <v>170</v>
      </c>
      <c r="BS32" s="75" t="s">
        <v>164</v>
      </c>
      <c r="BT32" s="744" t="s">
        <v>37</v>
      </c>
    </row>
    <row r="33" spans="2:79" ht="14.4">
      <c r="B33" s="127" t="s">
        <v>309</v>
      </c>
      <c r="C33" s="146"/>
      <c r="D33" s="146"/>
      <c r="E33" s="147"/>
      <c r="F33" s="146"/>
      <c r="G33" s="146"/>
      <c r="H33" s="146"/>
      <c r="I33" s="146"/>
      <c r="J33" s="146"/>
      <c r="K33" s="146"/>
      <c r="L33" s="146"/>
      <c r="M33" s="146"/>
      <c r="N33" s="146"/>
      <c r="O33" s="532">
        <f>'IMC Schedule'!T36</f>
        <v>15000</v>
      </c>
      <c r="P33" s="581">
        <f>'IMC Schedule'!T35</f>
        <v>0</v>
      </c>
      <c r="S33" s="39"/>
      <c r="T33" s="684"/>
      <c r="U33" s="684"/>
      <c r="V33" s="684"/>
      <c r="W33" s="684"/>
      <c r="X33" s="684"/>
      <c r="AB33" s="1168" t="s">
        <v>232</v>
      </c>
      <c r="AC33" s="1014">
        <f t="shared" si="14"/>
        <v>7.8627862077459611E-3</v>
      </c>
      <c r="AD33" s="1169">
        <v>0.04</v>
      </c>
      <c r="AE33" s="1061">
        <v>0.03</v>
      </c>
      <c r="AF33" s="1170">
        <f t="shared" ref="AF33" si="15">$T$9*AC33</f>
        <v>228335.3114729427</v>
      </c>
      <c r="AG33" s="1170">
        <f>(((AF33/$T$9)*100)/AE33)*1000</f>
        <v>26209.287359153204</v>
      </c>
      <c r="AJ33" s="42" t="s">
        <v>203</v>
      </c>
      <c r="AK33" s="502">
        <f>W24</f>
        <v>159410.87052592891</v>
      </c>
      <c r="AL33" s="736">
        <f>AL12</f>
        <v>9.6</v>
      </c>
      <c r="AN33" s="460">
        <f>(AK33/AL33)*1000</f>
        <v>16605299.013117598</v>
      </c>
      <c r="AO33" s="460">
        <f>AN33*0.5</f>
        <v>8302649.5065587992</v>
      </c>
      <c r="AP33" s="460">
        <f>AO33/4</f>
        <v>2075662.3766396998</v>
      </c>
      <c r="AQ33" s="1068">
        <f>AP33/'IMC Schedule'!$W$9</f>
        <v>7.0250102129035596E-2</v>
      </c>
      <c r="AS33" s="51" t="s">
        <v>310</v>
      </c>
      <c r="AT33" s="458">
        <v>2</v>
      </c>
      <c r="AZ33" s="73">
        <v>9</v>
      </c>
      <c r="BA33" t="s">
        <v>238</v>
      </c>
      <c r="BB33" s="63" t="s">
        <v>311</v>
      </c>
      <c r="BC33" s="37">
        <v>250</v>
      </c>
      <c r="BD33" s="50" t="s">
        <v>294</v>
      </c>
      <c r="BF33" s="37"/>
      <c r="BG33" s="37"/>
      <c r="BH33" s="37"/>
      <c r="BI33" s="37"/>
      <c r="BJ33" s="37"/>
      <c r="BL33" s="192" t="s">
        <v>183</v>
      </c>
      <c r="BM33" s="745">
        <f>'IMC Schedule'!X32</f>
        <v>34057.76141890572</v>
      </c>
      <c r="BN33" s="188"/>
      <c r="BO33" s="188"/>
      <c r="BP33" s="188"/>
      <c r="BQ33" s="188"/>
      <c r="BR33" s="188"/>
      <c r="BS33" s="188"/>
      <c r="BT33" s="746">
        <f>SUM(BT34:BT37)</f>
        <v>4.6720302852887368E-3</v>
      </c>
      <c r="BV33" s="105" t="s">
        <v>159</v>
      </c>
      <c r="BW33" s="1185" t="s">
        <v>177</v>
      </c>
      <c r="BX33" s="100" t="s">
        <v>178</v>
      </c>
      <c r="BY33" s="100" t="s">
        <v>179</v>
      </c>
      <c r="BZ33" s="100" t="s">
        <v>180</v>
      </c>
      <c r="CA33" s="103" t="s">
        <v>149</v>
      </c>
    </row>
    <row r="34" spans="2:79" ht="14.4">
      <c r="B34" s="130" t="s">
        <v>312</v>
      </c>
      <c r="O34" s="532"/>
      <c r="P34" s="242"/>
      <c r="S34" s="38" t="s">
        <v>306</v>
      </c>
      <c r="T34" s="86" t="s">
        <v>157</v>
      </c>
      <c r="U34" s="86" t="s">
        <v>158</v>
      </c>
      <c r="V34" s="86" t="s">
        <v>159</v>
      </c>
      <c r="W34" s="86" t="s">
        <v>160</v>
      </c>
      <c r="X34" s="87" t="s">
        <v>161</v>
      </c>
      <c r="Y34" s="1210"/>
      <c r="Z34" s="1210"/>
      <c r="AA34" s="1210"/>
      <c r="AC34" s="23"/>
      <c r="AD34" s="23"/>
      <c r="AE34" s="23"/>
      <c r="AJ34" s="42" t="s">
        <v>216</v>
      </c>
      <c r="AK34" s="502">
        <f>W26</f>
        <v>89945.369654386974</v>
      </c>
      <c r="AM34" s="760">
        <f>AM13</f>
        <v>1.3</v>
      </c>
      <c r="AN34" s="460"/>
      <c r="AO34" s="460"/>
      <c r="AP34" s="460">
        <f>AK34/AM34</f>
        <v>69188.745887989979</v>
      </c>
      <c r="AQ34" s="1068">
        <f>AP34/'IMC Schedule'!$W$9</f>
        <v>2.3416700709678528E-3</v>
      </c>
      <c r="AZ34" s="73">
        <v>10</v>
      </c>
      <c r="BA34" t="s">
        <v>244</v>
      </c>
      <c r="BB34" s="63" t="s">
        <v>313</v>
      </c>
      <c r="BC34" s="37">
        <v>600</v>
      </c>
      <c r="BD34" s="50" t="s">
        <v>282</v>
      </c>
      <c r="BF34" s="37"/>
      <c r="BG34" s="37"/>
      <c r="BH34" s="37"/>
      <c r="BI34" s="37"/>
      <c r="BJ34" s="37"/>
      <c r="BL34" s="44" t="s">
        <v>192</v>
      </c>
      <c r="BM34" s="34">
        <f>$BM$33*BN34</f>
        <v>10217.328425671716</v>
      </c>
      <c r="BN34" s="751">
        <f t="shared" ref="BN34:BO36" si="16">BN10</f>
        <v>0.3</v>
      </c>
      <c r="BO34" s="739">
        <f t="shared" si="16"/>
        <v>22.5</v>
      </c>
      <c r="BP34" s="471"/>
      <c r="BQ34" s="40">
        <f>(BM34/BO34)*1000</f>
        <v>454103.48558540962</v>
      </c>
      <c r="BR34" s="40">
        <f>BQ34*0.5</f>
        <v>227051.74279270481</v>
      </c>
      <c r="BS34" s="40">
        <f>BR34/4</f>
        <v>56762.935698176203</v>
      </c>
      <c r="BT34" s="43">
        <f>BS34/'IMC Schedule'!$X$9</f>
        <v>1.919675305983432E-3</v>
      </c>
      <c r="BV34" s="107"/>
      <c r="BW34" s="41" t="s">
        <v>187</v>
      </c>
      <c r="BX34" s="41" t="s">
        <v>138</v>
      </c>
      <c r="BY34" s="54">
        <v>2000</v>
      </c>
      <c r="BZ34" s="54">
        <f>2*BY34</f>
        <v>4000</v>
      </c>
      <c r="CA34" s="55">
        <f>SUM(BY34:BZ34)</f>
        <v>6000</v>
      </c>
    </row>
    <row r="35" spans="2:79" ht="14.4">
      <c r="B35" s="127" t="s">
        <v>314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532">
        <f>'IMC Schedule'!T40</f>
        <v>0</v>
      </c>
      <c r="P35" s="581">
        <f>'IMC Schedule'!T39</f>
        <v>0.01</v>
      </c>
      <c r="S35" s="39" t="s">
        <v>309</v>
      </c>
      <c r="T35" s="682">
        <v>0</v>
      </c>
      <c r="U35" s="682">
        <v>0</v>
      </c>
      <c r="V35" s="682">
        <v>0</v>
      </c>
      <c r="W35" s="682">
        <v>0</v>
      </c>
      <c r="X35" s="682">
        <v>0</v>
      </c>
      <c r="Y35" s="852"/>
      <c r="Z35" s="852"/>
      <c r="AA35" s="852"/>
      <c r="AB35" s="38" t="s">
        <v>160</v>
      </c>
      <c r="AC35" s="38" t="s">
        <v>37</v>
      </c>
      <c r="AD35" s="38" t="s">
        <v>162</v>
      </c>
      <c r="AE35" s="38" t="s">
        <v>163</v>
      </c>
      <c r="AF35" s="38" t="s">
        <v>164</v>
      </c>
      <c r="AG35" s="38" t="s">
        <v>165</v>
      </c>
      <c r="AJ35" s="192" t="s">
        <v>183</v>
      </c>
      <c r="AK35" s="732">
        <f>SUM(AK31:AK34)</f>
        <v>591552.70714297227</v>
      </c>
      <c r="AL35" s="733"/>
      <c r="AM35" s="626"/>
      <c r="AN35" s="733"/>
      <c r="AO35" s="733"/>
      <c r="AP35" s="733"/>
      <c r="AQ35" s="696">
        <f>SUM(AQ31:AQ34)</f>
        <v>0.22070240418872014</v>
      </c>
      <c r="AZ35" s="73">
        <v>11</v>
      </c>
      <c r="BA35" t="s">
        <v>209</v>
      </c>
      <c r="BB35" s="63" t="s">
        <v>315</v>
      </c>
      <c r="BC35" s="37">
        <v>500</v>
      </c>
      <c r="BD35" s="50" t="s">
        <v>282</v>
      </c>
      <c r="BF35" s="37"/>
      <c r="BG35" s="37"/>
      <c r="BH35" s="37"/>
      <c r="BI35" s="37"/>
      <c r="BJ35" s="37"/>
      <c r="BL35" s="44" t="s">
        <v>199</v>
      </c>
      <c r="BM35" s="34">
        <f>$BM$33*BN35</f>
        <v>6811.5522837811441</v>
      </c>
      <c r="BN35" s="751">
        <f t="shared" si="16"/>
        <v>0.2</v>
      </c>
      <c r="BO35" s="739">
        <f t="shared" si="16"/>
        <v>32.5</v>
      </c>
      <c r="BP35" s="471"/>
      <c r="BQ35" s="40">
        <f>(BM35/BO35)*1000</f>
        <v>209586.2241163429</v>
      </c>
      <c r="BR35" s="40">
        <f>BQ35*0.5</f>
        <v>104793.11205817145</v>
      </c>
      <c r="BS35" s="40">
        <f>BR35/4</f>
        <v>26198.278014542862</v>
      </c>
      <c r="BT35" s="43">
        <f>BS35/'IMC Schedule'!$X$9</f>
        <v>8.8600398737696861E-4</v>
      </c>
      <c r="BV35" s="101"/>
      <c r="BW35" t="s">
        <v>181</v>
      </c>
      <c r="BX35" t="s">
        <v>139</v>
      </c>
      <c r="BY35" s="37">
        <f>2000</f>
        <v>2000</v>
      </c>
      <c r="BZ35" s="37">
        <f>2*BY35</f>
        <v>4000</v>
      </c>
      <c r="CA35" s="58">
        <f>SUM(BY35:BZ35)</f>
        <v>6000</v>
      </c>
    </row>
    <row r="36" spans="2:79" ht="15" customHeight="1">
      <c r="B36" s="127" t="s">
        <v>272</v>
      </c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532">
        <f>'IMC Schedule'!T42</f>
        <v>0</v>
      </c>
      <c r="P36" s="581">
        <f>AT28</f>
        <v>0</v>
      </c>
      <c r="S36" s="88" t="s">
        <v>165</v>
      </c>
      <c r="T36" s="685">
        <v>15000</v>
      </c>
      <c r="U36" s="685">
        <v>2000</v>
      </c>
      <c r="V36" s="685">
        <v>2000</v>
      </c>
      <c r="W36" s="685">
        <v>2000</v>
      </c>
      <c r="X36" s="685">
        <v>2000</v>
      </c>
      <c r="Y36" s="502"/>
      <c r="Z36" s="502"/>
      <c r="AA36" s="502"/>
      <c r="AB36" s="1011" t="s">
        <v>183</v>
      </c>
      <c r="AC36" s="1012">
        <f>W12</f>
        <v>0.29949999999999999</v>
      </c>
      <c r="AD36" s="287">
        <f>SUM(AD37:AD42)</f>
        <v>1</v>
      </c>
      <c r="AE36" s="287"/>
      <c r="AF36" s="1013">
        <f t="shared" ref="AF36:AF41" si="17">$W$9*AC36</f>
        <v>8849252.356412543</v>
      </c>
      <c r="AG36" s="724"/>
      <c r="AJ36" s="741" t="s">
        <v>161</v>
      </c>
      <c r="AK36" s="1069" t="s">
        <v>166</v>
      </c>
      <c r="AL36" s="1069" t="s">
        <v>167</v>
      </c>
      <c r="AM36" s="762" t="s">
        <v>168</v>
      </c>
      <c r="AN36" s="1197" t="s">
        <v>169</v>
      </c>
      <c r="AO36" s="1197" t="s">
        <v>170</v>
      </c>
      <c r="AP36" s="1197" t="s">
        <v>171</v>
      </c>
      <c r="AQ36" s="1186" t="s">
        <v>37</v>
      </c>
      <c r="AZ36" s="73">
        <v>12</v>
      </c>
      <c r="BA36" t="s">
        <v>221</v>
      </c>
      <c r="BB36" s="63" t="s">
        <v>316</v>
      </c>
      <c r="BC36" s="37">
        <v>350</v>
      </c>
      <c r="BD36" s="50" t="s">
        <v>282</v>
      </c>
      <c r="BF36" s="37"/>
      <c r="BG36" s="37"/>
      <c r="BH36" s="37"/>
      <c r="BI36" s="37"/>
      <c r="BJ36" s="37"/>
      <c r="BL36" s="44" t="s">
        <v>211</v>
      </c>
      <c r="BM36" s="34">
        <f>$BM$33*BN36</f>
        <v>6811.5522837811441</v>
      </c>
      <c r="BN36" s="751">
        <f t="shared" si="16"/>
        <v>0.2</v>
      </c>
      <c r="BO36" s="739">
        <f t="shared" si="16"/>
        <v>20</v>
      </c>
      <c r="BP36" s="471"/>
      <c r="BQ36" s="40">
        <f>(BM36/BO36)*1000</f>
        <v>340577.6141890572</v>
      </c>
      <c r="BR36" s="40">
        <f>BQ36*0.5</f>
        <v>170288.8070945286</v>
      </c>
      <c r="BS36" s="40">
        <f>BR36/4</f>
        <v>42572.20177363215</v>
      </c>
      <c r="BT36" s="43">
        <f>BS36/'IMC Schedule'!$X$9</f>
        <v>1.4397564794875739E-3</v>
      </c>
      <c r="BV36" s="99"/>
      <c r="BW36" s="1193" t="s">
        <v>258</v>
      </c>
      <c r="BX36" s="75" t="s">
        <v>259</v>
      </c>
      <c r="BY36" s="75" t="s">
        <v>260</v>
      </c>
      <c r="BZ36" s="75" t="s">
        <v>261</v>
      </c>
      <c r="CA36" s="76" t="s">
        <v>149</v>
      </c>
    </row>
    <row r="37" spans="2:79" ht="14.4">
      <c r="B37" s="127" t="s">
        <v>317</v>
      </c>
      <c r="F37" s="150"/>
      <c r="G37" s="150"/>
      <c r="O37" s="532">
        <f>'IMC Schedule'!T44</f>
        <v>5000</v>
      </c>
      <c r="P37" s="581">
        <f>'IMC Schedule'!T43</f>
        <v>0.01</v>
      </c>
      <c r="S37" s="59"/>
      <c r="T37" s="686"/>
      <c r="U37" s="686"/>
      <c r="V37" s="686"/>
      <c r="W37" s="686"/>
      <c r="X37" s="687"/>
      <c r="AB37" s="39" t="s">
        <v>189</v>
      </c>
      <c r="AC37" s="1014">
        <f>($AC$36-W$27-W$39-W$41-W$43)*AD37</f>
        <v>6.7908432058067722E-2</v>
      </c>
      <c r="AD37" s="1016">
        <v>0.28999999999999998</v>
      </c>
      <c r="AE37" s="39">
        <v>10.5</v>
      </c>
      <c r="AF37" s="1015">
        <f t="shared" si="17"/>
        <v>2006473.6307517092</v>
      </c>
      <c r="AG37" s="1015">
        <f>((AF37*8)*AE37)/1000</f>
        <v>168543.78498314356</v>
      </c>
      <c r="AJ37" s="42" t="s">
        <v>184</v>
      </c>
      <c r="AK37" s="502">
        <f>AK38+AK39</f>
        <v>390431.3889667968</v>
      </c>
      <c r="AL37" s="736">
        <f>AL9</f>
        <v>9.1</v>
      </c>
      <c r="AN37" s="460">
        <f>(AK37/AL37)*1000</f>
        <v>42904548.238109544</v>
      </c>
      <c r="AO37" s="460">
        <f>AN37*0.5</f>
        <v>21452274.119054772</v>
      </c>
      <c r="AP37" s="460">
        <f>AO37/4</f>
        <v>5363068.529763693</v>
      </c>
      <c r="AQ37" s="1068">
        <f>AP37/'IMC Schedule'!$X$9</f>
        <v>0.18137452008520805</v>
      </c>
      <c r="AZ37" s="73">
        <v>13</v>
      </c>
      <c r="BA37" t="s">
        <v>230</v>
      </c>
      <c r="BB37" s="63" t="s">
        <v>318</v>
      </c>
      <c r="BC37" s="37">
        <v>995</v>
      </c>
      <c r="BD37" s="50" t="s">
        <v>282</v>
      </c>
      <c r="BF37" s="37"/>
      <c r="BG37" s="37"/>
      <c r="BH37" s="37"/>
      <c r="BI37" s="37"/>
      <c r="BJ37" s="37"/>
      <c r="BL37" s="51" t="s">
        <v>223</v>
      </c>
      <c r="BM37" s="62">
        <f>$BM$33*BN37</f>
        <v>10217.328425671716</v>
      </c>
      <c r="BN37" s="752">
        <f>BN13</f>
        <v>0.3</v>
      </c>
      <c r="BO37" s="753"/>
      <c r="BP37" s="754">
        <f>BP13</f>
        <v>0.81</v>
      </c>
      <c r="BQ37" s="35"/>
      <c r="BR37" s="35"/>
      <c r="BS37" s="81">
        <f>BM37/BP37</f>
        <v>12613.985710705821</v>
      </c>
      <c r="BT37" s="82">
        <f>BS37/'IMC Schedule'!$X$9</f>
        <v>4.265945124407626E-4</v>
      </c>
      <c r="BV37" s="101"/>
      <c r="BW37" t="s">
        <v>265</v>
      </c>
      <c r="BX37" t="s">
        <v>319</v>
      </c>
      <c r="BY37">
        <v>12</v>
      </c>
      <c r="BZ37" s="37">
        <v>600</v>
      </c>
      <c r="CA37" s="58">
        <f>BZ37*BY37</f>
        <v>7200</v>
      </c>
    </row>
    <row r="38" spans="2:79" ht="14.4">
      <c r="B38" s="190" t="s">
        <v>320</v>
      </c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695">
        <f>SUM(O21:O37)</f>
        <v>349105.91665699828</v>
      </c>
      <c r="P38" s="696">
        <f>SUM(P21:P37)</f>
        <v>0.14950000004739786</v>
      </c>
      <c r="S38" s="91" t="s">
        <v>312</v>
      </c>
      <c r="T38" s="86" t="s">
        <v>157</v>
      </c>
      <c r="U38" s="86" t="s">
        <v>158</v>
      </c>
      <c r="V38" s="86" t="s">
        <v>159</v>
      </c>
      <c r="W38" s="86" t="s">
        <v>160</v>
      </c>
      <c r="X38" s="87" t="s">
        <v>161</v>
      </c>
      <c r="Y38" s="1210"/>
      <c r="Z38" s="1210"/>
      <c r="AA38" s="1210"/>
      <c r="AB38" s="39" t="s">
        <v>195</v>
      </c>
      <c r="AC38" s="1014">
        <f t="shared" ref="AC38:AC42" si="18">($AC$36-W$27-W$39-W$41-W$43)*AD38</f>
        <v>8.0202199930648962E-2</v>
      </c>
      <c r="AD38" s="1016">
        <v>0.34250000000000003</v>
      </c>
      <c r="AE38" s="39">
        <v>9.16</v>
      </c>
      <c r="AF38" s="1015">
        <f t="shared" si="17"/>
        <v>2369714.5466636568</v>
      </c>
      <c r="AG38" s="1015">
        <f>((AF38*8)*AE38)/1000</f>
        <v>173652.68197951277</v>
      </c>
      <c r="AJ38" s="44" t="s">
        <v>189</v>
      </c>
      <c r="AK38" s="502">
        <f>X20</f>
        <v>192301.17907637873</v>
      </c>
      <c r="AL38" s="736">
        <f>AL10</f>
        <v>10.5</v>
      </c>
      <c r="AN38" s="460">
        <f>(AK38/AL38)*1000</f>
        <v>18314398.007274166</v>
      </c>
      <c r="AO38" s="460">
        <f>AN38*0.5</f>
        <v>9157199.0036370829</v>
      </c>
      <c r="AP38" s="460">
        <f>AO38/4</f>
        <v>2289299.7509092707</v>
      </c>
      <c r="AQ38" s="1068">
        <f>AP38/'IMC Schedule'!$X$9</f>
        <v>7.7422214791398658E-2</v>
      </c>
      <c r="AZ38" s="73">
        <v>14</v>
      </c>
      <c r="BA38" t="s">
        <v>239</v>
      </c>
      <c r="BB38" s="63" t="s">
        <v>321</v>
      </c>
      <c r="BC38" s="37">
        <v>475</v>
      </c>
      <c r="BD38" s="64" t="s">
        <v>282</v>
      </c>
      <c r="BF38" s="37"/>
      <c r="BG38" s="37"/>
      <c r="BH38" s="37"/>
      <c r="BI38" s="37"/>
      <c r="BJ38" s="37"/>
      <c r="BL38" s="32"/>
      <c r="BT38" s="742"/>
      <c r="BV38" s="102"/>
      <c r="BW38" s="709" t="s">
        <v>322</v>
      </c>
      <c r="BX38" s="708"/>
      <c r="BY38" s="708"/>
      <c r="BZ38" s="708"/>
      <c r="CA38" s="308">
        <f>SUM(CA34:CA37)</f>
        <v>19200</v>
      </c>
    </row>
    <row r="39" spans="2:79" ht="18">
      <c r="B39" s="185" t="s">
        <v>136</v>
      </c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697"/>
      <c r="P39" s="1211"/>
      <c r="S39" s="39" t="s">
        <v>323</v>
      </c>
      <c r="T39" s="682">
        <v>0.01</v>
      </c>
      <c r="U39" s="682">
        <v>0.01</v>
      </c>
      <c r="V39" s="682">
        <v>0.01</v>
      </c>
      <c r="W39" s="682">
        <v>0.01</v>
      </c>
      <c r="X39" s="682">
        <v>0.01</v>
      </c>
      <c r="Y39" s="852"/>
      <c r="Z39" s="852"/>
      <c r="AA39" s="852"/>
      <c r="AB39" s="39" t="s">
        <v>202</v>
      </c>
      <c r="AC39" s="1014">
        <f t="shared" si="18"/>
        <v>7.0250102129035583E-2</v>
      </c>
      <c r="AD39" s="1016">
        <v>0.3</v>
      </c>
      <c r="AE39" s="39">
        <v>9.6</v>
      </c>
      <c r="AF39" s="1015">
        <f t="shared" si="17"/>
        <v>2075662.3766396993</v>
      </c>
      <c r="AG39" s="1015">
        <f>((AF39*8)*AE39)/1000</f>
        <v>159410.87052592891</v>
      </c>
      <c r="AJ39" s="44" t="s">
        <v>196</v>
      </c>
      <c r="AK39" s="502">
        <f>X22</f>
        <v>198130.2098904181</v>
      </c>
      <c r="AL39" s="736">
        <f>AL11</f>
        <v>9.16</v>
      </c>
      <c r="AN39" s="460">
        <f>(AK39/AL39)*1000</f>
        <v>21629935.577556562</v>
      </c>
      <c r="AO39" s="460">
        <f>AN39*0.5</f>
        <v>10814967.788778281</v>
      </c>
      <c r="AP39" s="460">
        <f>AO39/4</f>
        <v>2703741.9471945702</v>
      </c>
      <c r="AQ39" s="1068">
        <f>AP39/'IMC Schedule'!$X$9</f>
        <v>9.1438305400186368E-2</v>
      </c>
      <c r="AZ39" s="73">
        <v>15</v>
      </c>
      <c r="BA39" t="s">
        <v>210</v>
      </c>
      <c r="BB39" s="63" t="s">
        <v>324</v>
      </c>
      <c r="BC39" s="37">
        <v>485</v>
      </c>
      <c r="BD39" s="50" t="s">
        <v>282</v>
      </c>
      <c r="BF39" s="37"/>
      <c r="BG39" s="37"/>
      <c r="BH39" s="37"/>
      <c r="BI39" s="37"/>
      <c r="BJ39" s="37"/>
    </row>
    <row r="40" spans="2:79" ht="14.4">
      <c r="B40" s="127" t="s">
        <v>181</v>
      </c>
      <c r="E40" s="151"/>
      <c r="O40" s="532">
        <f>'IMC Schedule'!CA17</f>
        <v>6000</v>
      </c>
      <c r="P40" s="242"/>
      <c r="S40" s="39" t="s">
        <v>165</v>
      </c>
      <c r="T40" s="683">
        <v>0</v>
      </c>
      <c r="U40" s="683">
        <v>0</v>
      </c>
      <c r="V40" s="683">
        <v>0</v>
      </c>
      <c r="W40" s="683">
        <v>0</v>
      </c>
      <c r="X40" s="683">
        <v>0</v>
      </c>
      <c r="Y40" s="502"/>
      <c r="Z40" s="502"/>
      <c r="AA40" s="502"/>
      <c r="AB40" s="39" t="s">
        <v>215</v>
      </c>
      <c r="AC40" s="1014">
        <f t="shared" si="18"/>
        <v>2.3416700709678528E-3</v>
      </c>
      <c r="AD40" s="1016">
        <v>0.01</v>
      </c>
      <c r="AE40" s="39">
        <v>1.3</v>
      </c>
      <c r="AF40" s="1015">
        <f t="shared" si="17"/>
        <v>69188.745887989979</v>
      </c>
      <c r="AG40" s="1015">
        <f>AF40*AE40</f>
        <v>89945.369654386974</v>
      </c>
      <c r="AJ40" s="42" t="s">
        <v>203</v>
      </c>
      <c r="AK40" s="502">
        <f>X24</f>
        <v>181880.91814120553</v>
      </c>
      <c r="AL40" s="736">
        <f>AL12</f>
        <v>9.6</v>
      </c>
      <c r="AN40" s="460">
        <f>(AK40/AL40)*1000</f>
        <v>18945928.973042242</v>
      </c>
      <c r="AO40" s="460">
        <f>AN40*0.5</f>
        <v>9472964.4865211211</v>
      </c>
      <c r="AP40" s="460">
        <f>AO40/4</f>
        <v>2368241.1216302803</v>
      </c>
      <c r="AQ40" s="1068">
        <f>AP40/'IMC Schedule'!$X$9</f>
        <v>8.0091946335929656E-2</v>
      </c>
      <c r="AZ40" s="73">
        <v>16</v>
      </c>
      <c r="BA40" t="s">
        <v>222</v>
      </c>
      <c r="BB40" s="63" t="s">
        <v>325</v>
      </c>
      <c r="BC40" s="37">
        <v>350</v>
      </c>
      <c r="BD40" s="50" t="s">
        <v>282</v>
      </c>
      <c r="BF40" s="37"/>
      <c r="BG40" s="37"/>
      <c r="BH40" s="37"/>
      <c r="BI40" s="37"/>
      <c r="BJ40" s="37"/>
    </row>
    <row r="41" spans="2:79" ht="14.4">
      <c r="B41" s="127" t="s">
        <v>188</v>
      </c>
      <c r="D41" s="152"/>
      <c r="O41" s="532">
        <f>'IMC Schedule'!CA16</f>
        <v>6000</v>
      </c>
      <c r="P41" s="242"/>
      <c r="S41" s="39" t="s">
        <v>272</v>
      </c>
      <c r="T41" s="681">
        <f>'IMC Schedule'!AT28</f>
        <v>0</v>
      </c>
      <c r="U41" s="681">
        <f>'IMC Schedule'!AU28</f>
        <v>1.7779442767515256E-3</v>
      </c>
      <c r="V41" s="681">
        <f>'IMC Schedule'!AV28</f>
        <v>3.2303448063509431E-3</v>
      </c>
      <c r="W41" s="681">
        <f>'IMC Schedule'!AW28</f>
        <v>5.3329929032147174E-3</v>
      </c>
      <c r="X41" s="681">
        <f>'IMC Schedule'!AX28</f>
        <v>8.026845546901076E-3</v>
      </c>
      <c r="Y41" s="1066"/>
      <c r="Z41" s="1066"/>
      <c r="AA41" s="1066"/>
      <c r="AB41" s="39" t="s">
        <v>226</v>
      </c>
      <c r="AC41" s="1014">
        <f t="shared" si="18"/>
        <v>4.0979226241937431E-3</v>
      </c>
      <c r="AD41" s="1016">
        <v>1.7500000000000002E-2</v>
      </c>
      <c r="AE41" s="1062">
        <v>0.24653205</v>
      </c>
      <c r="AF41" s="1015">
        <f t="shared" si="17"/>
        <v>121080.30530398249</v>
      </c>
      <c r="AG41" s="1015">
        <f>(0.24653205*AF41)</f>
        <v>29850.175881216677</v>
      </c>
      <c r="AJ41" s="42" t="s">
        <v>216</v>
      </c>
      <c r="AK41" s="502">
        <f>X26</f>
        <v>102623.78193731215</v>
      </c>
      <c r="AM41" s="760">
        <f>AM13</f>
        <v>1.3</v>
      </c>
      <c r="AN41" s="460"/>
      <c r="AO41" s="460"/>
      <c r="AP41" s="460">
        <f>AK41/AM41</f>
        <v>78941.370721009342</v>
      </c>
      <c r="AQ41" s="1068">
        <f>AP41/'IMC Schedule'!$X$9</f>
        <v>2.6697315445309887E-3</v>
      </c>
      <c r="AZ41" s="73">
        <v>18</v>
      </c>
      <c r="BA41" t="s">
        <v>228</v>
      </c>
      <c r="BB41" s="63" t="s">
        <v>326</v>
      </c>
      <c r="BC41" s="37">
        <v>350</v>
      </c>
      <c r="BD41" s="50" t="s">
        <v>282</v>
      </c>
      <c r="BF41" s="37"/>
      <c r="BG41" s="37"/>
      <c r="BH41" s="37"/>
      <c r="BI41" s="37"/>
      <c r="BJ41" s="37"/>
      <c r="BV41" s="105" t="s">
        <v>160</v>
      </c>
      <c r="BW41" s="1185" t="s">
        <v>177</v>
      </c>
      <c r="BX41" s="100" t="s">
        <v>178</v>
      </c>
      <c r="BY41" s="100" t="s">
        <v>179</v>
      </c>
      <c r="BZ41" s="100" t="s">
        <v>180</v>
      </c>
      <c r="CA41" s="103" t="s">
        <v>149</v>
      </c>
    </row>
    <row r="42" spans="2:79" ht="14.4">
      <c r="B42" s="127" t="s">
        <v>252</v>
      </c>
      <c r="E42" s="153"/>
      <c r="O42" s="532">
        <f>'IMC Schedule'!CA18</f>
        <v>6000</v>
      </c>
      <c r="P42" s="242"/>
      <c r="S42" s="39" t="s">
        <v>165</v>
      </c>
      <c r="T42" s="683">
        <v>0</v>
      </c>
      <c r="U42" s="683">
        <v>0</v>
      </c>
      <c r="V42" s="683">
        <v>0</v>
      </c>
      <c r="W42" s="683">
        <v>0</v>
      </c>
      <c r="X42" s="683">
        <v>0</v>
      </c>
      <c r="Y42" s="502"/>
      <c r="Z42" s="502"/>
      <c r="AA42" s="502"/>
      <c r="AB42" s="1168" t="s">
        <v>232</v>
      </c>
      <c r="AC42" s="1014">
        <f t="shared" si="18"/>
        <v>9.3666802838714112E-3</v>
      </c>
      <c r="AD42" s="1169">
        <v>0.04</v>
      </c>
      <c r="AE42" s="1061">
        <v>0.03</v>
      </c>
      <c r="AF42" s="1170">
        <f t="shared" ref="AF42" si="19">$T$9*AC42</f>
        <v>272008.39544362581</v>
      </c>
      <c r="AG42" s="1170">
        <f>(((AF42/$T$9)*100)/AE42)*1000</f>
        <v>31222.267612904707</v>
      </c>
      <c r="AJ42" s="194" t="s">
        <v>183</v>
      </c>
      <c r="AK42" s="577">
        <f>SUM(AK38:AK41)</f>
        <v>674936.08904531447</v>
      </c>
      <c r="AL42" s="734"/>
      <c r="AM42" s="627"/>
      <c r="AN42" s="734"/>
      <c r="AO42" s="734"/>
      <c r="AP42" s="734"/>
      <c r="AQ42" s="735">
        <f>SUM(AQ38:AQ41)</f>
        <v>0.25162219807204567</v>
      </c>
      <c r="AZ42" s="73">
        <v>19</v>
      </c>
      <c r="BA42" t="s">
        <v>219</v>
      </c>
      <c r="BB42" s="63" t="s">
        <v>327</v>
      </c>
      <c r="BC42" s="37">
        <v>300</v>
      </c>
      <c r="BD42" s="50" t="s">
        <v>282</v>
      </c>
      <c r="BF42" s="37"/>
      <c r="BG42" s="37"/>
      <c r="BH42" s="37"/>
      <c r="BI42" s="37"/>
      <c r="BJ42" s="37"/>
      <c r="BV42" s="107"/>
      <c r="BW42" s="41" t="s">
        <v>187</v>
      </c>
      <c r="BX42" s="41" t="s">
        <v>138</v>
      </c>
      <c r="BY42" s="54">
        <v>2000</v>
      </c>
      <c r="BZ42" s="54">
        <f>2*BY42</f>
        <v>4000</v>
      </c>
      <c r="CA42" s="55">
        <f>SUM(BY42:BZ42)</f>
        <v>6000</v>
      </c>
    </row>
    <row r="43" spans="2:79" ht="14.4">
      <c r="B43" s="127" t="s">
        <v>265</v>
      </c>
      <c r="G43" s="154"/>
      <c r="H43" s="154"/>
      <c r="I43" s="154"/>
      <c r="O43" s="532">
        <f>'IMC Schedule'!CA20</f>
        <v>1800</v>
      </c>
      <c r="P43" s="242"/>
      <c r="S43" s="39" t="s">
        <v>328</v>
      </c>
      <c r="T43" s="682">
        <v>0.01</v>
      </c>
      <c r="U43" s="682">
        <v>0.01</v>
      </c>
      <c r="V43" s="682">
        <v>0.01</v>
      </c>
      <c r="W43" s="682">
        <v>0.01</v>
      </c>
      <c r="X43" s="682">
        <v>0.01</v>
      </c>
      <c r="Y43" s="852"/>
      <c r="Z43" s="852"/>
      <c r="AA43" s="852"/>
      <c r="AC43" s="23"/>
      <c r="AD43" s="23"/>
      <c r="AE43" s="23"/>
      <c r="AF43" s="40"/>
      <c r="AZ43" s="1195">
        <v>20</v>
      </c>
      <c r="BA43" s="35" t="s">
        <v>207</v>
      </c>
      <c r="BB43" s="31" t="s">
        <v>329</v>
      </c>
      <c r="BC43" s="56">
        <v>460</v>
      </c>
      <c r="BD43" s="61" t="s">
        <v>282</v>
      </c>
      <c r="BV43" s="101"/>
      <c r="BW43" t="s">
        <v>252</v>
      </c>
      <c r="BX43" t="s">
        <v>139</v>
      </c>
      <c r="BY43" s="37">
        <f>2000</f>
        <v>2000</v>
      </c>
      <c r="BZ43" s="37">
        <f>2*BY43</f>
        <v>4000</v>
      </c>
      <c r="CA43" s="58">
        <f>SUM(BY43:BZ43)</f>
        <v>6000</v>
      </c>
    </row>
    <row r="44" spans="2:79" ht="14.4">
      <c r="B44" s="190" t="s">
        <v>193</v>
      </c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695">
        <f>SUM(O40:O43)</f>
        <v>19800</v>
      </c>
      <c r="P44" s="1212"/>
      <c r="S44" s="39" t="s">
        <v>165</v>
      </c>
      <c r="T44" s="683">
        <v>5000</v>
      </c>
      <c r="U44" s="683">
        <v>5000</v>
      </c>
      <c r="V44" s="683">
        <v>5000</v>
      </c>
      <c r="W44" s="683">
        <v>5000</v>
      </c>
      <c r="X44" s="683">
        <v>5000</v>
      </c>
      <c r="Y44" s="502"/>
      <c r="Z44" s="502"/>
      <c r="AA44" s="502"/>
      <c r="AB44" s="38" t="s">
        <v>161</v>
      </c>
      <c r="AC44" s="38" t="s">
        <v>37</v>
      </c>
      <c r="AD44" s="38" t="s">
        <v>162</v>
      </c>
      <c r="AE44" s="38" t="s">
        <v>163</v>
      </c>
      <c r="AF44" s="38" t="s">
        <v>164</v>
      </c>
      <c r="AG44" s="38" t="s">
        <v>165</v>
      </c>
      <c r="BV44" s="99"/>
      <c r="BW44" s="1193" t="s">
        <v>258</v>
      </c>
      <c r="BX44" s="75" t="s">
        <v>259</v>
      </c>
      <c r="BY44" s="75" t="s">
        <v>260</v>
      </c>
      <c r="BZ44" s="75" t="s">
        <v>261</v>
      </c>
      <c r="CA44" s="76" t="s">
        <v>149</v>
      </c>
    </row>
    <row r="45" spans="2:79" ht="14.4">
      <c r="B45" s="127"/>
      <c r="O45" s="532"/>
      <c r="P45" s="242"/>
      <c r="S45" s="39"/>
      <c r="T45" s="684"/>
      <c r="U45" s="684"/>
      <c r="V45" s="684"/>
      <c r="W45" s="684"/>
      <c r="X45" s="684"/>
      <c r="AB45" s="1011" t="s">
        <v>183</v>
      </c>
      <c r="AC45" s="1012">
        <f>X12</f>
        <v>0.34499999999999997</v>
      </c>
      <c r="AD45" s="287">
        <f>SUM(AD46:AD51)</f>
        <v>1</v>
      </c>
      <c r="AE45" s="287"/>
      <c r="AF45" s="1013">
        <f t="shared" ref="AF45:AF50" si="20">$X$9*AC45</f>
        <v>10201315.167638982</v>
      </c>
      <c r="AG45" s="724"/>
      <c r="BV45" s="101"/>
      <c r="BW45" t="s">
        <v>265</v>
      </c>
      <c r="BX45" t="s">
        <v>330</v>
      </c>
      <c r="BY45">
        <v>12</v>
      </c>
      <c r="BZ45" s="37">
        <v>600</v>
      </c>
      <c r="CA45" s="58">
        <f>BZ45*BY45</f>
        <v>7200</v>
      </c>
    </row>
    <row r="46" spans="2:79" ht="14.4">
      <c r="B46" s="190" t="s">
        <v>213</v>
      </c>
      <c r="C46" s="188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695">
        <f>'IMC Schedule'!T50</f>
        <v>20000</v>
      </c>
      <c r="P46" s="1212"/>
      <c r="S46" s="727" t="s">
        <v>331</v>
      </c>
      <c r="T46" s="728">
        <f>SUM(T20,T22,T24,T26,T28,T30,T32,T36,T40,T42,T44)</f>
        <v>349105.91665699822</v>
      </c>
      <c r="U46" s="728">
        <f>SUM(U20,U22,U24,U26,U28,U30,U32,U36,U40,U42,U44)</f>
        <v>446856.76579871244</v>
      </c>
      <c r="V46" s="728">
        <f>SUM(V20,V22,V24,V26,V28,V30,V32,V36,V40,V42,V44)</f>
        <v>586350.79216144781</v>
      </c>
      <c r="W46" s="728">
        <f>SUM(W20,W22,W24,W26,W28,W30,W32,W36,W40,W42,W44)</f>
        <v>699625.15063709358</v>
      </c>
      <c r="X46" s="728">
        <f>SUM(X20,X22,X24,X26,X28,X30,X32,X36,X40,X42,X44)</f>
        <v>801590.27105796663</v>
      </c>
      <c r="Y46" s="692"/>
      <c r="Z46" s="692"/>
      <c r="AA46" s="692"/>
      <c r="AB46" s="39" t="s">
        <v>189</v>
      </c>
      <c r="AC46" s="1014">
        <f>($AC$45-$X$27-$X$39-$X$41-$X$43)*AD46</f>
        <v>7.7422214791398672E-2</v>
      </c>
      <c r="AD46" s="1016">
        <v>0.28999999999999998</v>
      </c>
      <c r="AE46" s="39">
        <v>10.5</v>
      </c>
      <c r="AF46" s="1015">
        <f t="shared" si="20"/>
        <v>2289299.7509092707</v>
      </c>
      <c r="AG46" s="1015">
        <f>((AF46*8)*AE46)/1000</f>
        <v>192301.17907637873</v>
      </c>
      <c r="BV46" s="102"/>
      <c r="BW46" s="709" t="s">
        <v>332</v>
      </c>
      <c r="BX46" s="708"/>
      <c r="BY46" s="708"/>
      <c r="BZ46" s="708"/>
      <c r="CA46" s="308">
        <f>SUM(CA42:CA45)</f>
        <v>19200</v>
      </c>
    </row>
    <row r="47" spans="2:79" ht="15.6">
      <c r="B47" s="187" t="s">
        <v>224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1251">
        <f>SUM(O38,O44,O46)</f>
        <v>388905.91665699828</v>
      </c>
      <c r="P47" s="1249"/>
      <c r="S47" s="49"/>
      <c r="T47" s="113"/>
      <c r="U47" s="113"/>
      <c r="V47" s="113"/>
      <c r="W47" s="113"/>
      <c r="X47" s="534"/>
      <c r="AB47" s="39" t="s">
        <v>195</v>
      </c>
      <c r="AC47" s="1014">
        <f t="shared" ref="AC47:AC51" si="21">($AC$45-$X$27-$X$39-$X$41-$X$43)*AD47</f>
        <v>9.1438305400186368E-2</v>
      </c>
      <c r="AD47" s="1016">
        <v>0.34250000000000003</v>
      </c>
      <c r="AE47" s="39">
        <v>9.16</v>
      </c>
      <c r="AF47" s="1015">
        <f t="shared" si="20"/>
        <v>2703741.9471945702</v>
      </c>
      <c r="AG47" s="1015">
        <f>((AF47*8)*AE47)/1000</f>
        <v>198130.2098904181</v>
      </c>
    </row>
    <row r="48" spans="2:79" ht="15.6">
      <c r="B48" s="764" t="s">
        <v>333</v>
      </c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242">
        <f>O47/'BASES Model'!C18</f>
        <v>0.18862321824678921</v>
      </c>
      <c r="P48" s="1243"/>
      <c r="S48" s="724" t="s">
        <v>334</v>
      </c>
      <c r="T48" s="725">
        <v>19800</v>
      </c>
      <c r="U48" s="726">
        <v>22800</v>
      </c>
      <c r="V48" s="726">
        <v>19200</v>
      </c>
      <c r="W48" s="726">
        <v>19200</v>
      </c>
      <c r="X48" s="726">
        <v>19200</v>
      </c>
      <c r="Y48" s="1021"/>
      <c r="Z48" s="1021"/>
      <c r="AA48" s="1021"/>
      <c r="AB48" s="39" t="s">
        <v>202</v>
      </c>
      <c r="AC48" s="1014">
        <f t="shared" si="21"/>
        <v>8.0091946335929656E-2</v>
      </c>
      <c r="AD48" s="1016">
        <v>0.3</v>
      </c>
      <c r="AE48" s="39">
        <v>9.6</v>
      </c>
      <c r="AF48" s="1015">
        <f t="shared" si="20"/>
        <v>2368241.1216302803</v>
      </c>
      <c r="AG48" s="1015">
        <f>((AF48*8)*AE48)/1000</f>
        <v>181880.91814120553</v>
      </c>
    </row>
    <row r="49" spans="2:79" ht="15.6">
      <c r="B49" s="672"/>
      <c r="O49" s="692"/>
      <c r="S49" s="128"/>
      <c r="T49" s="684"/>
      <c r="U49" s="684"/>
      <c r="V49" s="684"/>
      <c r="W49" s="684"/>
      <c r="X49" s="684"/>
      <c r="AB49" s="39" t="s">
        <v>215</v>
      </c>
      <c r="AC49" s="1014">
        <f t="shared" si="21"/>
        <v>2.6697315445309887E-3</v>
      </c>
      <c r="AD49" s="1016">
        <v>0.01</v>
      </c>
      <c r="AE49" s="39">
        <v>1.3</v>
      </c>
      <c r="AF49" s="1015">
        <f t="shared" si="20"/>
        <v>78941.370721009342</v>
      </c>
      <c r="AG49" s="1015">
        <f>AF49*AE49</f>
        <v>102623.78193731215</v>
      </c>
      <c r="BV49" s="105" t="s">
        <v>161</v>
      </c>
      <c r="BW49" s="1185" t="s">
        <v>177</v>
      </c>
      <c r="BX49" s="100" t="s">
        <v>178</v>
      </c>
      <c r="BY49" s="100" t="s">
        <v>179</v>
      </c>
      <c r="BZ49" s="100" t="s">
        <v>180</v>
      </c>
      <c r="CA49" s="103" t="s">
        <v>149</v>
      </c>
    </row>
    <row r="50" spans="2:79" ht="21" customHeight="1">
      <c r="S50" s="729" t="s">
        <v>213</v>
      </c>
      <c r="T50" s="730">
        <v>20000</v>
      </c>
      <c r="U50" s="730">
        <v>20000</v>
      </c>
      <c r="V50" s="730">
        <v>20000</v>
      </c>
      <c r="W50" s="730">
        <v>20000</v>
      </c>
      <c r="X50" s="730">
        <v>20000</v>
      </c>
      <c r="Y50" s="1022"/>
      <c r="Z50" s="1022"/>
      <c r="AA50" s="1022"/>
      <c r="AB50" s="39" t="s">
        <v>226</v>
      </c>
      <c r="AC50" s="1014">
        <f t="shared" si="21"/>
        <v>4.6720302029292305E-3</v>
      </c>
      <c r="AD50" s="1016">
        <v>1.7500000000000002E-2</v>
      </c>
      <c r="AE50" s="1062">
        <v>0.24653205</v>
      </c>
      <c r="AF50" s="1015">
        <f t="shared" si="20"/>
        <v>138147.39876176635</v>
      </c>
      <c r="AG50" s="1015">
        <f>(0.24653205*AF50)</f>
        <v>34057.76141890572</v>
      </c>
      <c r="BV50" s="98"/>
      <c r="BW50" s="49" t="s">
        <v>181</v>
      </c>
      <c r="BX50" s="41" t="s">
        <v>139</v>
      </c>
      <c r="BY50" s="54">
        <v>2000</v>
      </c>
      <c r="BZ50" s="54">
        <f>2*BY50</f>
        <v>4000</v>
      </c>
      <c r="CA50" s="55">
        <f>SUM(BY50:BZ50)</f>
        <v>6000</v>
      </c>
    </row>
    <row r="51" spans="2:79" ht="21">
      <c r="B51" s="663" t="s">
        <v>76</v>
      </c>
      <c r="C51" s="664"/>
      <c r="D51" s="664"/>
      <c r="E51" s="664"/>
      <c r="F51" s="664"/>
      <c r="G51" s="664"/>
      <c r="H51" s="664"/>
      <c r="I51" s="664"/>
      <c r="J51" s="664"/>
      <c r="K51" s="664"/>
      <c r="L51" s="662"/>
      <c r="M51" s="662"/>
      <c r="N51" s="662"/>
      <c r="O51" s="688"/>
      <c r="P51" s="689"/>
      <c r="Q51" s="662"/>
      <c r="AB51" s="1168" t="s">
        <v>232</v>
      </c>
      <c r="AC51" s="1014">
        <f t="shared" si="21"/>
        <v>1.0678926178123955E-2</v>
      </c>
      <c r="AD51" s="1169">
        <v>0.04</v>
      </c>
      <c r="AE51" s="1061">
        <v>0.03</v>
      </c>
      <c r="AF51" s="1170">
        <f t="shared" ref="AF51" si="22">$T$9*AC51</f>
        <v>310116.01621271967</v>
      </c>
      <c r="AG51" s="1170">
        <f>(((AF51/$T$9)*100)/AE51)*1000</f>
        <v>35596.420593746523</v>
      </c>
      <c r="BV51" s="99"/>
      <c r="BW51" s="51" t="s">
        <v>252</v>
      </c>
      <c r="BX51" s="35" t="s">
        <v>139</v>
      </c>
      <c r="BY51" s="56">
        <f>2000</f>
        <v>2000</v>
      </c>
      <c r="BZ51" s="56">
        <f>2*BY51</f>
        <v>4000</v>
      </c>
      <c r="CA51" s="57">
        <f>SUM(BY51:BZ51)</f>
        <v>6000</v>
      </c>
    </row>
    <row r="52" spans="2:79" ht="14.4">
      <c r="B52" s="32"/>
      <c r="T52" s="109"/>
      <c r="BV52" s="101"/>
      <c r="BW52" s="1101" t="s">
        <v>258</v>
      </c>
      <c r="BX52" s="97" t="s">
        <v>259</v>
      </c>
      <c r="BY52" s="97" t="s">
        <v>260</v>
      </c>
      <c r="BZ52" s="97" t="s">
        <v>261</v>
      </c>
      <c r="CA52" s="106" t="s">
        <v>149</v>
      </c>
    </row>
    <row r="53" spans="2:79" ht="18">
      <c r="B53" s="182" t="s">
        <v>253</v>
      </c>
      <c r="C53" s="183" t="s">
        <v>137</v>
      </c>
      <c r="D53" s="183" t="s">
        <v>138</v>
      </c>
      <c r="E53" s="183" t="s">
        <v>139</v>
      </c>
      <c r="F53" s="183" t="s">
        <v>140</v>
      </c>
      <c r="G53" s="183" t="s">
        <v>141</v>
      </c>
      <c r="H53" s="183" t="s">
        <v>142</v>
      </c>
      <c r="I53" s="183" t="s">
        <v>143</v>
      </c>
      <c r="J53" s="183" t="s">
        <v>144</v>
      </c>
      <c r="K53" s="183" t="s">
        <v>145</v>
      </c>
      <c r="L53" s="183" t="s">
        <v>146</v>
      </c>
      <c r="M53" s="183" t="s">
        <v>147</v>
      </c>
      <c r="N53" s="183" t="s">
        <v>148</v>
      </c>
      <c r="O53" s="694" t="s">
        <v>149</v>
      </c>
      <c r="P53" s="1196" t="s">
        <v>37</v>
      </c>
      <c r="T53" s="502"/>
      <c r="U53" s="502"/>
      <c r="V53" s="502"/>
      <c r="W53" s="502"/>
      <c r="X53" s="502"/>
      <c r="Y53" s="502"/>
      <c r="Z53" s="502"/>
      <c r="AA53" s="502"/>
      <c r="BV53" s="101"/>
      <c r="BW53" s="41" t="s">
        <v>265</v>
      </c>
      <c r="BX53" s="41" t="s">
        <v>319</v>
      </c>
      <c r="BY53" s="41">
        <v>12</v>
      </c>
      <c r="BZ53" s="54">
        <v>600</v>
      </c>
      <c r="CA53" s="55">
        <f>BZ53*BY53</f>
        <v>7200</v>
      </c>
    </row>
    <row r="54" spans="2:79" ht="14.4">
      <c r="B54" s="46" t="s">
        <v>248</v>
      </c>
      <c r="C54" s="49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7"/>
      <c r="O54" s="698"/>
      <c r="P54" s="534"/>
      <c r="BV54" s="102"/>
      <c r="BW54" s="707" t="s">
        <v>335</v>
      </c>
      <c r="BX54" s="708"/>
      <c r="BY54" s="708"/>
      <c r="BZ54" s="709"/>
      <c r="CA54" s="308">
        <f>SUM(CA50:CA53)</f>
        <v>19200</v>
      </c>
    </row>
    <row r="55" spans="2:79" ht="14.4">
      <c r="B55" s="44" t="s">
        <v>267</v>
      </c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502">
        <f>'IMC Schedule'!U20</f>
        <v>97179.030300974991</v>
      </c>
      <c r="P55" s="1068">
        <f>'IMC Schedule'!U19</f>
        <v>3.9505513930812121E-2</v>
      </c>
      <c r="T55" s="502"/>
      <c r="U55" s="502"/>
      <c r="V55" s="502"/>
      <c r="W55" s="502"/>
      <c r="X55" s="502"/>
      <c r="Y55" s="502"/>
      <c r="Z55" s="502"/>
      <c r="AA55" s="502"/>
    </row>
    <row r="56" spans="2:79" ht="14.4">
      <c r="B56" s="44" t="s">
        <v>269</v>
      </c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502">
        <f>'IMC Schedule'!U22</f>
        <v>144121.1295092174</v>
      </c>
      <c r="P56" s="1068">
        <f>'IMC Schedule'!U21</f>
        <v>6.7159373682380605E-2</v>
      </c>
    </row>
    <row r="57" spans="2:79" ht="14.4">
      <c r="B57" s="44" t="s">
        <v>270</v>
      </c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502">
        <f>'IMC Schedule'!U24</f>
        <v>92403.375097612807</v>
      </c>
      <c r="P57" s="1068">
        <f>'IMC Schedule'!U23</f>
        <v>4.108573448804461E-2</v>
      </c>
    </row>
    <row r="58" spans="2:79" ht="14.4">
      <c r="B58" s="44" t="s">
        <v>216</v>
      </c>
      <c r="C58" s="159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1"/>
      <c r="O58" s="502">
        <f>'IMC Schedule'!U26</f>
        <v>45118.835496881242</v>
      </c>
      <c r="P58" s="1068">
        <f>'IMC Schedule'!U25</f>
        <v>1.1851654179243635E-3</v>
      </c>
    </row>
    <row r="59" spans="2:79" ht="14.4">
      <c r="B59" s="44" t="s">
        <v>152</v>
      </c>
      <c r="C59" s="162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63"/>
      <c r="O59" s="502">
        <f>'IMC Schedule'!U28</f>
        <v>20000</v>
      </c>
      <c r="P59" s="581">
        <f>'IMC Schedule'!U27</f>
        <v>0.02</v>
      </c>
    </row>
    <row r="60" spans="2:79" ht="14.4">
      <c r="B60" s="42" t="s">
        <v>284</v>
      </c>
      <c r="C60" s="44"/>
      <c r="N60" s="50"/>
      <c r="P60" s="1068"/>
    </row>
    <row r="61" spans="2:79" ht="14.4">
      <c r="B61" s="44" t="s">
        <v>287</v>
      </c>
      <c r="C61" s="44"/>
      <c r="F61" s="140"/>
      <c r="G61" s="140"/>
      <c r="K61" s="140"/>
      <c r="L61" s="140"/>
      <c r="N61" s="50"/>
      <c r="O61" s="502">
        <f>'IMC Schedule'!U30</f>
        <v>21069.607429766464</v>
      </c>
      <c r="P61" s="1068">
        <f>'IMC Schedule'!U29</f>
        <v>6.3208822289299391E-3</v>
      </c>
    </row>
    <row r="62" spans="2:79" ht="14.4">
      <c r="B62" s="141" t="s">
        <v>291</v>
      </c>
      <c r="C62" s="164"/>
      <c r="D62" s="142"/>
      <c r="E62" s="142"/>
      <c r="F62" s="142"/>
      <c r="G62" s="142"/>
      <c r="H62" s="142"/>
      <c r="N62" s="50"/>
      <c r="O62" s="502">
        <f>'IMC Schedule'!BM16</f>
        <v>5989.436389277872</v>
      </c>
      <c r="P62" s="1068">
        <f>'IMC Schedule'!BT16</f>
        <v>1.1362604558277781E-3</v>
      </c>
    </row>
    <row r="63" spans="2:79" ht="14.4">
      <c r="B63" s="44" t="s">
        <v>295</v>
      </c>
      <c r="C63" s="44"/>
      <c r="I63" s="143"/>
      <c r="J63" s="143"/>
      <c r="K63" s="143"/>
      <c r="L63" s="143"/>
      <c r="M63" s="143"/>
      <c r="N63" s="165"/>
      <c r="O63" s="502">
        <f>'IMC Schedule'!BM17</f>
        <v>3992.9575928519148</v>
      </c>
      <c r="P63" s="1068">
        <f>'IMC Schedule'!BT17</f>
        <v>5.2442790268974386E-4</v>
      </c>
    </row>
    <row r="64" spans="2:79" ht="14.4">
      <c r="B64" s="44" t="s">
        <v>211</v>
      </c>
      <c r="C64" s="44"/>
      <c r="G64" s="144"/>
      <c r="H64" s="144"/>
      <c r="I64" s="144"/>
      <c r="J64" s="144"/>
      <c r="N64" s="50"/>
      <c r="O64" s="502">
        <f>'IMC Schedule'!BM18</f>
        <v>3992.9575928519148</v>
      </c>
      <c r="P64" s="1068">
        <f>'IMC Schedule'!BT18</f>
        <v>8.5219534187083376E-4</v>
      </c>
    </row>
    <row r="65" spans="2:16" ht="14.4">
      <c r="B65" s="44" t="s">
        <v>223</v>
      </c>
      <c r="C65" s="166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67"/>
      <c r="O65" s="502">
        <f>'IMC Schedule'!BM19</f>
        <v>5989.436389277872</v>
      </c>
      <c r="P65" s="1068">
        <f>'IMC Schedule'!BT19</f>
        <v>2.5250232351728408E-4</v>
      </c>
    </row>
    <row r="66" spans="2:16" ht="14.4">
      <c r="B66" s="42" t="s">
        <v>306</v>
      </c>
      <c r="C66" s="44"/>
      <c r="N66" s="50"/>
      <c r="P66" s="242"/>
    </row>
    <row r="67" spans="2:16" ht="14.4">
      <c r="B67" s="44" t="s">
        <v>309</v>
      </c>
      <c r="C67" s="168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70"/>
      <c r="O67" s="502">
        <f>'IMC Schedule'!U36</f>
        <v>2000</v>
      </c>
      <c r="P67" s="581">
        <f>'IMC Schedule'!U35</f>
        <v>0</v>
      </c>
    </row>
    <row r="68" spans="2:16" ht="14.4">
      <c r="B68" s="42" t="s">
        <v>312</v>
      </c>
      <c r="C68" s="44"/>
      <c r="N68" s="50"/>
      <c r="P68" s="242"/>
    </row>
    <row r="69" spans="2:16" ht="14.4">
      <c r="B69" s="44" t="s">
        <v>314</v>
      </c>
      <c r="C69" s="171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3"/>
      <c r="O69" s="502">
        <f>'IMC Schedule'!U40</f>
        <v>0</v>
      </c>
      <c r="P69" s="581">
        <f>'IMC Schedule'!U39</f>
        <v>0.01</v>
      </c>
    </row>
    <row r="70" spans="2:16" ht="14.4">
      <c r="B70" s="44" t="s">
        <v>272</v>
      </c>
      <c r="C70" s="174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6"/>
      <c r="O70" s="502">
        <f>'IMC Schedule'!U42</f>
        <v>0</v>
      </c>
      <c r="P70" s="1068">
        <f>'IMC Schedule'!U41</f>
        <v>1.7779442767515256E-3</v>
      </c>
    </row>
    <row r="71" spans="2:16" ht="14.4">
      <c r="B71" s="44" t="s">
        <v>317</v>
      </c>
      <c r="C71" s="44"/>
      <c r="F71" s="150"/>
      <c r="G71" s="150"/>
      <c r="N71" s="50"/>
      <c r="O71" s="502">
        <f>'IMC Schedule'!U44</f>
        <v>5000</v>
      </c>
      <c r="P71" s="581">
        <f>'IMC Schedule'!U43</f>
        <v>0.01</v>
      </c>
    </row>
    <row r="72" spans="2:16" ht="14.4">
      <c r="B72" s="192" t="s">
        <v>320</v>
      </c>
      <c r="C72" s="193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9"/>
      <c r="O72" s="699">
        <f>SUM(O55:O71)</f>
        <v>446856.76579871238</v>
      </c>
      <c r="P72" s="696">
        <f>SUM(P55:P71)</f>
        <v>0.19980000004874879</v>
      </c>
    </row>
    <row r="73" spans="2:16" ht="18">
      <c r="B73" s="184" t="s">
        <v>136</v>
      </c>
      <c r="C73" s="92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90"/>
      <c r="O73" s="700"/>
      <c r="P73" s="1211"/>
    </row>
    <row r="74" spans="2:16" ht="14.4">
      <c r="B74" s="44" t="s">
        <v>181</v>
      </c>
      <c r="C74" s="44"/>
      <c r="E74" s="151"/>
      <c r="N74" s="50"/>
      <c r="O74" s="502">
        <f>'IMC Schedule'!CA26</f>
        <v>6000</v>
      </c>
      <c r="P74" s="242"/>
    </row>
    <row r="75" spans="2:16" ht="14.4">
      <c r="B75" s="44" t="s">
        <v>188</v>
      </c>
      <c r="C75" s="44"/>
      <c r="D75" s="152"/>
      <c r="N75" s="50"/>
      <c r="O75" s="502">
        <f>'IMC Schedule'!CA25</f>
        <v>6000</v>
      </c>
      <c r="P75" s="242"/>
    </row>
    <row r="76" spans="2:16" ht="14.4">
      <c r="B76" s="44" t="s">
        <v>252</v>
      </c>
      <c r="C76" s="44"/>
      <c r="E76" s="153"/>
      <c r="N76" s="50"/>
      <c r="O76" s="502">
        <f>'IMC Schedule'!CA27</f>
        <v>6000</v>
      </c>
      <c r="P76" s="242"/>
    </row>
    <row r="77" spans="2:16" ht="14.4">
      <c r="B77" s="44" t="s">
        <v>265</v>
      </c>
      <c r="C77" s="44"/>
      <c r="G77" s="154"/>
      <c r="H77" s="154"/>
      <c r="I77" s="154"/>
      <c r="J77" s="154"/>
      <c r="K77" s="154"/>
      <c r="L77" s="154"/>
      <c r="M77" s="154"/>
      <c r="N77" s="177"/>
      <c r="O77" s="502">
        <f>'IMC Schedule'!CA29</f>
        <v>4800</v>
      </c>
      <c r="P77" s="242"/>
    </row>
    <row r="78" spans="2:16" ht="14.4">
      <c r="B78" s="192" t="s">
        <v>193</v>
      </c>
      <c r="C78" s="193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9"/>
      <c r="O78" s="699">
        <f>SUM(O74:O77)</f>
        <v>22800</v>
      </c>
      <c r="P78" s="1212"/>
    </row>
    <row r="79" spans="2:16" ht="14.4">
      <c r="B79" s="44"/>
      <c r="C79" s="44"/>
      <c r="N79" s="50"/>
      <c r="P79" s="242"/>
    </row>
    <row r="80" spans="2:16" ht="14.4">
      <c r="B80" s="192" t="s">
        <v>213</v>
      </c>
      <c r="C80" s="193"/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9"/>
      <c r="O80" s="699">
        <f>'IMC Schedule'!U50</f>
        <v>20000</v>
      </c>
      <c r="P80" s="1212"/>
    </row>
    <row r="81" spans="2:17" ht="15.6">
      <c r="B81" s="763" t="s">
        <v>224</v>
      </c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600"/>
      <c r="O81" s="1246">
        <f>O72+O78+O80</f>
        <v>489656.76579871238</v>
      </c>
      <c r="P81" s="1247"/>
    </row>
    <row r="82" spans="2:17" ht="15.6">
      <c r="B82" s="187" t="s">
        <v>333</v>
      </c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1244">
        <f>O81/'BASES Model'!D18</f>
        <v>0.13422864381485194</v>
      </c>
      <c r="P82" s="1245"/>
    </row>
    <row r="83" spans="2:17" ht="15.6">
      <c r="B83" s="672"/>
      <c r="O83" s="692"/>
    </row>
    <row r="84" spans="2:17" ht="21" customHeight="1"/>
    <row r="85" spans="2:17" ht="21">
      <c r="B85" s="663" t="s">
        <v>77</v>
      </c>
      <c r="C85" s="664"/>
      <c r="D85" s="664"/>
      <c r="E85" s="664"/>
      <c r="F85" s="664"/>
      <c r="G85" s="664"/>
      <c r="H85" s="664"/>
      <c r="I85" s="664"/>
      <c r="J85" s="664"/>
      <c r="K85" s="664"/>
      <c r="L85" s="662"/>
      <c r="M85" s="662"/>
      <c r="N85" s="662"/>
      <c r="O85" s="688"/>
      <c r="P85" s="689"/>
      <c r="Q85" s="662"/>
    </row>
    <row r="86" spans="2:17" ht="14.4">
      <c r="B86" s="32"/>
    </row>
    <row r="87" spans="2:17" ht="18">
      <c r="B87" s="182" t="s">
        <v>253</v>
      </c>
      <c r="C87" s="183" t="s">
        <v>137</v>
      </c>
      <c r="D87" s="183" t="s">
        <v>138</v>
      </c>
      <c r="E87" s="183" t="s">
        <v>139</v>
      </c>
      <c r="F87" s="183" t="s">
        <v>140</v>
      </c>
      <c r="G87" s="183" t="s">
        <v>141</v>
      </c>
      <c r="H87" s="183" t="s">
        <v>142</v>
      </c>
      <c r="I87" s="183" t="s">
        <v>143</v>
      </c>
      <c r="J87" s="183" t="s">
        <v>144</v>
      </c>
      <c r="K87" s="183" t="s">
        <v>145</v>
      </c>
      <c r="L87" s="183" t="s">
        <v>146</v>
      </c>
      <c r="M87" s="183" t="s">
        <v>147</v>
      </c>
      <c r="N87" s="183" t="s">
        <v>148</v>
      </c>
      <c r="O87" s="694" t="s">
        <v>149</v>
      </c>
      <c r="P87" s="1196" t="s">
        <v>37</v>
      </c>
    </row>
    <row r="88" spans="2:17" ht="14.4">
      <c r="B88" s="46" t="s">
        <v>248</v>
      </c>
      <c r="C88" s="49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7"/>
      <c r="O88" s="698"/>
      <c r="P88" s="534"/>
    </row>
    <row r="89" spans="2:17" ht="14.4">
      <c r="B89" s="44" t="s">
        <v>267</v>
      </c>
      <c r="C89" s="608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609"/>
      <c r="O89" s="502">
        <f>'IMC Schedule'!V20</f>
        <v>160446.02503221409</v>
      </c>
      <c r="P89" s="1068">
        <f>'IMC Schedule'!V19</f>
        <v>6.4867986213904175E-2</v>
      </c>
    </row>
    <row r="90" spans="2:17" ht="14.4">
      <c r="B90" s="44" t="s">
        <v>269</v>
      </c>
      <c r="C90" s="157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81"/>
      <c r="O90" s="502">
        <f>'IMC Schedule'!V22</f>
        <v>111339.8173708395</v>
      </c>
      <c r="P90" s="1068">
        <f>'IMC Schedule'!V21</f>
        <v>5.159953448833287E-2</v>
      </c>
    </row>
    <row r="91" spans="2:17" ht="14.4">
      <c r="B91" s="44" t="s">
        <v>270</v>
      </c>
      <c r="C91" s="610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58"/>
      <c r="O91" s="502">
        <f>'IMC Schedule'!V24</f>
        <v>151138.76643727184</v>
      </c>
      <c r="P91" s="1068">
        <f>'IMC Schedule'!V23</f>
        <v>6.6833682765840674E-2</v>
      </c>
    </row>
    <row r="92" spans="2:17" ht="14.4">
      <c r="B92" s="44" t="s">
        <v>216</v>
      </c>
      <c r="C92" s="159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1"/>
      <c r="O92" s="502">
        <f>'IMC Schedule'!V26</f>
        <v>75245.249834732458</v>
      </c>
      <c r="P92" s="1068">
        <f>'IMC Schedule'!V25</f>
        <v>1.9656965519364903E-3</v>
      </c>
    </row>
    <row r="93" spans="2:17" ht="14.4">
      <c r="B93" s="44" t="s">
        <v>152</v>
      </c>
      <c r="C93" s="99"/>
      <c r="D93" s="580"/>
      <c r="E93" s="580"/>
      <c r="F93" s="580"/>
      <c r="G93" s="580"/>
      <c r="H93" s="580"/>
      <c r="I93" s="580"/>
      <c r="J93" s="580"/>
      <c r="K93" s="580"/>
      <c r="L93" s="580"/>
      <c r="M93" s="580"/>
      <c r="N93" s="178"/>
      <c r="O93" s="502">
        <f>'IMC Schedule'!V28</f>
        <v>30000</v>
      </c>
      <c r="P93" s="581">
        <f>'IMC Schedule'!V27</f>
        <v>0.03</v>
      </c>
    </row>
    <row r="94" spans="2:17" ht="14.4">
      <c r="B94" s="42" t="s">
        <v>284</v>
      </c>
      <c r="C94" s="44"/>
      <c r="N94" s="50"/>
      <c r="P94" s="1068"/>
    </row>
    <row r="95" spans="2:17" ht="14.4">
      <c r="B95" s="44" t="s">
        <v>287</v>
      </c>
      <c r="C95" s="44"/>
      <c r="K95" s="140"/>
      <c r="L95" s="140"/>
      <c r="N95" s="50"/>
      <c r="O95" s="502">
        <f>'IMC Schedule'!V30</f>
        <v>26209.287359153204</v>
      </c>
      <c r="P95" s="701">
        <f>'IMC Schedule'!V29</f>
        <v>7.8627862077459611E-3</v>
      </c>
    </row>
    <row r="96" spans="2:17" ht="14.4">
      <c r="B96" s="141" t="s">
        <v>291</v>
      </c>
      <c r="C96" s="164"/>
      <c r="D96" s="142"/>
      <c r="E96" s="142"/>
      <c r="F96" s="142"/>
      <c r="G96" s="142"/>
      <c r="H96" s="142"/>
      <c r="N96" s="50"/>
      <c r="O96" s="702">
        <f>'IMC Schedule'!BM22</f>
        <v>7491.4938381710353</v>
      </c>
      <c r="P96" s="1068">
        <f>'IMC Schedule'!BT22</f>
        <v>1.4134376684949339E-3</v>
      </c>
    </row>
    <row r="97" spans="2:16" ht="14.4">
      <c r="B97" s="44" t="s">
        <v>295</v>
      </c>
      <c r="C97" s="44"/>
      <c r="I97" s="143"/>
      <c r="J97" s="143"/>
      <c r="K97" s="143"/>
      <c r="L97" s="143"/>
      <c r="M97" s="143"/>
      <c r="N97" s="165"/>
      <c r="O97" s="502">
        <f>'IMC Schedule'!BM23</f>
        <v>4994.3292254473572</v>
      </c>
      <c r="P97" s="701">
        <f>'IMC Schedule'!BT23</f>
        <v>6.5235584699766176E-4</v>
      </c>
    </row>
    <row r="98" spans="2:16" ht="14.4">
      <c r="B98" s="44" t="s">
        <v>211</v>
      </c>
      <c r="C98" s="44"/>
      <c r="G98" s="144"/>
      <c r="H98" s="144"/>
      <c r="I98" s="144"/>
      <c r="J98" s="144"/>
      <c r="N98" s="50"/>
      <c r="O98" s="502">
        <f>'IMC Schedule'!BM24</f>
        <v>4994.3292254473572</v>
      </c>
      <c r="P98" s="701">
        <f>'IMC Schedule'!BT24</f>
        <v>1.0600782513712004E-3</v>
      </c>
    </row>
    <row r="99" spans="2:16" ht="14.4">
      <c r="B99" s="44" t="s">
        <v>223</v>
      </c>
      <c r="C99" s="166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67"/>
      <c r="O99" s="702">
        <f>'IMC Schedule'!BM25</f>
        <v>7491.4938381710353</v>
      </c>
      <c r="P99" s="701">
        <f>'IMC Schedule'!BT25</f>
        <v>3.140972596655408E-4</v>
      </c>
    </row>
    <row r="100" spans="2:16" ht="14.4">
      <c r="B100" s="42" t="s">
        <v>306</v>
      </c>
      <c r="C100" s="44"/>
      <c r="N100" s="50"/>
      <c r="P100" s="242"/>
    </row>
    <row r="101" spans="2:16" ht="14.4">
      <c r="B101" s="44" t="s">
        <v>309</v>
      </c>
      <c r="C101" s="168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70"/>
      <c r="O101" s="502">
        <f>'IMC Schedule'!V36</f>
        <v>2000</v>
      </c>
      <c r="P101" s="581">
        <f>'IMC Schedule'!V35</f>
        <v>0</v>
      </c>
    </row>
    <row r="102" spans="2:16" ht="14.4">
      <c r="B102" s="42" t="s">
        <v>312</v>
      </c>
      <c r="C102" s="44"/>
      <c r="N102" s="50"/>
      <c r="P102" s="242"/>
    </row>
    <row r="103" spans="2:16" ht="14.4">
      <c r="B103" s="44" t="s">
        <v>314</v>
      </c>
      <c r="C103" s="171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3"/>
      <c r="O103" s="502">
        <f>'IMC Schedule'!V40</f>
        <v>0</v>
      </c>
      <c r="P103" s="581">
        <f>'IMC Schedule'!V39</f>
        <v>0.01</v>
      </c>
    </row>
    <row r="104" spans="2:16" ht="14.4">
      <c r="B104" s="44" t="s">
        <v>272</v>
      </c>
      <c r="C104" s="174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6"/>
      <c r="O104" s="502">
        <f>'IMC Schedule'!V42</f>
        <v>0</v>
      </c>
      <c r="P104" s="1068">
        <f>'IMC Schedule'!V41</f>
        <v>3.2303448063509431E-3</v>
      </c>
    </row>
    <row r="105" spans="2:16" ht="14.4">
      <c r="B105" s="44" t="s">
        <v>317</v>
      </c>
      <c r="C105" s="44"/>
      <c r="F105" s="150"/>
      <c r="G105" s="150"/>
      <c r="N105" s="50"/>
      <c r="O105" s="502">
        <f>'IMC Schedule'!V44</f>
        <v>5000</v>
      </c>
      <c r="P105" s="581">
        <f>'IMC Schedule'!V43</f>
        <v>0.01</v>
      </c>
    </row>
    <row r="106" spans="2:16" ht="14.4">
      <c r="B106" s="192" t="s">
        <v>320</v>
      </c>
      <c r="C106" s="195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7"/>
      <c r="O106" s="699">
        <f>SUM(O89:O105)</f>
        <v>586350.79216144781</v>
      </c>
      <c r="P106" s="696">
        <f>SUM(P89:P105)</f>
        <v>0.24980000006064049</v>
      </c>
    </row>
    <row r="107" spans="2:16" ht="18">
      <c r="B107" s="184" t="s">
        <v>136</v>
      </c>
      <c r="C107" s="611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31"/>
      <c r="O107" s="700"/>
      <c r="P107" s="1211"/>
    </row>
    <row r="108" spans="2:16" ht="14.4">
      <c r="B108" s="44" t="s">
        <v>181</v>
      </c>
      <c r="C108" s="44"/>
      <c r="E108" s="151"/>
      <c r="N108" s="50"/>
      <c r="O108" s="502">
        <f>'IMC Schedule'!CA35</f>
        <v>6000</v>
      </c>
      <c r="P108" s="242"/>
    </row>
    <row r="109" spans="2:16" ht="14.4">
      <c r="B109" s="44" t="s">
        <v>188</v>
      </c>
      <c r="C109" s="44"/>
      <c r="D109" s="152"/>
      <c r="N109" s="50"/>
      <c r="O109" s="702">
        <f>'IMC Schedule'!CA34</f>
        <v>6000</v>
      </c>
      <c r="P109" s="242"/>
    </row>
    <row r="110" spans="2:16" ht="14.4">
      <c r="B110" s="44" t="s">
        <v>265</v>
      </c>
      <c r="C110" s="179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77"/>
      <c r="O110" s="502">
        <f>'IMC Schedule'!CA37</f>
        <v>7200</v>
      </c>
      <c r="P110" s="242"/>
    </row>
    <row r="111" spans="2:16" ht="14.4">
      <c r="B111" s="192" t="s">
        <v>193</v>
      </c>
      <c r="C111" s="193"/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9"/>
      <c r="O111" s="703">
        <f>SUM(O108:O110)</f>
        <v>19200</v>
      </c>
      <c r="P111" s="1212"/>
    </row>
    <row r="112" spans="2:16" ht="14.4">
      <c r="B112" s="44"/>
      <c r="C112" s="44"/>
      <c r="N112" s="50"/>
      <c r="P112" s="242"/>
    </row>
    <row r="113" spans="2:17" ht="14.4">
      <c r="B113" s="192" t="s">
        <v>213</v>
      </c>
      <c r="C113" s="193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9"/>
      <c r="O113" s="699">
        <f>'IMC Schedule'!V50</f>
        <v>20000</v>
      </c>
      <c r="P113" s="1212"/>
    </row>
    <row r="114" spans="2:17" ht="15.6">
      <c r="B114" s="187" t="s">
        <v>224</v>
      </c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0"/>
      <c r="O114" s="1251">
        <f>SUM(O106,O111,O113)</f>
        <v>625550.79216144781</v>
      </c>
      <c r="P114" s="1249"/>
    </row>
    <row r="115" spans="2:17" ht="15.6">
      <c r="B115" s="764" t="s">
        <v>333</v>
      </c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31"/>
      <c r="O115" s="1242">
        <f>O114/'BASES Model'!E18</f>
        <v>0.13309623761258146</v>
      </c>
      <c r="P115" s="1243"/>
    </row>
    <row r="116" spans="2:17" ht="15.6">
      <c r="B116" s="672"/>
      <c r="O116" s="692"/>
    </row>
    <row r="118" spans="2:17" ht="21">
      <c r="B118" s="663" t="s">
        <v>78</v>
      </c>
      <c r="C118" s="664"/>
      <c r="D118" s="664"/>
      <c r="E118" s="664"/>
      <c r="F118" s="664"/>
      <c r="G118" s="664"/>
      <c r="H118" s="664"/>
      <c r="I118" s="664"/>
      <c r="J118" s="664"/>
      <c r="K118" s="664"/>
      <c r="L118" s="662"/>
      <c r="M118" s="662"/>
      <c r="N118" s="662"/>
      <c r="O118" s="688"/>
      <c r="P118" s="689"/>
      <c r="Q118" s="662"/>
    </row>
    <row r="119" spans="2:17" ht="14.4">
      <c r="B119" s="32"/>
    </row>
    <row r="120" spans="2:17" ht="18">
      <c r="B120" s="182" t="s">
        <v>253</v>
      </c>
      <c r="C120" s="183" t="s">
        <v>137</v>
      </c>
      <c r="D120" s="183" t="s">
        <v>138</v>
      </c>
      <c r="E120" s="183" t="s">
        <v>139</v>
      </c>
      <c r="F120" s="183" t="s">
        <v>140</v>
      </c>
      <c r="G120" s="183" t="s">
        <v>141</v>
      </c>
      <c r="H120" s="183" t="s">
        <v>142</v>
      </c>
      <c r="I120" s="183" t="s">
        <v>143</v>
      </c>
      <c r="J120" s="183" t="s">
        <v>144</v>
      </c>
      <c r="K120" s="183" t="s">
        <v>145</v>
      </c>
      <c r="L120" s="183" t="s">
        <v>146</v>
      </c>
      <c r="M120" s="183" t="s">
        <v>147</v>
      </c>
      <c r="N120" s="183" t="s">
        <v>148</v>
      </c>
      <c r="O120" s="694" t="s">
        <v>149</v>
      </c>
      <c r="P120" s="1196" t="s">
        <v>37</v>
      </c>
    </row>
    <row r="121" spans="2:17" ht="14.4">
      <c r="B121" s="46" t="s">
        <v>336</v>
      </c>
      <c r="C121" s="49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7"/>
      <c r="O121" s="698"/>
      <c r="P121" s="534"/>
    </row>
    <row r="122" spans="2:17" ht="14.4">
      <c r="B122" s="44" t="s">
        <v>267</v>
      </c>
      <c r="C122" s="608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609"/>
      <c r="O122" s="502">
        <f>'IMC Schedule'!W20</f>
        <v>168543.78498314356</v>
      </c>
      <c r="P122" s="1068">
        <f>'IMC Schedule'!W19</f>
        <v>6.7908432058067722E-2</v>
      </c>
    </row>
    <row r="123" spans="2:17" ht="14.4">
      <c r="B123" s="44" t="s">
        <v>269</v>
      </c>
      <c r="C123" s="157"/>
      <c r="D123" s="136"/>
      <c r="E123" s="136"/>
      <c r="F123" s="136"/>
      <c r="G123" s="136"/>
      <c r="H123" s="136"/>
      <c r="I123" s="136"/>
      <c r="J123" s="136"/>
      <c r="K123" s="136"/>
      <c r="L123" s="136"/>
      <c r="M123" s="136"/>
      <c r="N123" s="181"/>
      <c r="O123" s="502">
        <f>'IMC Schedule'!W22</f>
        <v>173652.68197951277</v>
      </c>
      <c r="P123" s="1068">
        <f>'IMC Schedule'!W21</f>
        <v>8.0202199930648962E-2</v>
      </c>
    </row>
    <row r="124" spans="2:17" ht="14.4">
      <c r="B124" s="44" t="s">
        <v>270</v>
      </c>
      <c r="C124" s="610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58"/>
      <c r="O124" s="502">
        <f>'IMC Schedule'!W24</f>
        <v>159410.87052592891</v>
      </c>
      <c r="P124" s="1068">
        <f>'IMC Schedule'!W23</f>
        <v>7.0250102129035583E-2</v>
      </c>
    </row>
    <row r="125" spans="2:17" ht="14.4">
      <c r="B125" s="44" t="s">
        <v>216</v>
      </c>
      <c r="C125" s="159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1"/>
      <c r="O125" s="502">
        <f>'IMC Schedule'!W26</f>
        <v>89945.369654386974</v>
      </c>
      <c r="P125" s="1068">
        <f>'IMC Schedule'!W25</f>
        <v>2.3416700709678528E-3</v>
      </c>
    </row>
    <row r="126" spans="2:17" ht="14.4">
      <c r="B126" s="44" t="s">
        <v>152</v>
      </c>
      <c r="C126" s="99"/>
      <c r="D126" s="580"/>
      <c r="E126" s="580"/>
      <c r="F126" s="580"/>
      <c r="G126" s="580"/>
      <c r="H126" s="580"/>
      <c r="I126" s="580"/>
      <c r="J126" s="580"/>
      <c r="K126" s="580"/>
      <c r="L126" s="580"/>
      <c r="M126" s="580"/>
      <c r="N126" s="178"/>
      <c r="O126" s="502">
        <f>'IMC Schedule'!W28</f>
        <v>40000</v>
      </c>
      <c r="P126" s="1068">
        <f>'IMC Schedule'!W27</f>
        <v>0.04</v>
      </c>
    </row>
    <row r="127" spans="2:17" ht="14.4">
      <c r="B127" s="42" t="s">
        <v>284</v>
      </c>
      <c r="C127" s="44"/>
      <c r="N127" s="50"/>
      <c r="P127" s="1068"/>
    </row>
    <row r="128" spans="2:17" ht="14.4">
      <c r="B128" s="44" t="s">
        <v>287</v>
      </c>
      <c r="C128" s="44"/>
      <c r="K128" s="140"/>
      <c r="L128" s="140"/>
      <c r="N128" s="50"/>
      <c r="O128" s="502">
        <f>'IMC Schedule'!W30</f>
        <v>31222.267612904707</v>
      </c>
      <c r="P128" s="1068">
        <f>'IMC Schedule'!W29</f>
        <v>9.3666802838714112E-3</v>
      </c>
    </row>
    <row r="129" spans="2:16" ht="14.4">
      <c r="B129" s="141" t="s">
        <v>291</v>
      </c>
      <c r="C129" s="164"/>
      <c r="D129" s="142"/>
      <c r="E129" s="142"/>
      <c r="F129" s="142"/>
      <c r="G129" s="142"/>
      <c r="H129" s="142"/>
      <c r="N129" s="50"/>
      <c r="O129" s="502">
        <f>'IMC Schedule'!BM28</f>
        <v>8955.0527643650021</v>
      </c>
      <c r="P129" s="1068">
        <f>'IMC Schedule'!BT28</f>
        <v>1.6837821088064385E-3</v>
      </c>
    </row>
    <row r="130" spans="2:16" ht="14.4">
      <c r="B130" s="44" t="s">
        <v>295</v>
      </c>
      <c r="C130" s="44"/>
      <c r="I130" s="143"/>
      <c r="J130" s="143"/>
      <c r="K130" s="143"/>
      <c r="L130" s="143"/>
      <c r="M130" s="143"/>
      <c r="N130" s="165"/>
      <c r="O130" s="502">
        <f>'IMC Schedule'!BM29</f>
        <v>5970.0351762433356</v>
      </c>
      <c r="P130" s="1068">
        <f>'IMC Schedule'!BT29</f>
        <v>7.7713020406451009E-4</v>
      </c>
    </row>
    <row r="131" spans="2:16" ht="14.4">
      <c r="B131" s="44" t="s">
        <v>211</v>
      </c>
      <c r="C131" s="44"/>
      <c r="G131" s="144"/>
      <c r="H131" s="144"/>
      <c r="I131" s="144"/>
      <c r="J131" s="144"/>
      <c r="N131" s="50"/>
      <c r="O131" s="502">
        <f>'IMC Schedule'!BM30</f>
        <v>5970.0351762433356</v>
      </c>
      <c r="P131" s="1068">
        <f>'IMC Schedule'!BT30</f>
        <v>1.2628365816048288E-3</v>
      </c>
    </row>
    <row r="132" spans="2:16" ht="14.4">
      <c r="B132" s="44" t="s">
        <v>223</v>
      </c>
      <c r="C132" s="166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67"/>
      <c r="O132" s="502">
        <f>'IMC Schedule'!BM31</f>
        <v>8955.0527643650021</v>
      </c>
      <c r="P132" s="1068">
        <f>'IMC Schedule'!BT31</f>
        <v>3.7417380195698628E-4</v>
      </c>
    </row>
    <row r="133" spans="2:16" ht="14.4">
      <c r="B133" s="42" t="s">
        <v>306</v>
      </c>
      <c r="C133" s="44"/>
      <c r="N133" s="50"/>
      <c r="P133" s="1068"/>
    </row>
    <row r="134" spans="2:16" ht="14.4">
      <c r="B134" s="44" t="s">
        <v>309</v>
      </c>
      <c r="C134" s="168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70"/>
      <c r="O134" s="502">
        <f>'IMC Schedule'!W36</f>
        <v>2000</v>
      </c>
      <c r="P134" s="1068">
        <f>'IMC Schedule'!W35</f>
        <v>0</v>
      </c>
    </row>
    <row r="135" spans="2:16" ht="14.4">
      <c r="B135" s="42" t="s">
        <v>312</v>
      </c>
      <c r="C135" s="44"/>
      <c r="N135" s="50"/>
      <c r="P135" s="242"/>
    </row>
    <row r="136" spans="2:16" ht="14.4">
      <c r="B136" s="44" t="s">
        <v>314</v>
      </c>
      <c r="C136" s="171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3"/>
      <c r="O136" s="502">
        <f>'IMC Schedule'!W40</f>
        <v>0</v>
      </c>
      <c r="P136" s="581">
        <f>'IMC Schedule'!W39</f>
        <v>0.01</v>
      </c>
    </row>
    <row r="137" spans="2:16" ht="14.4">
      <c r="B137" s="44" t="s">
        <v>272</v>
      </c>
      <c r="C137" s="174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6"/>
      <c r="O137" s="502">
        <f>'IMC Schedule'!W42</f>
        <v>0</v>
      </c>
      <c r="P137" s="1068">
        <f>'IMC Schedule'!W41</f>
        <v>5.3329929032147174E-3</v>
      </c>
    </row>
    <row r="138" spans="2:16" ht="14.4">
      <c r="B138" s="44" t="s">
        <v>317</v>
      </c>
      <c r="C138" s="44"/>
      <c r="F138" s="150"/>
      <c r="G138" s="150"/>
      <c r="N138" s="50"/>
      <c r="O138" s="502">
        <f>'IMC Schedule'!W44</f>
        <v>5000</v>
      </c>
      <c r="P138" s="581">
        <f>'IMC Schedule'!W43</f>
        <v>0.01</v>
      </c>
    </row>
    <row r="139" spans="2:16" ht="14.4">
      <c r="B139" s="192" t="s">
        <v>320</v>
      </c>
      <c r="C139" s="195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7"/>
      <c r="O139" s="699">
        <f>SUM(O122:O138)</f>
        <v>699625.15063709347</v>
      </c>
      <c r="P139" s="696">
        <f>SUM(P122:P138)</f>
        <v>0.29950000007223893</v>
      </c>
    </row>
    <row r="140" spans="2:16" ht="18">
      <c r="B140" s="184" t="s">
        <v>136</v>
      </c>
      <c r="C140" s="611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31"/>
      <c r="O140" s="700"/>
      <c r="P140" s="1211"/>
    </row>
    <row r="141" spans="2:16" ht="14.4">
      <c r="B141" s="44" t="s">
        <v>188</v>
      </c>
      <c r="C141" s="44"/>
      <c r="D141" s="152"/>
      <c r="N141" s="50"/>
      <c r="O141" s="502">
        <f>'IMC Schedule'!CA42</f>
        <v>6000</v>
      </c>
      <c r="P141" s="242"/>
    </row>
    <row r="142" spans="2:16" ht="14.4">
      <c r="B142" s="44" t="s">
        <v>252</v>
      </c>
      <c r="C142" s="44"/>
      <c r="E142" s="151"/>
      <c r="N142" s="50"/>
      <c r="O142" s="502">
        <f>'IMC Schedule'!CA43</f>
        <v>6000</v>
      </c>
      <c r="P142" s="242"/>
    </row>
    <row r="143" spans="2:16" ht="14.4">
      <c r="B143" s="44" t="s">
        <v>265</v>
      </c>
      <c r="C143" s="179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77"/>
      <c r="O143" s="502">
        <f>'IMC Schedule'!CA45</f>
        <v>7200</v>
      </c>
      <c r="P143" s="242"/>
    </row>
    <row r="144" spans="2:16" ht="14.4">
      <c r="B144" s="192" t="s">
        <v>193</v>
      </c>
      <c r="C144" s="193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9"/>
      <c r="O144" s="699">
        <f>SUM(O141:O143)</f>
        <v>19200</v>
      </c>
      <c r="P144" s="1212"/>
    </row>
    <row r="145" spans="2:17" ht="14.4">
      <c r="B145" s="44"/>
      <c r="C145" s="44"/>
      <c r="N145" s="50"/>
      <c r="P145" s="242"/>
    </row>
    <row r="146" spans="2:17" ht="14.4">
      <c r="B146" s="192" t="s">
        <v>213</v>
      </c>
      <c r="C146" s="193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9"/>
      <c r="O146" s="699">
        <f>'IMC Schedule'!W50</f>
        <v>20000</v>
      </c>
      <c r="P146" s="1212"/>
    </row>
    <row r="147" spans="2:17" ht="15.6">
      <c r="B147" s="763" t="s">
        <v>224</v>
      </c>
      <c r="C147" s="183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600"/>
      <c r="O147" s="1246">
        <f>O139+O144+O146</f>
        <v>738825.15063709347</v>
      </c>
      <c r="P147" s="1247"/>
    </row>
    <row r="148" spans="2:17" ht="15.6">
      <c r="B148" s="187" t="s">
        <v>333</v>
      </c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0"/>
      <c r="O148" s="1244">
        <f>O147/'BASES Model'!F18</f>
        <v>0.12454911824758044</v>
      </c>
      <c r="P148" s="1245"/>
    </row>
    <row r="149" spans="2:17" ht="15.6">
      <c r="B149" s="672"/>
      <c r="O149" s="692"/>
    </row>
    <row r="151" spans="2:17" ht="21">
      <c r="B151" s="663" t="s">
        <v>79</v>
      </c>
      <c r="C151" s="664"/>
      <c r="D151" s="664"/>
      <c r="E151" s="664"/>
      <c r="F151" s="664"/>
      <c r="G151" s="664"/>
      <c r="H151" s="664"/>
      <c r="I151" s="664"/>
      <c r="J151" s="664"/>
      <c r="K151" s="664"/>
      <c r="L151" s="662"/>
      <c r="M151" s="662"/>
      <c r="N151" s="662"/>
      <c r="O151" s="688"/>
      <c r="P151" s="689"/>
      <c r="Q151" s="662"/>
    </row>
    <row r="153" spans="2:17" ht="18">
      <c r="B153" s="185" t="s">
        <v>253</v>
      </c>
      <c r="C153" s="183" t="s">
        <v>137</v>
      </c>
      <c r="D153" s="183" t="s">
        <v>138</v>
      </c>
      <c r="E153" s="183" t="s">
        <v>139</v>
      </c>
      <c r="F153" s="183" t="s">
        <v>140</v>
      </c>
      <c r="G153" s="183" t="s">
        <v>141</v>
      </c>
      <c r="H153" s="183" t="s">
        <v>142</v>
      </c>
      <c r="I153" s="183" t="s">
        <v>143</v>
      </c>
      <c r="J153" s="183" t="s">
        <v>144</v>
      </c>
      <c r="K153" s="183" t="s">
        <v>145</v>
      </c>
      <c r="L153" s="183" t="s">
        <v>146</v>
      </c>
      <c r="M153" s="183" t="s">
        <v>147</v>
      </c>
      <c r="N153" s="183" t="s">
        <v>148</v>
      </c>
      <c r="O153" s="1189" t="s">
        <v>149</v>
      </c>
      <c r="P153" s="1194" t="s">
        <v>37</v>
      </c>
    </row>
    <row r="154" spans="2:17" ht="14.4">
      <c r="B154" s="42" t="s">
        <v>248</v>
      </c>
      <c r="C154" s="49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7"/>
      <c r="P154" s="242"/>
    </row>
    <row r="155" spans="2:17" ht="14.4">
      <c r="B155" s="44" t="s">
        <v>267</v>
      </c>
      <c r="C155" s="608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609"/>
      <c r="O155" s="502">
        <f>'IMC Schedule'!X20</f>
        <v>192301.17907637873</v>
      </c>
      <c r="P155" s="1068">
        <f>'IMC Schedule'!X19</f>
        <v>7.7422214791398672E-2</v>
      </c>
    </row>
    <row r="156" spans="2:17" ht="14.4">
      <c r="B156" s="44" t="s">
        <v>269</v>
      </c>
      <c r="C156" s="157"/>
      <c r="D156" s="136"/>
      <c r="E156" s="136"/>
      <c r="F156" s="136"/>
      <c r="G156" s="136"/>
      <c r="H156" s="136"/>
      <c r="I156" s="136"/>
      <c r="J156" s="136"/>
      <c r="K156" s="136"/>
      <c r="L156" s="136"/>
      <c r="M156" s="136"/>
      <c r="N156" s="181"/>
      <c r="O156" s="502">
        <f>'IMC Schedule'!X22</f>
        <v>198130.2098904181</v>
      </c>
      <c r="P156" s="1068">
        <f>'IMC Schedule'!X21</f>
        <v>9.1438305400186368E-2</v>
      </c>
    </row>
    <row r="157" spans="2:17" ht="14.4">
      <c r="B157" s="44" t="s">
        <v>270</v>
      </c>
      <c r="C157" s="610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58"/>
      <c r="O157" s="502">
        <f>'IMC Schedule'!X24</f>
        <v>181880.91814120553</v>
      </c>
      <c r="P157" s="1068">
        <f>'IMC Schedule'!X23</f>
        <v>8.0091946335929656E-2</v>
      </c>
    </row>
    <row r="158" spans="2:17" ht="14.4">
      <c r="B158" s="44" t="s">
        <v>216</v>
      </c>
      <c r="C158" s="159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1"/>
      <c r="O158" s="502">
        <f>'IMC Schedule'!X26</f>
        <v>102623.78193731215</v>
      </c>
      <c r="P158" s="1068">
        <f>'IMC Schedule'!X25</f>
        <v>2.6697315445309887E-3</v>
      </c>
    </row>
    <row r="159" spans="2:17" ht="14.4">
      <c r="B159" s="44" t="s">
        <v>152</v>
      </c>
      <c r="C159" s="99"/>
      <c r="D159" s="580"/>
      <c r="E159" s="580"/>
      <c r="F159" s="580"/>
      <c r="G159" s="580"/>
      <c r="H159" s="580"/>
      <c r="I159" s="580"/>
      <c r="J159" s="580"/>
      <c r="K159" s="580"/>
      <c r="L159" s="580"/>
      <c r="M159" s="580"/>
      <c r="N159" s="178"/>
      <c r="O159" s="502">
        <f>'IMC Schedule'!X28</f>
        <v>50000</v>
      </c>
      <c r="P159" s="581">
        <f>'IMC Schedule'!X27</f>
        <v>0.05</v>
      </c>
    </row>
    <row r="160" spans="2:17" ht="14.4">
      <c r="B160" s="42" t="s">
        <v>284</v>
      </c>
      <c r="C160" s="44"/>
      <c r="N160" s="50"/>
      <c r="P160" s="1068"/>
    </row>
    <row r="161" spans="2:16" ht="14.4">
      <c r="B161" s="44" t="s">
        <v>287</v>
      </c>
      <c r="C161" s="44"/>
      <c r="K161" s="140"/>
      <c r="L161" s="140"/>
      <c r="N161" s="50"/>
      <c r="O161" s="502">
        <f>'IMC Schedule'!X30</f>
        <v>35596.420593746523</v>
      </c>
      <c r="P161" s="1068">
        <f>'IMC Schedule'!X29</f>
        <v>1.0678926178123955E-2</v>
      </c>
    </row>
    <row r="162" spans="2:16" ht="14.4">
      <c r="B162" s="141" t="s">
        <v>291</v>
      </c>
      <c r="C162" s="164"/>
      <c r="D162" s="142"/>
      <c r="E162" s="142"/>
      <c r="F162" s="142"/>
      <c r="G162" s="142"/>
      <c r="H162" s="142"/>
      <c r="N162" s="50"/>
      <c r="O162" s="502">
        <f>'IMC Schedule'!BM34</f>
        <v>10217.328425671716</v>
      </c>
      <c r="P162" s="1068">
        <f>'IMC Schedule'!BT34</f>
        <v>1.919675305983432E-3</v>
      </c>
    </row>
    <row r="163" spans="2:16" ht="14.4">
      <c r="B163" s="44" t="s">
        <v>295</v>
      </c>
      <c r="C163" s="44"/>
      <c r="I163" s="143"/>
      <c r="J163" s="143"/>
      <c r="K163" s="143"/>
      <c r="L163" s="143"/>
      <c r="M163" s="143"/>
      <c r="N163" s="165"/>
      <c r="O163" s="502">
        <f>'IMC Schedule'!BM35</f>
        <v>6811.5522837811441</v>
      </c>
      <c r="P163" s="1068">
        <f>'IMC Schedule'!BT35</f>
        <v>8.8600398737696861E-4</v>
      </c>
    </row>
    <row r="164" spans="2:16" ht="14.4">
      <c r="B164" s="44" t="s">
        <v>211</v>
      </c>
      <c r="C164" s="44"/>
      <c r="G164" s="144"/>
      <c r="H164" s="144"/>
      <c r="I164" s="144"/>
      <c r="J164" s="144"/>
      <c r="N164" s="50"/>
      <c r="O164" s="502">
        <f>'IMC Schedule'!BM36</f>
        <v>6811.5522837811441</v>
      </c>
      <c r="P164" s="1068">
        <f>'IMC Schedule'!BT36</f>
        <v>1.4397564794875739E-3</v>
      </c>
    </row>
    <row r="165" spans="2:16" ht="14.4">
      <c r="B165" s="44" t="s">
        <v>223</v>
      </c>
      <c r="C165" s="166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67"/>
      <c r="O165" s="502">
        <f>'IMC Schedule'!BM37</f>
        <v>10217.328425671716</v>
      </c>
      <c r="P165" s="1068">
        <f>'IMC Schedule'!BT37</f>
        <v>4.265945124407626E-4</v>
      </c>
    </row>
    <row r="166" spans="2:16" ht="14.4">
      <c r="B166" s="42" t="s">
        <v>306</v>
      </c>
      <c r="C166" s="44"/>
      <c r="N166" s="50"/>
      <c r="P166" s="242"/>
    </row>
    <row r="167" spans="2:16" ht="14.4">
      <c r="B167" s="44" t="s">
        <v>309</v>
      </c>
      <c r="C167" s="168"/>
      <c r="D167" s="169"/>
      <c r="E167" s="169"/>
      <c r="F167" s="169"/>
      <c r="G167" s="169"/>
      <c r="H167" s="169"/>
      <c r="I167" s="169"/>
      <c r="J167" s="169"/>
      <c r="K167" s="169"/>
      <c r="L167" s="169"/>
      <c r="M167" s="169"/>
      <c r="N167" s="170"/>
      <c r="O167" s="502">
        <f>'IMC Schedule'!X36</f>
        <v>2000</v>
      </c>
      <c r="P167" s="581">
        <f>'IMC Schedule'!X35</f>
        <v>0</v>
      </c>
    </row>
    <row r="168" spans="2:16" ht="14.4">
      <c r="B168" s="42" t="s">
        <v>312</v>
      </c>
      <c r="C168" s="44"/>
      <c r="N168" s="50"/>
      <c r="P168" s="242"/>
    </row>
    <row r="169" spans="2:16" ht="14.4">
      <c r="B169" s="44" t="s">
        <v>314</v>
      </c>
      <c r="C169" s="171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3"/>
      <c r="O169" s="502">
        <f>'IMC Schedule'!X40</f>
        <v>0</v>
      </c>
      <c r="P169" s="581">
        <f>'IMC Schedule'!X39</f>
        <v>0.01</v>
      </c>
    </row>
    <row r="170" spans="2:16" ht="14.4">
      <c r="B170" s="44" t="s">
        <v>272</v>
      </c>
      <c r="C170" s="174"/>
      <c r="D170" s="175"/>
      <c r="E170" s="175"/>
      <c r="F170" s="175"/>
      <c r="G170" s="175"/>
      <c r="H170" s="175"/>
      <c r="I170" s="175"/>
      <c r="J170" s="175"/>
      <c r="K170" s="175"/>
      <c r="L170" s="175"/>
      <c r="M170" s="175"/>
      <c r="N170" s="176"/>
      <c r="O170" s="502">
        <f>'IMC Schedule'!X42</f>
        <v>0</v>
      </c>
      <c r="P170" s="1068">
        <f>'IMC Schedule'!X41</f>
        <v>8.026845546901076E-3</v>
      </c>
    </row>
    <row r="171" spans="2:16" ht="14.4">
      <c r="B171" s="44" t="s">
        <v>317</v>
      </c>
      <c r="C171" s="44"/>
      <c r="F171" s="150"/>
      <c r="G171" s="150"/>
      <c r="N171" s="50"/>
      <c r="O171" s="502">
        <f>'IMC Schedule'!X44</f>
        <v>5000</v>
      </c>
      <c r="P171" s="581">
        <f>'IMC Schedule'!X43</f>
        <v>0.01</v>
      </c>
    </row>
    <row r="172" spans="2:16" ht="14.4">
      <c r="B172" s="192" t="s">
        <v>320</v>
      </c>
      <c r="C172" s="195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7"/>
      <c r="O172" s="699">
        <f>SUM(O155:O171)</f>
        <v>801590.27105796651</v>
      </c>
      <c r="P172" s="696">
        <f>SUM(P155:P171)</f>
        <v>0.34500000008235943</v>
      </c>
    </row>
    <row r="173" spans="2:16" ht="18">
      <c r="B173" s="185" t="s">
        <v>136</v>
      </c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697"/>
      <c r="P173" s="1211"/>
    </row>
    <row r="174" spans="2:16" ht="14.4">
      <c r="B174" s="180" t="s">
        <v>181</v>
      </c>
      <c r="E174" s="151"/>
      <c r="O174" s="532">
        <f>'IMC Schedule'!CA50</f>
        <v>6000</v>
      </c>
      <c r="P174" s="242"/>
    </row>
    <row r="175" spans="2:16" ht="14.4">
      <c r="B175" s="180" t="s">
        <v>252</v>
      </c>
      <c r="E175" s="152"/>
      <c r="O175" s="532">
        <f>'IMC Schedule'!CA51</f>
        <v>6000</v>
      </c>
      <c r="P175" s="242"/>
    </row>
    <row r="176" spans="2:16" ht="14.4">
      <c r="B176" s="127" t="s">
        <v>265</v>
      </c>
      <c r="C176" s="154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532">
        <f>'IMC Schedule'!CA53</f>
        <v>7200</v>
      </c>
      <c r="P176" s="242"/>
    </row>
    <row r="177" spans="2:16" ht="14.4">
      <c r="B177" s="190" t="s">
        <v>193</v>
      </c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695">
        <f>SUM(O174:O176)</f>
        <v>19200</v>
      </c>
      <c r="P177" s="1212"/>
    </row>
    <row r="178" spans="2:16" ht="14.4">
      <c r="B178" s="127"/>
      <c r="O178" s="532"/>
      <c r="P178" s="242"/>
    </row>
    <row r="179" spans="2:16" ht="14.4">
      <c r="B179" s="190" t="s">
        <v>213</v>
      </c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695">
        <f>'IMC Schedule'!X50</f>
        <v>20000</v>
      </c>
      <c r="P179" s="1212"/>
    </row>
    <row r="180" spans="2:16" ht="15.6">
      <c r="B180" s="187" t="s">
        <v>224</v>
      </c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0"/>
      <c r="O180" s="1248">
        <f>O172+O177+O179</f>
        <v>840790.27105796651</v>
      </c>
      <c r="P180" s="1249"/>
    </row>
    <row r="181" spans="2:16" ht="15.75" customHeight="1">
      <c r="B181" s="764" t="s">
        <v>333</v>
      </c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31"/>
      <c r="O181" s="1250">
        <f>O180/'BASES Model'!G18</f>
        <v>0.1052643335688211</v>
      </c>
      <c r="P181" s="1245"/>
    </row>
  </sheetData>
  <mergeCells count="45">
    <mergeCell ref="AS30:AT30"/>
    <mergeCell ref="BW11:BZ11"/>
    <mergeCell ref="BF24:BG24"/>
    <mergeCell ref="BI10:BJ10"/>
    <mergeCell ref="BA22:BB22"/>
    <mergeCell ref="BC22:BD22"/>
    <mergeCell ref="BE22:BF22"/>
    <mergeCell ref="BG22:BH22"/>
    <mergeCell ref="BI22:BJ22"/>
    <mergeCell ref="AU13:AW13"/>
    <mergeCell ref="AT20:AV20"/>
    <mergeCell ref="BI8:BJ8"/>
    <mergeCell ref="BA8:BB8"/>
    <mergeCell ref="BC8:BD8"/>
    <mergeCell ref="BE8:BF8"/>
    <mergeCell ref="BG8:BH8"/>
    <mergeCell ref="BI9:BJ9"/>
    <mergeCell ref="AT18:AV18"/>
    <mergeCell ref="AT19:AV19"/>
    <mergeCell ref="AT15:AV15"/>
    <mergeCell ref="AT16:AV16"/>
    <mergeCell ref="AT17:AV17"/>
    <mergeCell ref="AU12:AW12"/>
    <mergeCell ref="BC9:BD9"/>
    <mergeCell ref="BC10:BD10"/>
    <mergeCell ref="BE9:BF9"/>
    <mergeCell ref="BE10:BF10"/>
    <mergeCell ref="BA9:BB9"/>
    <mergeCell ref="BA10:BB10"/>
    <mergeCell ref="AU8:AW8"/>
    <mergeCell ref="AU9:AW9"/>
    <mergeCell ref="AU10:AW10"/>
    <mergeCell ref="AU11:AW11"/>
    <mergeCell ref="BG9:BH9"/>
    <mergeCell ref="BG10:BH10"/>
    <mergeCell ref="O47:P47"/>
    <mergeCell ref="O48:P48"/>
    <mergeCell ref="O81:P81"/>
    <mergeCell ref="O82:P82"/>
    <mergeCell ref="O114:P114"/>
    <mergeCell ref="O115:P115"/>
    <mergeCell ref="O148:P148"/>
    <mergeCell ref="O147:P147"/>
    <mergeCell ref="O180:P180"/>
    <mergeCell ref="O181:P181"/>
  </mergeCells>
  <hyperlinks>
    <hyperlink ref="A3" location="'Index'!A1" display="Back to Index" xr:uid="{92FB6B25-3B48-46B6-81AF-80485305D350}"/>
    <hyperlink ref="BB37" r:id="rId1" xr:uid="{8A1E3E03-E4DF-4767-A97D-646EBA1C92EF}"/>
    <hyperlink ref="BB38" r:id="rId2" location=":~:text=Salt%20Lake%20City%2C%20UT%20Bus%20Advertising%20Rates&amp;text=Range%20of%20%2450%20%2D%20%24100%20per%20display%20per%204%20week%20period" xr:uid="{585D9E13-B008-4306-A43F-93E4ECED0D8D}"/>
    <hyperlink ref="BB40" r:id="rId3" xr:uid="{1E04BD22-1A44-44C5-8D47-9FFFBE06DC80}"/>
    <hyperlink ref="BB25" r:id="rId4" xr:uid="{9457DB0E-F689-4AFA-9F56-13C5902E593B}"/>
    <hyperlink ref="BB39" r:id="rId5" xr:uid="{33707AD0-7408-416F-BC21-21577CDE3555}"/>
    <hyperlink ref="BB26" r:id="rId6" xr:uid="{2ED87EDB-419E-4CDC-B992-EECBDD59D032}"/>
    <hyperlink ref="BB27" r:id="rId7" location=":~:text=Chicago%2C%20IL%20Outdoor%20%2F%20Out%20of%20Home%20Advertising%20Rates&amp;text=Range%20of%20%24450%20%2D%20%247%2C500%20per,week%20period%20for%20bus%20interior" xr:uid="{F96E477D-F836-4ED7-BF20-B6F1BCF7DA54}"/>
    <hyperlink ref="BB31" r:id="rId8" xr:uid="{763E244F-A415-48B5-89CE-38A23C11FBF0}"/>
    <hyperlink ref="BB32" r:id="rId9" xr:uid="{CE84B87F-DE49-49B9-923B-9CB5654F0B14}"/>
    <hyperlink ref="BB28" r:id="rId10" xr:uid="{0C4E4A4F-C028-4A17-BED6-24DB09078A83}"/>
    <hyperlink ref="BB41" r:id="rId11" xr:uid="{05D5DB97-658E-4F0A-8FA3-0E87D3B910A2}"/>
    <hyperlink ref="BB30" r:id="rId12" xr:uid="{8819E937-517C-4B1D-8FE3-718E08A13978}"/>
    <hyperlink ref="BB34" r:id="rId13" xr:uid="{8A2B3EBF-CCE2-459C-8DA3-4B1943B5CE70}"/>
    <hyperlink ref="BB29" r:id="rId14" xr:uid="{6C4A0822-195C-4A8F-BBA4-D2A83DC2A4D8}"/>
    <hyperlink ref="BB35" r:id="rId15" xr:uid="{92ADDE85-E5C9-48CD-B0B0-ACAF38344C90}"/>
    <hyperlink ref="BB42" r:id="rId16" xr:uid="{8641F237-831F-439A-A300-1282C770AF74}"/>
    <hyperlink ref="BB36" r:id="rId17" xr:uid="{BE96EE21-0C24-4C0D-B4A7-8371F7DEA8B7}"/>
    <hyperlink ref="BB43" r:id="rId18" location=":~:text=Buffalo%2C%20NY%20Bus%20Advertising%20Rates&amp;text=Range%20of%20%24460%20%2D%20%245%2C250%20per%20display%20per%204%20week%20period" xr:uid="{1E69A96E-0195-406C-B1CC-04464D0CEB1C}"/>
    <hyperlink ref="BB33" r:id="rId19" xr:uid="{67C6DC29-6238-42C5-B0E2-DC58698A4B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4DAC-6739-43DC-B036-DB6DD66CCBF1}">
  <sheetPr>
    <tabColor rgb="FFFFC000"/>
  </sheetPr>
  <dimension ref="A1:F45"/>
  <sheetViews>
    <sheetView topLeftCell="A2" workbookViewId="0">
      <selection activeCell="E7" sqref="E7"/>
    </sheetView>
  </sheetViews>
  <sheetFormatPr defaultColWidth="8.88671875" defaultRowHeight="15" customHeight="1"/>
  <cols>
    <col min="2" max="2" width="25.33203125" customWidth="1"/>
    <col min="3" max="3" width="19.44140625" style="94" customWidth="1"/>
    <col min="4" max="4" width="18.5546875" customWidth="1"/>
    <col min="5" max="5" width="20.5546875" customWidth="1"/>
    <col min="6" max="6" width="21.5546875" customWidth="1"/>
  </cols>
  <sheetData>
    <row r="1" spans="1:4" ht="28.8">
      <c r="A1" s="1" t="s">
        <v>337</v>
      </c>
    </row>
    <row r="2" spans="1:4" ht="18">
      <c r="A2" s="1145" t="s">
        <v>338</v>
      </c>
    </row>
    <row r="3" spans="1:4" ht="13.5" customHeight="1">
      <c r="A3" s="284" t="s">
        <v>32</v>
      </c>
      <c r="B3" s="1"/>
    </row>
    <row r="4" spans="1:4" ht="13.5" customHeight="1">
      <c r="A4" s="284"/>
      <c r="B4" s="1"/>
    </row>
    <row r="5" spans="1:4" ht="14.4">
      <c r="B5" s="1270" t="s">
        <v>339</v>
      </c>
      <c r="C5" s="1271"/>
    </row>
    <row r="6" spans="1:4" ht="14.4">
      <c r="B6" s="233" t="s">
        <v>340</v>
      </c>
      <c r="C6" s="825">
        <v>17600000000</v>
      </c>
    </row>
    <row r="7" spans="1:4" ht="14.4">
      <c r="C7" s="826"/>
    </row>
    <row r="8" spans="1:4" ht="14.4">
      <c r="B8" s="243"/>
      <c r="C8" s="576" t="s">
        <v>38</v>
      </c>
      <c r="D8" s="244" t="s">
        <v>72</v>
      </c>
    </row>
    <row r="9" spans="1:4" ht="14.4">
      <c r="B9" s="247" t="s">
        <v>341</v>
      </c>
      <c r="C9" s="248">
        <v>0.113</v>
      </c>
      <c r="D9" s="249">
        <f>$C$6*C9</f>
        <v>1988800000</v>
      </c>
    </row>
    <row r="10" spans="1:4" ht="14.4">
      <c r="B10" s="238" t="s">
        <v>342</v>
      </c>
      <c r="C10" s="245">
        <f>(D10/D9)*C9</f>
        <v>9.3696818181818187E-4</v>
      </c>
      <c r="D10" s="246">
        <f>D33*F33</f>
        <v>16490640</v>
      </c>
    </row>
    <row r="11" spans="1:4" ht="14.4">
      <c r="B11" s="238" t="s">
        <v>343</v>
      </c>
      <c r="C11" s="245">
        <f>(D11/D9)*C9</f>
        <v>3.9375E-2</v>
      </c>
      <c r="D11" s="246">
        <f>D34*F34</f>
        <v>693000000</v>
      </c>
    </row>
    <row r="12" spans="1:4" ht="14.4">
      <c r="B12" s="239" t="s">
        <v>344</v>
      </c>
      <c r="C12" s="245">
        <f>(D12/D9)*C9</f>
        <v>1.047159090909091E-3</v>
      </c>
      <c r="D12" s="246">
        <f>D35*F35</f>
        <v>18430000</v>
      </c>
    </row>
    <row r="13" spans="1:4" ht="14.4">
      <c r="B13" s="250" t="s">
        <v>345</v>
      </c>
      <c r="C13" s="251">
        <v>0.12</v>
      </c>
      <c r="D13" s="252">
        <f>$C$6*C13</f>
        <v>2112000000</v>
      </c>
    </row>
    <row r="14" spans="1:4" ht="14.4">
      <c r="B14" s="247" t="s">
        <v>346</v>
      </c>
      <c r="C14" s="248">
        <v>0.49399999999999999</v>
      </c>
      <c r="D14" s="249">
        <f>$C$6*C14</f>
        <v>8694400000</v>
      </c>
    </row>
    <row r="15" spans="1:4" ht="14.4">
      <c r="B15" s="238" t="s">
        <v>92</v>
      </c>
      <c r="C15" s="245">
        <f>(D15/D14)*C14</f>
        <v>5.5292613636363633E-2</v>
      </c>
      <c r="D15" s="246">
        <f>F36*D36</f>
        <v>973150000</v>
      </c>
    </row>
    <row r="16" spans="1:4" ht="14.4">
      <c r="B16" s="253" t="s">
        <v>347</v>
      </c>
      <c r="C16" s="248">
        <v>6.4000000000000001E-2</v>
      </c>
      <c r="D16" s="249">
        <f>$C$6*C16</f>
        <v>1126400000</v>
      </c>
    </row>
    <row r="17" spans="2:6" ht="14.4">
      <c r="B17" s="239" t="s">
        <v>348</v>
      </c>
      <c r="C17" s="245">
        <f>(D17/D16)*C16</f>
        <v>1.25E-3</v>
      </c>
      <c r="D17" s="246">
        <f>D37*F37</f>
        <v>22000000</v>
      </c>
    </row>
    <row r="18" spans="2:6" ht="14.4">
      <c r="B18" s="239" t="s">
        <v>349</v>
      </c>
      <c r="C18" s="245">
        <f>(D18/D16)*C16</f>
        <v>1.9886363636363634E-3</v>
      </c>
      <c r="D18" s="246">
        <f>D38*F38</f>
        <v>35000000</v>
      </c>
    </row>
    <row r="19" spans="2:6" ht="14.4">
      <c r="B19" s="238" t="s">
        <v>350</v>
      </c>
      <c r="C19" s="245">
        <f>(D19/D16)*C16</f>
        <v>2.8409090909090913E-4</v>
      </c>
      <c r="D19" s="246">
        <f>D39*F39</f>
        <v>5000000</v>
      </c>
    </row>
    <row r="20" spans="2:6" ht="14.4">
      <c r="B20" s="238" t="s">
        <v>351</v>
      </c>
      <c r="C20" s="245">
        <f>(D20/D16)*C16</f>
        <v>2.1022727272727274E-4</v>
      </c>
      <c r="D20" s="246">
        <f>D40*F40</f>
        <v>3700000</v>
      </c>
    </row>
    <row r="21" spans="2:6" ht="14.4">
      <c r="B21" s="238" t="s">
        <v>352</v>
      </c>
      <c r="C21" s="245">
        <f>(D21/D16)*C16</f>
        <v>3.1250000000000001E-4</v>
      </c>
      <c r="D21" s="246">
        <f>D41*F41</f>
        <v>5500000</v>
      </c>
    </row>
    <row r="22" spans="2:6" ht="14.4">
      <c r="B22" s="238" t="s">
        <v>353</v>
      </c>
      <c r="C22" s="245">
        <v>1.4999999999999999E-2</v>
      </c>
      <c r="D22" s="246">
        <f>C22*C6</f>
        <v>264000000</v>
      </c>
    </row>
    <row r="23" spans="2:6" ht="14.4">
      <c r="B23" s="247" t="s">
        <v>354</v>
      </c>
      <c r="C23" s="248">
        <v>0.17299999999999999</v>
      </c>
      <c r="D23" s="249">
        <f>$C$6*C23</f>
        <v>3044800000</v>
      </c>
    </row>
    <row r="24" spans="2:6" ht="14.4">
      <c r="B24" s="239" t="s">
        <v>355</v>
      </c>
      <c r="C24" s="245">
        <f>(D24/D23)*C23</f>
        <v>1.5727272727272725E-2</v>
      </c>
      <c r="D24" s="246">
        <f>D42*F42</f>
        <v>276800000</v>
      </c>
    </row>
    <row r="25" spans="2:6" ht="14.4">
      <c r="B25" s="239" t="s">
        <v>356</v>
      </c>
      <c r="C25" s="245">
        <f>(D25/D23)*C23</f>
        <v>3.7693181818181813E-2</v>
      </c>
      <c r="D25" s="246">
        <f>D43*F43</f>
        <v>663400000</v>
      </c>
    </row>
    <row r="26" spans="2:6" ht="14.4">
      <c r="B26" s="239" t="s">
        <v>357</v>
      </c>
      <c r="C26" s="245">
        <f>(D26/D24)*C24</f>
        <v>3.8039772727272721E-2</v>
      </c>
      <c r="D26" s="246">
        <f>D44*F44</f>
        <v>669500000</v>
      </c>
    </row>
    <row r="27" spans="2:6" ht="14.4">
      <c r="B27" s="239" t="s">
        <v>358</v>
      </c>
      <c r="C27" s="245">
        <f>(D27/D23)*C23</f>
        <v>4.9286460227272719E-2</v>
      </c>
      <c r="D27" s="246">
        <f>D45*F45</f>
        <v>867441700</v>
      </c>
    </row>
    <row r="28" spans="2:6" ht="14.4">
      <c r="B28" s="254" t="s">
        <v>226</v>
      </c>
      <c r="C28" s="248">
        <v>3.5999999999999997E-2</v>
      </c>
      <c r="D28" s="249">
        <f>C28*C6</f>
        <v>633600000</v>
      </c>
    </row>
    <row r="29" spans="2:6" ht="14.4"/>
    <row r="31" spans="2:6" ht="14.4">
      <c r="B31" s="1261" t="s">
        <v>359</v>
      </c>
      <c r="C31" s="1272"/>
      <c r="D31" s="1272"/>
      <c r="E31" s="1272"/>
      <c r="F31" s="1262"/>
    </row>
    <row r="32" spans="2:6" ht="35.25" customHeight="1">
      <c r="B32" s="820" t="s">
        <v>360</v>
      </c>
      <c r="C32" s="827" t="s">
        <v>361</v>
      </c>
      <c r="D32" s="821" t="s">
        <v>362</v>
      </c>
      <c r="E32" s="822" t="s">
        <v>363</v>
      </c>
      <c r="F32" s="824" t="s">
        <v>364</v>
      </c>
    </row>
    <row r="33" spans="2:6" ht="14.4">
      <c r="B33" s="814" t="s">
        <v>342</v>
      </c>
      <c r="C33" s="114" t="s">
        <v>365</v>
      </c>
      <c r="D33" s="914">
        <v>274844000</v>
      </c>
      <c r="E33" s="818" t="s">
        <v>366</v>
      </c>
      <c r="F33" s="813">
        <v>0.06</v>
      </c>
    </row>
    <row r="34" spans="2:6" ht="14.4">
      <c r="B34" s="73" t="s">
        <v>343</v>
      </c>
      <c r="C34" s="116" t="s">
        <v>365</v>
      </c>
      <c r="D34" s="915">
        <v>23100000000</v>
      </c>
      <c r="E34" s="817" t="s">
        <v>366</v>
      </c>
      <c r="F34" s="581">
        <v>0.03</v>
      </c>
    </row>
    <row r="35" spans="2:6" ht="15" customHeight="1">
      <c r="B35" s="815" t="s">
        <v>344</v>
      </c>
      <c r="C35" s="468" t="s">
        <v>365</v>
      </c>
      <c r="D35" s="915">
        <v>184300000</v>
      </c>
      <c r="E35" s="817" t="s">
        <v>366</v>
      </c>
      <c r="F35" s="581">
        <v>0.1</v>
      </c>
    </row>
    <row r="36" spans="2:6" ht="15" customHeight="1">
      <c r="B36" s="73" t="s">
        <v>92</v>
      </c>
      <c r="C36" s="116" t="s">
        <v>365</v>
      </c>
      <c r="D36" s="915">
        <v>19463000000</v>
      </c>
      <c r="E36" s="817" t="s">
        <v>366</v>
      </c>
      <c r="F36" s="581">
        <v>0.05</v>
      </c>
    </row>
    <row r="37" spans="2:6" ht="15" customHeight="1">
      <c r="B37" s="815" t="s">
        <v>348</v>
      </c>
      <c r="C37" s="468">
        <v>1</v>
      </c>
      <c r="D37" s="812">
        <v>22000000</v>
      </c>
      <c r="E37" s="819" t="s">
        <v>366</v>
      </c>
      <c r="F37" s="581">
        <v>1</v>
      </c>
    </row>
    <row r="38" spans="2:6" ht="15" customHeight="1">
      <c r="B38" s="815" t="s">
        <v>349</v>
      </c>
      <c r="C38" s="468">
        <v>12</v>
      </c>
      <c r="D38" s="812">
        <v>35000000</v>
      </c>
      <c r="E38" s="819" t="s">
        <v>366</v>
      </c>
      <c r="F38" s="581">
        <v>1</v>
      </c>
    </row>
    <row r="39" spans="2:6" ht="15" customHeight="1">
      <c r="B39" s="73" t="s">
        <v>350</v>
      </c>
      <c r="C39" s="116">
        <v>1</v>
      </c>
      <c r="D39" s="812">
        <v>5000000</v>
      </c>
      <c r="E39" s="819" t="s">
        <v>366</v>
      </c>
      <c r="F39" s="581">
        <v>1</v>
      </c>
    </row>
    <row r="40" spans="2:6" ht="15" customHeight="1">
      <c r="B40" s="73" t="s">
        <v>351</v>
      </c>
      <c r="C40" s="116">
        <v>3</v>
      </c>
      <c r="D40" s="812">
        <v>3700000</v>
      </c>
      <c r="E40" s="819" t="s">
        <v>366</v>
      </c>
      <c r="F40" s="581">
        <v>1</v>
      </c>
    </row>
    <row r="41" spans="2:6" ht="15" customHeight="1">
      <c r="B41" s="73" t="s">
        <v>352</v>
      </c>
      <c r="C41" s="116">
        <v>5</v>
      </c>
      <c r="D41" s="812">
        <v>5500000</v>
      </c>
      <c r="E41" s="819" t="s">
        <v>366</v>
      </c>
      <c r="F41" s="581">
        <v>1</v>
      </c>
    </row>
    <row r="42" spans="2:6" ht="15" customHeight="1">
      <c r="B42" s="815" t="s">
        <v>355</v>
      </c>
      <c r="C42" s="468" t="s">
        <v>365</v>
      </c>
      <c r="D42" s="812">
        <v>346000000</v>
      </c>
      <c r="E42" s="819" t="s">
        <v>366</v>
      </c>
      <c r="F42" s="581">
        <v>0.8</v>
      </c>
    </row>
    <row r="43" spans="2:6" ht="15" customHeight="1">
      <c r="B43" s="815" t="s">
        <v>356</v>
      </c>
      <c r="C43" s="468" t="s">
        <v>365</v>
      </c>
      <c r="D43" s="812">
        <v>663400000</v>
      </c>
      <c r="E43" s="819" t="s">
        <v>366</v>
      </c>
      <c r="F43" s="581">
        <v>1</v>
      </c>
    </row>
    <row r="44" spans="2:6" ht="15" customHeight="1">
      <c r="B44" s="815" t="s">
        <v>357</v>
      </c>
      <c r="C44" s="468" t="s">
        <v>365</v>
      </c>
      <c r="D44" s="915">
        <v>6695000000</v>
      </c>
      <c r="E44" s="817" t="s">
        <v>366</v>
      </c>
      <c r="F44" s="581">
        <v>0.1</v>
      </c>
    </row>
    <row r="45" spans="2:6" ht="15" customHeight="1">
      <c r="B45" s="816" t="s">
        <v>358</v>
      </c>
      <c r="C45" s="469" t="s">
        <v>365</v>
      </c>
      <c r="D45" s="916">
        <v>8674417000</v>
      </c>
      <c r="E45" s="823" t="s">
        <v>366</v>
      </c>
      <c r="F45" s="587">
        <v>0.1</v>
      </c>
    </row>
  </sheetData>
  <mergeCells count="2">
    <mergeCell ref="B5:C5"/>
    <mergeCell ref="B31:F31"/>
  </mergeCells>
  <hyperlinks>
    <hyperlink ref="A3" location="'Index'!A1" display="Back to Index" xr:uid="{BAF11ABE-BEBF-4550-9DF8-6DA6CF131614}"/>
    <hyperlink ref="E35" r:id="rId1" xr:uid="{1554B995-86BC-489B-9D7A-DB0BEB9443AE}"/>
    <hyperlink ref="E36" r:id="rId2" xr:uid="{28F8F490-33D4-45ED-A5A9-913AEF10E05C}"/>
    <hyperlink ref="E33" r:id="rId3" xr:uid="{125F8265-6896-4E43-B952-B3A1C2413083}"/>
    <hyperlink ref="E34" r:id="rId4" xr:uid="{7628F282-D662-4476-8BE9-EDF96D6559E5}"/>
    <hyperlink ref="E37" r:id="rId5" location=":~:text=has%20annual%20revenue%20of%20about%20%2422%20million" xr:uid="{CA603045-1391-4BC1-8D53-F0D33FEDA55D}"/>
    <hyperlink ref="E38" r:id="rId6" location="google_vignette" xr:uid="{02916CC1-2297-4733-AAED-4DFB7475EE9D}"/>
    <hyperlink ref="E40" r:id="rId7" xr:uid="{26973B7B-8AD5-42EF-8E3A-4C26E3FC6FB8}"/>
    <hyperlink ref="E42" r:id="rId8" xr:uid="{F630589C-DCD7-4B13-8AC5-0E7F6BAC8456}"/>
    <hyperlink ref="E43" r:id="rId9" xr:uid="{0FAAE2CB-967D-45F0-94FF-9E21804B4F0F}"/>
    <hyperlink ref="E44" r:id="rId10" xr:uid="{9DD85AD4-44F2-453E-BC89-6F1D36DEF6D6}"/>
    <hyperlink ref="E45" r:id="rId11" location=":~:text=%24-,8%2C674%2C417,-100.0" xr:uid="{3A78ECBE-ECF1-46E3-B8B6-9DA75F4032A4}"/>
    <hyperlink ref="E41" r:id="rId12" xr:uid="{0C542405-7DAC-41A0-A519-DDD683549B98}"/>
    <hyperlink ref="E39" r:id="rId13" xr:uid="{64018910-F2EB-4E2C-90C9-D7AC434D46EC}"/>
  </hyperlinks>
  <pageMargins left="0.7" right="0.7" top="0.75" bottom="0.75" header="0.3" footer="0.3"/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1C41-773C-44C5-A1A6-1129B6AB6B85}">
  <sheetPr>
    <tabColor rgb="FFFFC000"/>
  </sheetPr>
  <dimension ref="A1:AC115"/>
  <sheetViews>
    <sheetView workbookViewId="0">
      <selection activeCell="C12" sqref="C12"/>
    </sheetView>
  </sheetViews>
  <sheetFormatPr defaultColWidth="8.88671875" defaultRowHeight="15" customHeight="1"/>
  <cols>
    <col min="1" max="1" width="11.6640625" customWidth="1"/>
    <col min="2" max="2" width="24.6640625" customWidth="1"/>
    <col min="3" max="6" width="12.6640625" customWidth="1"/>
    <col min="7" max="7" width="51.88671875" customWidth="1"/>
    <col min="8" max="8" width="25.6640625" customWidth="1"/>
    <col min="9" max="9" width="25.33203125" customWidth="1"/>
    <col min="10" max="10" width="18.88671875" customWidth="1"/>
    <col min="11" max="11" width="20.88671875" customWidth="1"/>
    <col min="12" max="12" width="24.6640625" customWidth="1"/>
    <col min="13" max="15" width="12.6640625" customWidth="1"/>
    <col min="16" max="16" width="6.6640625" customWidth="1"/>
    <col min="17" max="17" width="24.6640625" customWidth="1"/>
    <col min="18" max="20" width="12.6640625" customWidth="1"/>
    <col min="21" max="21" width="6.6640625" customWidth="1"/>
    <col min="22" max="22" width="24.6640625" customWidth="1"/>
    <col min="23" max="25" width="12.6640625" customWidth="1"/>
    <col min="16384" max="16384" width="8.88671875" bestFit="1" customWidth="1"/>
  </cols>
  <sheetData>
    <row r="1" spans="1:29" ht="28.8">
      <c r="A1" s="1" t="s">
        <v>13</v>
      </c>
    </row>
    <row r="2" spans="1:29" ht="18">
      <c r="A2" s="1143" t="s">
        <v>367</v>
      </c>
    </row>
    <row r="3" spans="1:29" ht="15" customHeight="1">
      <c r="A3" s="284" t="s">
        <v>32</v>
      </c>
    </row>
    <row r="4" spans="1:29" ht="15" customHeight="1">
      <c r="A4" s="284"/>
    </row>
    <row r="5" spans="1:29" ht="24" customHeight="1">
      <c r="A5" s="637"/>
      <c r="B5" s="663" t="s">
        <v>75</v>
      </c>
      <c r="C5" s="664"/>
      <c r="D5" s="664"/>
      <c r="E5" s="664"/>
      <c r="F5" s="664"/>
      <c r="G5" s="664"/>
      <c r="H5" s="664"/>
      <c r="I5" s="664"/>
      <c r="J5" s="664"/>
      <c r="K5" s="664"/>
      <c r="L5" s="662"/>
    </row>
    <row r="6" spans="1:29" ht="15" customHeight="1">
      <c r="A6" s="284"/>
    </row>
    <row r="7" spans="1:29" ht="14.4">
      <c r="B7" s="1239" t="s">
        <v>368</v>
      </c>
      <c r="C7" s="1239"/>
      <c r="D7" s="216" t="s">
        <v>369</v>
      </c>
      <c r="E7" s="217">
        <f>'BASES Model'!C16</f>
        <v>104132</v>
      </c>
      <c r="G7" s="74" t="s">
        <v>370</v>
      </c>
      <c r="H7" s="1193" t="s">
        <v>371</v>
      </c>
      <c r="I7" s="257" t="s">
        <v>372</v>
      </c>
      <c r="J7" s="1183" t="s">
        <v>373</v>
      </c>
      <c r="K7" s="1194" t="s">
        <v>374</v>
      </c>
      <c r="AC7" s="653"/>
    </row>
    <row r="8" spans="1:29" ht="14.4">
      <c r="B8" s="1185" t="s">
        <v>360</v>
      </c>
      <c r="C8" s="1193" t="s">
        <v>38</v>
      </c>
      <c r="D8" s="1183" t="s">
        <v>375</v>
      </c>
      <c r="E8" s="1194" t="s">
        <v>376</v>
      </c>
      <c r="G8" s="44" t="s">
        <v>377</v>
      </c>
      <c r="H8" s="1067">
        <f>'Distribution Reach'!D9</f>
        <v>0.13697286694998367</v>
      </c>
      <c r="I8" s="258">
        <f>K8*(1-J8)</f>
        <v>19.8</v>
      </c>
      <c r="J8" s="256">
        <f>VLOOKUP(G8,'Distribution Reach'!$G$99:$I$103,3,FALSE)</f>
        <v>0.4</v>
      </c>
      <c r="K8" s="241">
        <f>VLOOKUP(G8,'Distribution Reach'!$G$99:$H$103,2,FALSE)</f>
        <v>33</v>
      </c>
    </row>
    <row r="9" spans="1:29" ht="14.4" customHeight="1">
      <c r="B9" s="250" t="s">
        <v>347</v>
      </c>
      <c r="C9" s="288">
        <f>SUM(C10:C15)</f>
        <v>1.9045454545454546E-2</v>
      </c>
      <c r="D9" s="285">
        <f t="shared" ref="D9:D18" si="0">C9/$C$18</f>
        <v>0.13697286694998367</v>
      </c>
      <c r="E9" s="223">
        <f t="shared" ref="E9:E17" si="1">D9*$E$7</f>
        <v>14263.258581235699</v>
      </c>
      <c r="G9" s="44" t="s">
        <v>378</v>
      </c>
      <c r="H9" s="1067"/>
      <c r="I9" s="258"/>
      <c r="J9" s="256"/>
      <c r="K9" s="241"/>
    </row>
    <row r="10" spans="1:29" ht="14.4" customHeight="1">
      <c r="B10" s="44" t="str">
        <f>'Profile of Retail Environment'!B17</f>
        <v>Everything Kitchens</v>
      </c>
      <c r="C10" s="209">
        <f>VLOOKUP(B10,'Profile of Retail Environment'!$B$9:$C$28,2,FALSE)</f>
        <v>1.25E-3</v>
      </c>
      <c r="D10" s="201">
        <f t="shared" si="0"/>
        <v>8.9898659692710051E-3</v>
      </c>
      <c r="E10" s="84">
        <f t="shared" si="1"/>
        <v>936.13272311212836</v>
      </c>
      <c r="G10" s="44" t="s">
        <v>379</v>
      </c>
      <c r="H10" s="1067">
        <f>'Distribution Reach'!D16</f>
        <v>0.86302713305001644</v>
      </c>
      <c r="I10" s="258">
        <f>K10*(1-J10)</f>
        <v>19.8</v>
      </c>
      <c r="J10" s="256">
        <f>VLOOKUP(G10,'Distribution Reach'!$G$99:$I$103,3,FALSE)</f>
        <v>0.4</v>
      </c>
      <c r="K10" s="241">
        <f>VLOOKUP(G10,'Distribution Reach'!$G$99:$H$103,2,FALSE)</f>
        <v>33</v>
      </c>
    </row>
    <row r="11" spans="1:29" ht="14.4" customHeight="1">
      <c r="B11" s="44" t="str">
        <f>'Profile of Retail Environment'!B18</f>
        <v>Chefs' Toys</v>
      </c>
      <c r="C11" s="209">
        <f>VLOOKUP(B11,'Profile of Retail Environment'!$B$9:$C$28,2,FALSE)</f>
        <v>1.9886363636363634E-3</v>
      </c>
      <c r="D11" s="201">
        <f t="shared" si="0"/>
        <v>1.4302059496567507E-2</v>
      </c>
      <c r="E11" s="84">
        <f t="shared" si="1"/>
        <v>1489.3020594965676</v>
      </c>
      <c r="G11" s="44" t="s">
        <v>380</v>
      </c>
      <c r="H11" s="116"/>
      <c r="I11" s="258"/>
      <c r="J11" s="256"/>
      <c r="K11" s="241"/>
    </row>
    <row r="12" spans="1:29" ht="14.4" customHeight="1">
      <c r="B12" s="44" t="str">
        <f>'Profile of Retail Environment'!B19</f>
        <v>Kitchen Outfitters</v>
      </c>
      <c r="C12" s="209">
        <f>VLOOKUP(B12,'Profile of Retail Environment'!$B$9:$C$28,2,FALSE)</f>
        <v>2.8409090909090913E-4</v>
      </c>
      <c r="D12" s="201">
        <f t="shared" si="0"/>
        <v>2.0431513566525014E-3</v>
      </c>
      <c r="E12" s="84">
        <f t="shared" si="1"/>
        <v>212.75743707093827</v>
      </c>
      <c r="G12" s="44" t="s">
        <v>381</v>
      </c>
      <c r="H12" s="1067"/>
      <c r="I12" s="258"/>
      <c r="J12" s="256"/>
      <c r="K12" s="241"/>
    </row>
    <row r="13" spans="1:29" ht="14.4" customHeight="1">
      <c r="B13" s="44" t="str">
        <f>'Profile of Retail Environment'!B20</f>
        <v>The Wooden Spoon</v>
      </c>
      <c r="C13" s="209">
        <f>VLOOKUP(B13,'Profile of Retail Environment'!$B$9:$C$28,2,FALSE)</f>
        <v>2.1022727272727274E-4</v>
      </c>
      <c r="D13" s="201">
        <f t="shared" si="0"/>
        <v>1.5119320039228509E-3</v>
      </c>
      <c r="E13" s="84">
        <f t="shared" si="1"/>
        <v>157.4405034324943</v>
      </c>
      <c r="G13" s="263" t="s">
        <v>382</v>
      </c>
      <c r="H13" s="264"/>
      <c r="I13" s="265">
        <f>SUMPRODUCT(H8:H12,I8:I12)</f>
        <v>19.800000000000004</v>
      </c>
      <c r="J13" s="266"/>
      <c r="K13" s="267"/>
    </row>
    <row r="14" spans="1:29" ht="14.4">
      <c r="B14" s="44" t="str">
        <f>'Profile of Retail Environment'!B21</f>
        <v>LeRoux Kitchen</v>
      </c>
      <c r="C14" s="209">
        <f>VLOOKUP(B14,'Profile of Retail Environment'!$B$9:$C$28,2,FALSE)</f>
        <v>3.1250000000000001E-4</v>
      </c>
      <c r="D14" s="201">
        <f t="shared" si="0"/>
        <v>2.2474664923177513E-3</v>
      </c>
      <c r="E14" s="84">
        <f t="shared" si="1"/>
        <v>234.03318077803209</v>
      </c>
      <c r="G14" s="268" t="s">
        <v>383</v>
      </c>
      <c r="H14" s="269"/>
      <c r="I14" s="270"/>
      <c r="J14" s="271"/>
      <c r="K14" s="272">
        <f>SUMPRODUCT(H8:H12,K8:K12)</f>
        <v>33.000000000000007</v>
      </c>
    </row>
    <row r="15" spans="1:29" ht="14.4">
      <c r="B15" s="44" t="s">
        <v>353</v>
      </c>
      <c r="C15" s="209">
        <f>'Profile of Retail Environment'!C22</f>
        <v>1.4999999999999999E-2</v>
      </c>
      <c r="D15" s="201">
        <f t="shared" si="0"/>
        <v>0.10787839163125205</v>
      </c>
      <c r="E15" s="84">
        <f t="shared" si="1"/>
        <v>11233.592677345539</v>
      </c>
    </row>
    <row r="16" spans="1:29" ht="14.4">
      <c r="B16" s="221" t="s">
        <v>345</v>
      </c>
      <c r="C16" s="289">
        <f>SUM(C17)</f>
        <v>0.12</v>
      </c>
      <c r="D16" s="286">
        <f t="shared" si="0"/>
        <v>0.86302713305001644</v>
      </c>
      <c r="E16" s="222">
        <f t="shared" si="1"/>
        <v>89868.741418764315</v>
      </c>
    </row>
    <row r="17" spans="2:12" ht="14.4">
      <c r="B17" s="44" t="s">
        <v>384</v>
      </c>
      <c r="C17" s="209">
        <f>'Profile of Retail Environment'!$C$13</f>
        <v>0.12</v>
      </c>
      <c r="D17" s="201">
        <f t="shared" si="0"/>
        <v>0.86302713305001644</v>
      </c>
      <c r="E17" s="84">
        <f t="shared" si="1"/>
        <v>89868.741418764315</v>
      </c>
    </row>
    <row r="18" spans="2:12" ht="14.4">
      <c r="B18" s="219" t="s">
        <v>183</v>
      </c>
      <c r="C18" s="290">
        <f>C9+C16</f>
        <v>0.13904545454545453</v>
      </c>
      <c r="D18" s="287">
        <f t="shared" si="0"/>
        <v>1</v>
      </c>
      <c r="E18" s="220">
        <f>D18*$E$7</f>
        <v>104132</v>
      </c>
    </row>
    <row r="19" spans="2:12" ht="14.4">
      <c r="B19" s="32"/>
      <c r="C19" s="665"/>
      <c r="D19" s="665"/>
      <c r="E19" s="666"/>
    </row>
    <row r="21" spans="2:12" ht="24.75" customHeight="1">
      <c r="B21" s="663" t="s">
        <v>76</v>
      </c>
      <c r="C21" s="664"/>
      <c r="D21" s="664"/>
      <c r="E21" s="664"/>
      <c r="F21" s="664"/>
      <c r="G21" s="664"/>
      <c r="H21" s="664"/>
      <c r="I21" s="664"/>
      <c r="J21" s="664"/>
      <c r="K21" s="664"/>
      <c r="L21" s="662"/>
    </row>
    <row r="22" spans="2:12" ht="14.4">
      <c r="J22" s="23"/>
      <c r="K22" s="23"/>
    </row>
    <row r="23" spans="2:12" ht="14.4">
      <c r="B23" s="1239" t="s">
        <v>368</v>
      </c>
      <c r="C23" s="1239"/>
      <c r="D23" s="216" t="s">
        <v>385</v>
      </c>
      <c r="E23" s="217">
        <f>'BASES Model'!D16</f>
        <v>190238</v>
      </c>
      <c r="G23" s="74" t="s">
        <v>386</v>
      </c>
      <c r="H23" s="1193" t="s">
        <v>371</v>
      </c>
      <c r="I23" s="832" t="s">
        <v>372</v>
      </c>
      <c r="J23" s="1196" t="s">
        <v>373</v>
      </c>
      <c r="K23" s="1196" t="s">
        <v>374</v>
      </c>
    </row>
    <row r="24" spans="2:12" ht="14.4">
      <c r="B24" s="1183" t="s">
        <v>360</v>
      </c>
      <c r="C24" s="1184" t="s">
        <v>38</v>
      </c>
      <c r="D24" s="1183" t="s">
        <v>375</v>
      </c>
      <c r="E24" s="1194" t="s">
        <v>376</v>
      </c>
      <c r="G24" s="44" t="s">
        <v>377</v>
      </c>
      <c r="H24" s="1067">
        <f>'Distribution Reach'!D25</f>
        <v>8.0990760762728528E-2</v>
      </c>
      <c r="I24" s="258">
        <f>K24*(1-J24)</f>
        <v>19.8</v>
      </c>
      <c r="J24" s="756">
        <f>VLOOKUP(G24,'Distribution Reach'!$G$99:$I$103,3,FALSE)</f>
        <v>0.4</v>
      </c>
      <c r="K24" s="651">
        <f>VLOOKUP(G24,'Distribution Reach'!$G$99:$H$103,2,FALSE)</f>
        <v>33</v>
      </c>
    </row>
    <row r="25" spans="2:12" ht="14.4">
      <c r="B25" s="192" t="s">
        <v>347</v>
      </c>
      <c r="C25" s="289">
        <f>SUM(C26:C31)</f>
        <v>1.4045454545454545E-2</v>
      </c>
      <c r="D25" s="285">
        <f t="shared" ref="D25:D36" si="2">C25/$C$36</f>
        <v>8.0990760762728528E-2</v>
      </c>
      <c r="E25" s="223">
        <f t="shared" ref="E25:E36" si="3">D25*$E$23</f>
        <v>15407.52034597995</v>
      </c>
      <c r="G25" s="44" t="s">
        <v>378</v>
      </c>
      <c r="H25" s="1067"/>
      <c r="I25" s="258"/>
      <c r="J25" s="256"/>
      <c r="K25" s="241"/>
      <c r="L25" s="23"/>
    </row>
    <row r="26" spans="2:12" ht="14.4">
      <c r="B26" s="44" t="str">
        <f>'Profile of Retail Environment'!B17</f>
        <v>Everything Kitchens</v>
      </c>
      <c r="C26" s="209">
        <f>VLOOKUP(B26,'Profile of Retail Environment'!$B$9:$C$28,2,FALSE)</f>
        <v>1.25E-3</v>
      </c>
      <c r="D26" s="201">
        <f t="shared" si="2"/>
        <v>7.2079156018609531E-3</v>
      </c>
      <c r="E26" s="84">
        <f t="shared" si="3"/>
        <v>1371.219448266824</v>
      </c>
      <c r="G26" s="44" t="s">
        <v>379</v>
      </c>
      <c r="H26" s="1067">
        <f>'Distribution Reach'!D32</f>
        <v>0.69195989777865141</v>
      </c>
      <c r="I26" s="258">
        <f>K26*(1-J26)</f>
        <v>19.8</v>
      </c>
      <c r="J26" s="256">
        <f>VLOOKUP(G26,'Distribution Reach'!$G$99:$I$103,3,FALSE)</f>
        <v>0.4</v>
      </c>
      <c r="K26" s="241">
        <f>VLOOKUP(G26,'Distribution Reach'!$G$99:$H$103,2,FALSE)</f>
        <v>33</v>
      </c>
      <c r="L26" s="23"/>
    </row>
    <row r="27" spans="2:12" ht="14.4">
      <c r="B27" s="44" t="str">
        <f>'Profile of Retail Environment'!B18</f>
        <v>Chefs' Toys</v>
      </c>
      <c r="C27" s="209">
        <f>VLOOKUP(B27,'Profile of Retail Environment'!$B$9:$C$28,2,FALSE)</f>
        <v>1.9886363636363634E-3</v>
      </c>
      <c r="D27" s="201">
        <f t="shared" si="2"/>
        <v>1.1467138457506061E-2</v>
      </c>
      <c r="E27" s="84">
        <f t="shared" si="3"/>
        <v>2181.4854858790382</v>
      </c>
      <c r="G27" s="44" t="s">
        <v>380</v>
      </c>
      <c r="H27" s="116"/>
      <c r="I27" s="258"/>
      <c r="J27" s="256"/>
      <c r="K27" s="242"/>
      <c r="L27" s="23"/>
    </row>
    <row r="28" spans="2:12" ht="14.4">
      <c r="B28" s="44" t="str">
        <f>'Profile of Retail Environment'!B19</f>
        <v>Kitchen Outfitters</v>
      </c>
      <c r="C28" s="209">
        <f>VLOOKUP(B28,'Profile of Retail Environment'!$B$9:$C$28,2,FALSE)</f>
        <v>2.8409090909090913E-4</v>
      </c>
      <c r="D28" s="201">
        <f t="shared" si="2"/>
        <v>1.6381626367865804E-3</v>
      </c>
      <c r="E28" s="84">
        <f t="shared" si="3"/>
        <v>311.64078369700547</v>
      </c>
      <c r="G28" s="44" t="s">
        <v>381</v>
      </c>
      <c r="H28" s="1067">
        <f>'Distribution Reach'!D34</f>
        <v>0.22704934145862002</v>
      </c>
      <c r="I28" s="258">
        <f>K28*(1-J28)</f>
        <v>17.05</v>
      </c>
      <c r="J28" s="256">
        <f>VLOOKUP(G28,'Distribution Reach'!$G$99:$I$103,3,FALSE)</f>
        <v>0.45</v>
      </c>
      <c r="K28" s="241">
        <f>VLOOKUP(G28,'Distribution Reach'!$G$99:$H$103,2,FALSE)</f>
        <v>31</v>
      </c>
      <c r="L28" s="23"/>
    </row>
    <row r="29" spans="2:12" ht="14.4">
      <c r="B29" s="44" t="str">
        <f>'Profile of Retail Environment'!B20</f>
        <v>The Wooden Spoon</v>
      </c>
      <c r="C29" s="209">
        <f>VLOOKUP(B29,'Profile of Retail Environment'!$B$9:$C$28,2,FALSE)</f>
        <v>2.1022727272727274E-4</v>
      </c>
      <c r="D29" s="201">
        <f t="shared" si="2"/>
        <v>1.2122403512220693E-3</v>
      </c>
      <c r="E29" s="84">
        <f t="shared" si="3"/>
        <v>230.61417993578402</v>
      </c>
      <c r="G29" s="263" t="s">
        <v>382</v>
      </c>
      <c r="H29" s="264"/>
      <c r="I29" s="265">
        <f>SUMPRODUCT(H24:H28,I24:I28)</f>
        <v>19.175614310988795</v>
      </c>
      <c r="J29" s="273"/>
      <c r="K29" s="274"/>
    </row>
    <row r="30" spans="2:12" ht="14.4">
      <c r="B30" s="44" t="str">
        <f>'Profile of Retail Environment'!B21</f>
        <v>LeRoux Kitchen</v>
      </c>
      <c r="C30" s="209">
        <f>VLOOKUP(B30,'Profile of Retail Environment'!$B$9:$C$28,2,FALSE)</f>
        <v>3.1250000000000001E-4</v>
      </c>
      <c r="D30" s="201">
        <f t="shared" si="2"/>
        <v>1.8019789004652383E-3</v>
      </c>
      <c r="E30" s="84">
        <f t="shared" si="3"/>
        <v>342.80486206670599</v>
      </c>
      <c r="G30" s="268" t="s">
        <v>383</v>
      </c>
      <c r="H30" s="269"/>
      <c r="I30" s="270"/>
      <c r="J30" s="757"/>
      <c r="K30" s="272">
        <f>SUMPRODUCT(H24:H28,K24:K28)</f>
        <v>32.545901317082759</v>
      </c>
    </row>
    <row r="31" spans="2:12" ht="14.4">
      <c r="B31" s="44" t="s">
        <v>353</v>
      </c>
      <c r="C31" s="209">
        <v>0.01</v>
      </c>
      <c r="D31" s="201">
        <f t="shared" si="2"/>
        <v>5.7663324814887625E-2</v>
      </c>
      <c r="E31" s="84">
        <f t="shared" si="3"/>
        <v>10969.755586134592</v>
      </c>
      <c r="I31" s="23"/>
      <c r="J31" s="40"/>
    </row>
    <row r="32" spans="2:12" ht="14.4">
      <c r="B32" s="221" t="s">
        <v>345</v>
      </c>
      <c r="C32" s="289">
        <f>SUM(C33)</f>
        <v>0.12</v>
      </c>
      <c r="D32" s="286">
        <f t="shared" si="2"/>
        <v>0.69195989777865141</v>
      </c>
      <c r="E32" s="222">
        <f t="shared" si="3"/>
        <v>131637.06703361508</v>
      </c>
      <c r="I32" s="23"/>
      <c r="J32" s="40"/>
      <c r="K32" s="40"/>
      <c r="L32" s="40"/>
    </row>
    <row r="33" spans="2:15" ht="15" customHeight="1">
      <c r="B33" s="44" t="s">
        <v>384</v>
      </c>
      <c r="C33" s="209">
        <f>'Profile of Retail Environment'!C13</f>
        <v>0.12</v>
      </c>
      <c r="D33" s="201">
        <f t="shared" si="2"/>
        <v>0.69195989777865141</v>
      </c>
      <c r="E33" s="84">
        <f t="shared" si="3"/>
        <v>131637.06703361508</v>
      </c>
      <c r="I33" s="23"/>
      <c r="J33" s="40"/>
      <c r="K33" s="40"/>
      <c r="L33" s="40"/>
    </row>
    <row r="34" spans="2:15" ht="14.4">
      <c r="B34" s="221" t="s">
        <v>341</v>
      </c>
      <c r="C34" s="289">
        <f>SUM(C35:C35)</f>
        <v>3.9375E-2</v>
      </c>
      <c r="D34" s="286">
        <f t="shared" si="2"/>
        <v>0.22704934145862002</v>
      </c>
      <c r="E34" s="222">
        <f t="shared" si="3"/>
        <v>43193.412620404953</v>
      </c>
      <c r="I34" s="23"/>
      <c r="J34" s="40"/>
      <c r="K34" s="40"/>
      <c r="L34" s="40"/>
    </row>
    <row r="35" spans="2:15" ht="14.4">
      <c r="B35" s="44" t="str">
        <f>'Profile of Retail Environment'!B11</f>
        <v>Macy's</v>
      </c>
      <c r="C35" s="209">
        <f>VLOOKUP(B35,'Profile of Retail Environment'!$B$9:$C$28,2,FALSE)</f>
        <v>3.9375E-2</v>
      </c>
      <c r="D35" s="201">
        <f t="shared" si="2"/>
        <v>0.22704934145862002</v>
      </c>
      <c r="E35" s="84">
        <f t="shared" si="3"/>
        <v>43193.412620404953</v>
      </c>
      <c r="I35" s="23"/>
      <c r="J35" s="40"/>
      <c r="K35" s="40"/>
      <c r="L35" s="40"/>
    </row>
    <row r="36" spans="2:15" ht="14.4">
      <c r="B36" s="219" t="s">
        <v>183</v>
      </c>
      <c r="C36" s="290">
        <f>C25+C32+C34</f>
        <v>0.17342045454545454</v>
      </c>
      <c r="D36" s="287">
        <f t="shared" si="2"/>
        <v>1</v>
      </c>
      <c r="E36" s="220">
        <f t="shared" si="3"/>
        <v>190238</v>
      </c>
      <c r="I36" s="23"/>
      <c r="J36" s="40"/>
      <c r="K36" s="40"/>
      <c r="L36" s="40"/>
    </row>
    <row r="37" spans="2:15" ht="14.4">
      <c r="B37" s="32"/>
      <c r="C37" s="665"/>
      <c r="D37" s="665"/>
      <c r="E37" s="666"/>
      <c r="I37" s="23"/>
      <c r="J37" s="40"/>
      <c r="K37" s="40"/>
      <c r="L37" s="40"/>
    </row>
    <row r="38" spans="2:15" ht="14.4">
      <c r="I38" s="23"/>
      <c r="J38" s="40"/>
      <c r="K38" s="40"/>
      <c r="L38" s="40"/>
    </row>
    <row r="39" spans="2:15" ht="21" customHeight="1">
      <c r="B39" s="663" t="s">
        <v>77</v>
      </c>
      <c r="C39" s="664"/>
      <c r="D39" s="664"/>
      <c r="E39" s="664"/>
      <c r="F39" s="664"/>
      <c r="G39" s="664"/>
      <c r="H39" s="664"/>
      <c r="I39" s="664"/>
      <c r="J39" s="664"/>
      <c r="K39" s="664"/>
      <c r="L39" s="662"/>
    </row>
    <row r="40" spans="2:15" ht="14.4">
      <c r="I40" s="23"/>
      <c r="J40" s="40"/>
      <c r="K40" s="40"/>
      <c r="L40" s="40"/>
      <c r="M40" s="40"/>
      <c r="N40" s="40"/>
      <c r="O40" s="40"/>
    </row>
    <row r="41" spans="2:15" ht="14.4">
      <c r="B41" s="1239" t="s">
        <v>368</v>
      </c>
      <c r="C41" s="1239"/>
      <c r="D41" s="216" t="s">
        <v>387</v>
      </c>
      <c r="E41" s="217">
        <f>'BASES Model'!E16</f>
        <v>252116</v>
      </c>
      <c r="G41" s="240" t="s">
        <v>388</v>
      </c>
      <c r="H41" s="1185" t="s">
        <v>371</v>
      </c>
      <c r="I41" s="539" t="s">
        <v>372</v>
      </c>
      <c r="J41" s="1182" t="s">
        <v>373</v>
      </c>
      <c r="K41" s="1196" t="s">
        <v>374</v>
      </c>
      <c r="L41" s="40"/>
      <c r="M41" s="40"/>
      <c r="N41" s="40"/>
      <c r="O41" s="40"/>
    </row>
    <row r="42" spans="2:15" ht="14.4">
      <c r="B42" s="1183" t="s">
        <v>360</v>
      </c>
      <c r="C42" s="1184" t="s">
        <v>38</v>
      </c>
      <c r="D42" s="1183" t="s">
        <v>375</v>
      </c>
      <c r="E42" s="1194" t="s">
        <v>376</v>
      </c>
      <c r="G42" s="49" t="s">
        <v>377</v>
      </c>
      <c r="H42" s="255">
        <f>'Distribution Reach'!D43</f>
        <v>4.0582946495259807E-2</v>
      </c>
      <c r="I42" s="259">
        <f>K42*(1-J42)</f>
        <v>19.8</v>
      </c>
      <c r="J42" s="756">
        <f>VLOOKUP(G42,'Distribution Reach'!$G$99:$I$103,3,FALSE)</f>
        <v>0.4</v>
      </c>
      <c r="K42" s="651">
        <f>VLOOKUP(G42,'Distribution Reach'!$G$99:$H$103,2,FALSE)</f>
        <v>33</v>
      </c>
      <c r="L42" s="40"/>
      <c r="M42" s="40"/>
      <c r="N42" s="40"/>
      <c r="O42" s="40"/>
    </row>
    <row r="43" spans="2:15" ht="14.4">
      <c r="B43" s="192" t="s">
        <v>347</v>
      </c>
      <c r="C43" s="289">
        <f>SUM(C44:C49)</f>
        <v>9.0454545454545458E-3</v>
      </c>
      <c r="D43" s="285">
        <f t="shared" ref="D43:D58" si="4">C43/$C$58</f>
        <v>4.0582946495259807E-2</v>
      </c>
      <c r="E43" s="223">
        <f t="shared" ref="E43:E58" si="5">D43*$E$41</f>
        <v>10231.610138598922</v>
      </c>
      <c r="G43" s="44" t="s">
        <v>378</v>
      </c>
      <c r="H43" s="1067">
        <f>'Distribution Reach'!D55</f>
        <v>0.23967390888720641</v>
      </c>
      <c r="I43" s="258">
        <f>K43*(1-J43)</f>
        <v>17.05</v>
      </c>
      <c r="J43" s="256">
        <f>VLOOKUP(G43,'Distribution Reach'!$G$99:$I$103,3,FALSE)</f>
        <v>0.45</v>
      </c>
      <c r="K43" s="241">
        <f>VLOOKUP(G43,'Distribution Reach'!$G$99:$H$103,2,FALSE)</f>
        <v>31</v>
      </c>
    </row>
    <row r="44" spans="2:15" ht="14.4">
      <c r="B44" s="44" t="str">
        <f>'Profile of Retail Environment'!B17</f>
        <v>Everything Kitchens</v>
      </c>
      <c r="C44" s="209">
        <f>VLOOKUP(B44,'Profile of Retail Environment'!$B$9:$C$28,2,FALSE)</f>
        <v>1.25E-3</v>
      </c>
      <c r="D44" s="201">
        <f t="shared" si="4"/>
        <v>5.608196123716807E-3</v>
      </c>
      <c r="E44" s="84">
        <f t="shared" si="5"/>
        <v>1413.9159739269865</v>
      </c>
      <c r="G44" s="44" t="s">
        <v>379</v>
      </c>
      <c r="H44" s="1067">
        <f>'Distribution Reach'!D50</f>
        <v>0.53838682787681347</v>
      </c>
      <c r="I44" s="258">
        <f>K44*(1-J44)</f>
        <v>19.8</v>
      </c>
      <c r="J44" s="256">
        <f>VLOOKUP(G44,'Distribution Reach'!$G$99:$I$103,3,FALSE)</f>
        <v>0.4</v>
      </c>
      <c r="K44" s="241">
        <f>VLOOKUP(G44,'Distribution Reach'!$G$99:$H$103,2,FALSE)</f>
        <v>33</v>
      </c>
    </row>
    <row r="45" spans="2:15" ht="14.4">
      <c r="B45" s="44" t="str">
        <f>'Profile of Retail Environment'!B18</f>
        <v>Chefs' Toys</v>
      </c>
      <c r="C45" s="209">
        <f>VLOOKUP(B45,'Profile of Retail Environment'!$B$9:$C$28,2,FALSE)</f>
        <v>1.9886363636363634E-3</v>
      </c>
      <c r="D45" s="201">
        <f t="shared" si="4"/>
        <v>8.9221301968221926E-3</v>
      </c>
      <c r="E45" s="84">
        <f t="shared" si="5"/>
        <v>2249.4117767020239</v>
      </c>
      <c r="G45" s="44" t="s">
        <v>380</v>
      </c>
      <c r="H45" s="116"/>
      <c r="I45" s="258"/>
      <c r="J45" s="256"/>
      <c r="K45" s="242"/>
    </row>
    <row r="46" spans="2:15" ht="14.4">
      <c r="B46" s="44" t="str">
        <f>'Profile of Retail Environment'!B19</f>
        <v>Kitchen Outfitters</v>
      </c>
      <c r="C46" s="209">
        <f>VLOOKUP(B46,'Profile of Retail Environment'!$B$9:$C$28,2,FALSE)</f>
        <v>2.8409090909090913E-4</v>
      </c>
      <c r="D46" s="201">
        <f t="shared" si="4"/>
        <v>1.2745900281174562E-3</v>
      </c>
      <c r="E46" s="84">
        <f t="shared" si="5"/>
        <v>321.34453952886059</v>
      </c>
      <c r="G46" s="44" t="s">
        <v>381</v>
      </c>
      <c r="H46" s="1067">
        <f>'Distribution Reach'!D52</f>
        <v>0.18135631674072036</v>
      </c>
      <c r="I46" s="258">
        <f>K46*(1-J46)</f>
        <v>17.05</v>
      </c>
      <c r="J46" s="256">
        <f>VLOOKUP(G46,'Distribution Reach'!$G$99:$I$103,3,FALSE)</f>
        <v>0.45</v>
      </c>
      <c r="K46" s="241">
        <f>VLOOKUP(G46,'Distribution Reach'!$G$99:$H$103,2,FALSE)</f>
        <v>31</v>
      </c>
    </row>
    <row r="47" spans="2:15" ht="14.4">
      <c r="B47" s="44" t="str">
        <f>'Profile of Retail Environment'!B20</f>
        <v>The Wooden Spoon</v>
      </c>
      <c r="C47" s="209">
        <f>VLOOKUP(B47,'Profile of Retail Environment'!$B$9:$C$28,2,FALSE)</f>
        <v>2.1022727272727274E-4</v>
      </c>
      <c r="D47" s="201">
        <f t="shared" si="4"/>
        <v>9.4319662080691758E-4</v>
      </c>
      <c r="E47" s="84">
        <f t="shared" si="5"/>
        <v>237.79495925135683</v>
      </c>
      <c r="G47" s="263" t="s">
        <v>382</v>
      </c>
      <c r="H47" s="264"/>
      <c r="I47" s="265">
        <f>SUMPRODUCT(H42:H46,I42:I46)</f>
        <v>18.642166879523202</v>
      </c>
      <c r="J47" s="266"/>
      <c r="K47" s="274"/>
    </row>
    <row r="48" spans="2:15" ht="14.4">
      <c r="B48" s="44" t="str">
        <f>'Profile of Retail Environment'!B21</f>
        <v>LeRoux Kitchen</v>
      </c>
      <c r="C48" s="209">
        <f>VLOOKUP(B48,'Profile of Retail Environment'!$B$9:$C$28,2,FALSE)</f>
        <v>3.1250000000000001E-4</v>
      </c>
      <c r="D48" s="201">
        <f t="shared" si="4"/>
        <v>1.4020490309292017E-3</v>
      </c>
      <c r="E48" s="84">
        <f t="shared" si="5"/>
        <v>353.47899348174661</v>
      </c>
      <c r="G48" s="268" t="s">
        <v>383</v>
      </c>
      <c r="H48" s="269"/>
      <c r="I48" s="270"/>
      <c r="J48" s="271"/>
      <c r="K48" s="272">
        <f>SUMPRODUCT(H42:H46,K42:K46)</f>
        <v>32.157939548744153</v>
      </c>
    </row>
    <row r="49" spans="2:12" ht="15" customHeight="1">
      <c r="B49" s="44" t="s">
        <v>353</v>
      </c>
      <c r="C49" s="209">
        <v>5.0000000000000001E-3</v>
      </c>
      <c r="D49" s="201">
        <f t="shared" si="4"/>
        <v>2.2432784494867228E-2</v>
      </c>
      <c r="E49" s="84">
        <f t="shared" si="5"/>
        <v>5655.6638957079458</v>
      </c>
    </row>
    <row r="50" spans="2:12" ht="15" customHeight="1">
      <c r="B50" s="221" t="s">
        <v>345</v>
      </c>
      <c r="C50" s="289">
        <f>SUM(C51)</f>
        <v>0.12</v>
      </c>
      <c r="D50" s="286">
        <f t="shared" si="4"/>
        <v>0.53838682787681347</v>
      </c>
      <c r="E50" s="222">
        <f t="shared" si="5"/>
        <v>135735.93349699071</v>
      </c>
    </row>
    <row r="51" spans="2:12" ht="14.4">
      <c r="B51" s="44" t="s">
        <v>384</v>
      </c>
      <c r="C51" s="209">
        <f>'Profile of Retail Environment'!$C$13</f>
        <v>0.12</v>
      </c>
      <c r="D51" s="201">
        <f t="shared" si="4"/>
        <v>0.53838682787681347</v>
      </c>
      <c r="E51" s="84">
        <f t="shared" si="5"/>
        <v>135735.93349699071</v>
      </c>
      <c r="J51" s="1210"/>
    </row>
    <row r="52" spans="2:12" ht="14.4">
      <c r="B52" s="221" t="s">
        <v>341</v>
      </c>
      <c r="C52" s="289">
        <f>SUM(C53:C54)</f>
        <v>4.0422159090909092E-2</v>
      </c>
      <c r="D52" s="286">
        <f t="shared" si="4"/>
        <v>0.18135631674072036</v>
      </c>
      <c r="E52" s="222">
        <f t="shared" si="5"/>
        <v>45722.829151403457</v>
      </c>
      <c r="J52" s="23"/>
      <c r="K52" s="1210"/>
      <c r="L52" s="1210"/>
    </row>
    <row r="53" spans="2:12" ht="14.4">
      <c r="B53" s="44" t="s">
        <v>344</v>
      </c>
      <c r="C53" s="209">
        <f>VLOOKUP(B53,'Profile of Retail Environment'!$B$9:$C$28,2,FALSE)</f>
        <v>1.047159090909091E-3</v>
      </c>
      <c r="D53" s="201">
        <f t="shared" si="4"/>
        <v>4.6981388436409437E-3</v>
      </c>
      <c r="E53" s="84">
        <f t="shared" si="5"/>
        <v>1184.4759727033802</v>
      </c>
      <c r="J53" s="23"/>
      <c r="K53" s="23"/>
      <c r="L53" s="23"/>
    </row>
    <row r="54" spans="2:12" ht="14.4">
      <c r="B54" s="44" t="s">
        <v>343</v>
      </c>
      <c r="C54" s="209">
        <f>VLOOKUP(B54,'Profile of Retail Environment'!$B$9:$C$28,2,FALSE)</f>
        <v>3.9375E-2</v>
      </c>
      <c r="D54" s="201">
        <f t="shared" si="4"/>
        <v>0.17665817789707941</v>
      </c>
      <c r="E54" s="84">
        <f t="shared" si="5"/>
        <v>44538.353178700076</v>
      </c>
      <c r="J54" s="108"/>
      <c r="K54" s="23"/>
      <c r="L54" s="23"/>
    </row>
    <row r="55" spans="2:12" ht="14.4">
      <c r="B55" s="221" t="s">
        <v>354</v>
      </c>
      <c r="C55" s="289">
        <f>SUM(C56:C57)</f>
        <v>5.3420454545454535E-2</v>
      </c>
      <c r="D55" s="286">
        <f t="shared" si="4"/>
        <v>0.23967390888720641</v>
      </c>
      <c r="E55" s="222">
        <f t="shared" si="5"/>
        <v>60425.627213006934</v>
      </c>
      <c r="J55" s="108"/>
      <c r="K55" s="108"/>
      <c r="L55" s="108"/>
    </row>
    <row r="56" spans="2:12" ht="14.4">
      <c r="B56" s="44" t="str">
        <f>'Profile of Retail Environment'!B25</f>
        <v>Le Creuset</v>
      </c>
      <c r="C56" s="209">
        <f>VLOOKUP(B56,'Profile of Retail Environment'!$B$9:$C$28,2,FALSE)</f>
        <v>3.7693181818181813E-2</v>
      </c>
      <c r="D56" s="201">
        <f t="shared" si="4"/>
        <v>0.16911260493062405</v>
      </c>
      <c r="E56" s="84">
        <f t="shared" si="5"/>
        <v>42635.993504689213</v>
      </c>
      <c r="J56" s="108"/>
      <c r="K56" s="108"/>
      <c r="L56" s="108"/>
    </row>
    <row r="57" spans="2:12" ht="14.4">
      <c r="B57" s="44" t="str">
        <f>'Profile of Retail Environment'!B24</f>
        <v>Sur La Table</v>
      </c>
      <c r="C57" s="209">
        <f>VLOOKUP(B57,'Profile of Retail Environment'!$B$9:$C$28,2,FALSE)</f>
        <v>1.5727272727272725E-2</v>
      </c>
      <c r="D57" s="201">
        <f t="shared" si="4"/>
        <v>7.0561303956582361E-2</v>
      </c>
      <c r="E57" s="84">
        <f t="shared" si="5"/>
        <v>17789.633708317717</v>
      </c>
      <c r="J57" s="108"/>
      <c r="K57" s="108"/>
      <c r="L57" s="108"/>
    </row>
    <row r="58" spans="2:12" ht="14.4">
      <c r="B58" s="219" t="s">
        <v>183</v>
      </c>
      <c r="C58" s="290">
        <f>C43+C50+C52+C55</f>
        <v>0.22288806818181817</v>
      </c>
      <c r="D58" s="287">
        <f t="shared" si="4"/>
        <v>1</v>
      </c>
      <c r="E58" s="220">
        <f t="shared" si="5"/>
        <v>252116</v>
      </c>
      <c r="J58" s="108"/>
      <c r="K58" s="108"/>
      <c r="L58" s="108"/>
    </row>
    <row r="59" spans="2:12" ht="14.4">
      <c r="B59" s="32"/>
      <c r="C59" s="665"/>
      <c r="D59" s="665"/>
      <c r="E59" s="666"/>
      <c r="J59" s="108"/>
      <c r="K59" s="108"/>
      <c r="L59" s="108"/>
    </row>
    <row r="60" spans="2:12" ht="21" customHeight="1">
      <c r="K60" s="108"/>
      <c r="L60" s="108"/>
    </row>
    <row r="61" spans="2:12" ht="21">
      <c r="B61" s="663" t="s">
        <v>78</v>
      </c>
      <c r="C61" s="664"/>
      <c r="D61" s="664"/>
      <c r="E61" s="664"/>
      <c r="F61" s="664"/>
      <c r="G61" s="664"/>
      <c r="H61" s="664"/>
      <c r="I61" s="664"/>
      <c r="J61" s="664"/>
      <c r="K61" s="664"/>
      <c r="L61" s="662"/>
    </row>
    <row r="62" spans="2:12" ht="14.4"/>
    <row r="63" spans="2:12" ht="14.4">
      <c r="B63" s="1239" t="s">
        <v>368</v>
      </c>
      <c r="C63" s="1239"/>
      <c r="D63" s="216" t="s">
        <v>389</v>
      </c>
      <c r="E63" s="217">
        <f>'BASES Model'!F16</f>
        <v>332284</v>
      </c>
      <c r="G63" s="240" t="s">
        <v>390</v>
      </c>
      <c r="H63" s="1185" t="s">
        <v>371</v>
      </c>
      <c r="I63" s="539" t="s">
        <v>372</v>
      </c>
      <c r="J63" s="1182" t="s">
        <v>373</v>
      </c>
      <c r="K63" s="1196" t="s">
        <v>374</v>
      </c>
    </row>
    <row r="64" spans="2:12" ht="14.4">
      <c r="B64" s="1193" t="s">
        <v>360</v>
      </c>
      <c r="C64" s="1193" t="s">
        <v>38</v>
      </c>
      <c r="D64" s="1183" t="s">
        <v>375</v>
      </c>
      <c r="E64" s="1194" t="s">
        <v>376</v>
      </c>
      <c r="G64" s="49" t="s">
        <v>377</v>
      </c>
      <c r="H64" s="114"/>
      <c r="I64" s="259"/>
      <c r="J64" s="756"/>
      <c r="K64" s="651"/>
    </row>
    <row r="65" spans="2:12" ht="14.4">
      <c r="B65" s="192" t="s">
        <v>345</v>
      </c>
      <c r="C65" s="288">
        <f>SUM(C66)</f>
        <v>0.12</v>
      </c>
      <c r="D65" s="285">
        <f t="shared" ref="D65:D76" si="6">C65/$C$76</f>
        <v>0.44432563595831781</v>
      </c>
      <c r="E65" s="222">
        <f>D65*$E$63</f>
        <v>147642.29961877369</v>
      </c>
      <c r="G65" s="44" t="s">
        <v>378</v>
      </c>
      <c r="H65" s="1067">
        <f>'Distribution Reach'!D67</f>
        <v>0.19780064532576247</v>
      </c>
      <c r="I65" s="258">
        <f>K65*(1-J65)</f>
        <v>17.05</v>
      </c>
      <c r="J65" s="256">
        <f>VLOOKUP(G65,'Distribution Reach'!$G$99:$I$103,3,FALSE)</f>
        <v>0.45</v>
      </c>
      <c r="K65" s="241">
        <f>VLOOKUP(G65,'Distribution Reach'!$G$99:$H$103,2,FALSE)</f>
        <v>31</v>
      </c>
      <c r="L65" s="1210"/>
    </row>
    <row r="66" spans="2:12" ht="14.4">
      <c r="B66" s="44" t="s">
        <v>384</v>
      </c>
      <c r="C66" s="209">
        <f>'Profile of Retail Environment'!$C$13</f>
        <v>0.12</v>
      </c>
      <c r="D66" s="201">
        <f t="shared" si="6"/>
        <v>0.44432563595831781</v>
      </c>
      <c r="E66" s="84">
        <f>D66*$E$63</f>
        <v>147642.29961877369</v>
      </c>
      <c r="G66" s="44" t="s">
        <v>379</v>
      </c>
      <c r="H66" s="1067">
        <f>'Distribution Reach'!D65</f>
        <v>0.44432563595831781</v>
      </c>
      <c r="I66" s="258">
        <f>K66*(1-J66)</f>
        <v>19.8</v>
      </c>
      <c r="J66" s="256">
        <f>VLOOKUP(G66,'Distribution Reach'!$G$99:$I$103,3,FALSE)</f>
        <v>0.4</v>
      </c>
      <c r="K66" s="241">
        <f>VLOOKUP(G66,'Distribution Reach'!$G$99:$H$103,2,FALSE)</f>
        <v>33</v>
      </c>
      <c r="L66" s="23"/>
    </row>
    <row r="67" spans="2:12" ht="14.4">
      <c r="B67" s="221" t="s">
        <v>354</v>
      </c>
      <c r="C67" s="289">
        <f>SUM(C68:C69)</f>
        <v>5.3420454545454535E-2</v>
      </c>
      <c r="D67" s="286">
        <f t="shared" si="6"/>
        <v>0.19780064532576247</v>
      </c>
      <c r="E67" s="222">
        <f>D67*$E$63</f>
        <v>65725.989631425662</v>
      </c>
      <c r="G67" s="44" t="s">
        <v>380</v>
      </c>
      <c r="H67" s="1067">
        <f>'Distribution Reach'!D74</f>
        <v>0.20473271431479023</v>
      </c>
      <c r="I67" s="258">
        <f>K67*(1-J67)</f>
        <v>15</v>
      </c>
      <c r="J67" s="256">
        <f>VLOOKUP(G67,'Distribution Reach'!$G$99:$I$103,3,FALSE)</f>
        <v>0.5</v>
      </c>
      <c r="K67" s="241">
        <f>VLOOKUP(G67,'Distribution Reach'!$G$99:$H$103,2,FALSE)</f>
        <v>30</v>
      </c>
      <c r="L67" s="23"/>
    </row>
    <row r="68" spans="2:12" ht="14.4">
      <c r="B68" s="44" t="str">
        <f>'Profile of Retail Environment'!B25</f>
        <v>Le Creuset</v>
      </c>
      <c r="C68" s="209">
        <f>VLOOKUP(B68,'Profile of Retail Environment'!$B$9:$C$28,2,FALSE)</f>
        <v>3.7693181818181813E-2</v>
      </c>
      <c r="D68" s="201">
        <f t="shared" si="6"/>
        <v>0.13956705818880114</v>
      </c>
      <c r="E68" s="84">
        <f>D68*$E$63</f>
        <v>46375.900363207598</v>
      </c>
      <c r="G68" s="44" t="s">
        <v>381</v>
      </c>
      <c r="H68" s="1067">
        <f>'Distribution Reach'!D70</f>
        <v>0.1531410044011296</v>
      </c>
      <c r="I68" s="258">
        <f>K68*(1-J68)</f>
        <v>17.05</v>
      </c>
      <c r="J68" s="256">
        <f>VLOOKUP(G68,'Distribution Reach'!$G$99:$I$103,3,FALSE)</f>
        <v>0.45</v>
      </c>
      <c r="K68" s="241">
        <f>VLOOKUP(G68,'Distribution Reach'!$G$99:$H$103,2,FALSE)</f>
        <v>31</v>
      </c>
      <c r="L68" s="108"/>
    </row>
    <row r="69" spans="2:12" ht="14.4">
      <c r="B69" s="44" t="str">
        <f>'Profile of Retail Environment'!B24</f>
        <v>Sur La Table</v>
      </c>
      <c r="C69" s="209">
        <f>VLOOKUP(B69,'Profile of Retail Environment'!$B$9:$C$28,2,FALSE)</f>
        <v>1.5727272727272725E-2</v>
      </c>
      <c r="D69" s="201">
        <f t="shared" si="6"/>
        <v>5.8233587136961341E-2</v>
      </c>
      <c r="E69" s="84">
        <f>D69*$E$63</f>
        <v>19350.089268218064</v>
      </c>
      <c r="G69" s="263" t="s">
        <v>382</v>
      </c>
      <c r="H69" s="275"/>
      <c r="I69" s="265">
        <f>SUMPRODUCT(H65:H68,I65:I68)</f>
        <v>17.852193434540055</v>
      </c>
      <c r="J69" s="266"/>
      <c r="K69" s="274"/>
    </row>
    <row r="70" spans="2:12" ht="15" customHeight="1">
      <c r="B70" s="293" t="s">
        <v>341</v>
      </c>
      <c r="C70" s="289">
        <f>SUM(C71:C73)</f>
        <v>4.1359127272727274E-2</v>
      </c>
      <c r="D70" s="289">
        <f t="shared" si="6"/>
        <v>0.1531410044011296</v>
      </c>
      <c r="E70" s="296">
        <f>D70*E63</f>
        <v>50886.305506424949</v>
      </c>
      <c r="G70" s="268" t="s">
        <v>383</v>
      </c>
      <c r="H70" s="269"/>
      <c r="I70" s="270"/>
      <c r="J70" s="271"/>
      <c r="K70" s="272">
        <f>SUMPRODUCT(H65:H68,K65:K68)</f>
        <v>31.683918557601849</v>
      </c>
    </row>
    <row r="71" spans="2:12" ht="15" customHeight="1">
      <c r="B71" s="44" t="s">
        <v>343</v>
      </c>
      <c r="C71" s="209">
        <f>VLOOKUP(B71,'Profile of Retail Environment'!$B$9:$C$28,2,FALSE)</f>
        <v>3.9375E-2</v>
      </c>
      <c r="D71" s="209">
        <f t="shared" si="6"/>
        <v>0.14579434929882304</v>
      </c>
      <c r="E71" s="229">
        <f>D71*$E$63</f>
        <v>48445.129562410111</v>
      </c>
    </row>
    <row r="72" spans="2:12" ht="15" customHeight="1">
      <c r="B72" s="44" t="s">
        <v>344</v>
      </c>
      <c r="C72" s="209">
        <f>VLOOKUP(B72,'Profile of Retail Environment'!$B$9:$C$28,2,FALSE)</f>
        <v>1.047159090909091E-3</v>
      </c>
      <c r="D72" s="209">
        <f t="shared" si="6"/>
        <v>3.8773302418142982E-3</v>
      </c>
      <c r="E72" s="229">
        <f>D72*$E$63</f>
        <v>1288.3748020710223</v>
      </c>
    </row>
    <row r="73" spans="2:12" ht="15" customHeight="1">
      <c r="B73" s="51" t="s">
        <v>342</v>
      </c>
      <c r="C73" s="210">
        <f>VLOOKUP(B73,'Profile of Retail Environment'!$B$9:$C$28,2,FALSE)</f>
        <v>9.3696818181818187E-4</v>
      </c>
      <c r="D73" s="210">
        <f t="shared" si="6"/>
        <v>3.4693248604922701E-3</v>
      </c>
      <c r="E73" s="229">
        <f>D73*$E$63</f>
        <v>1152.8011419438135</v>
      </c>
    </row>
    <row r="74" spans="2:12" ht="15" customHeight="1">
      <c r="B74" s="221" t="s">
        <v>346</v>
      </c>
      <c r="C74" s="289">
        <f>SUM(C75)</f>
        <v>5.5292613636363633E-2</v>
      </c>
      <c r="D74" s="286">
        <f t="shared" si="6"/>
        <v>0.20473271431479023</v>
      </c>
      <c r="E74" s="222">
        <f>D74*$E$63</f>
        <v>68029.405243375761</v>
      </c>
    </row>
    <row r="75" spans="2:12" ht="15" customHeight="1">
      <c r="B75" s="44" t="s">
        <v>92</v>
      </c>
      <c r="C75" s="209">
        <f>VLOOKUP(B75,'Profile of Retail Environment'!$B$9:$C$28,2,FALSE)</f>
        <v>5.5292613636363633E-2</v>
      </c>
      <c r="D75" s="201">
        <f t="shared" si="6"/>
        <v>0.20473271431479023</v>
      </c>
      <c r="E75" s="84">
        <f>D75*$E$63</f>
        <v>68029.405243375761</v>
      </c>
    </row>
    <row r="76" spans="2:12" ht="15" customHeight="1">
      <c r="B76" s="219" t="s">
        <v>183</v>
      </c>
      <c r="C76" s="290">
        <f>C65+C67+C74+C70</f>
        <v>0.27007219545454542</v>
      </c>
      <c r="D76" s="287">
        <f t="shared" si="6"/>
        <v>1</v>
      </c>
      <c r="E76" s="220">
        <f>SUM(E65,E67,E70,E74)</f>
        <v>332284.00000000006</v>
      </c>
    </row>
    <row r="77" spans="2:12" ht="15" customHeight="1">
      <c r="B77" s="32"/>
      <c r="C77" s="665"/>
      <c r="D77" s="665"/>
      <c r="E77" s="666"/>
    </row>
    <row r="79" spans="2:12" ht="15" customHeight="1">
      <c r="B79" s="663" t="s">
        <v>79</v>
      </c>
      <c r="C79" s="664"/>
      <c r="D79" s="664"/>
      <c r="E79" s="664"/>
      <c r="F79" s="664"/>
      <c r="G79" s="664"/>
      <c r="H79" s="664"/>
      <c r="I79" s="664"/>
      <c r="J79" s="664"/>
      <c r="K79" s="664"/>
      <c r="L79" s="662"/>
    </row>
    <row r="81" spans="2:12" ht="15" customHeight="1">
      <c r="B81" s="1239" t="s">
        <v>368</v>
      </c>
      <c r="C81" s="1239"/>
      <c r="D81" s="216" t="s">
        <v>391</v>
      </c>
      <c r="E81" s="217">
        <f>'BASES Model'!G16</f>
        <v>451578</v>
      </c>
      <c r="G81" s="74" t="s">
        <v>392</v>
      </c>
      <c r="H81" s="1193" t="s">
        <v>371</v>
      </c>
      <c r="I81" s="257" t="s">
        <v>372</v>
      </c>
      <c r="J81" s="1183" t="s">
        <v>373</v>
      </c>
      <c r="K81" s="1194" t="s">
        <v>374</v>
      </c>
    </row>
    <row r="82" spans="2:12" ht="15" customHeight="1">
      <c r="B82" s="1193" t="s">
        <v>360</v>
      </c>
      <c r="C82" s="1193" t="s">
        <v>38</v>
      </c>
      <c r="D82" s="1183" t="s">
        <v>375</v>
      </c>
      <c r="E82" s="1194" t="s">
        <v>376</v>
      </c>
      <c r="G82" s="44" t="s">
        <v>377</v>
      </c>
      <c r="H82" s="116"/>
      <c r="I82" s="258"/>
      <c r="J82" s="256"/>
      <c r="K82" s="242"/>
    </row>
    <row r="83" spans="2:12" ht="15" customHeight="1">
      <c r="B83" s="192" t="s">
        <v>345</v>
      </c>
      <c r="C83" s="288">
        <f>SUM(C84)</f>
        <v>0.12</v>
      </c>
      <c r="D83" s="285">
        <f t="shared" ref="D83:D93" si="7">C83/$C$93</f>
        <v>0.3532663598077756</v>
      </c>
      <c r="E83" s="223">
        <f t="shared" ref="E83:E93" si="8">D83*$E$81</f>
        <v>159527.31622927569</v>
      </c>
      <c r="G83" s="44" t="s">
        <v>378</v>
      </c>
      <c r="H83" s="1067">
        <f>'Distribution Reach'!D85</f>
        <v>0.36804294635049833</v>
      </c>
      <c r="I83" s="258">
        <f>K83*(1-J83)</f>
        <v>17.05</v>
      </c>
      <c r="J83" s="256">
        <f>VLOOKUP(G83,'Distribution Reach'!$G$99:$I$103,3,FALSE)</f>
        <v>0.45</v>
      </c>
      <c r="K83" s="241">
        <f>VLOOKUP(G83,'Distribution Reach'!$G$99:$H$103,2,FALSE)</f>
        <v>31</v>
      </c>
    </row>
    <row r="84" spans="2:12" ht="15" customHeight="1">
      <c r="B84" s="44" t="s">
        <v>384</v>
      </c>
      <c r="C84" s="209">
        <f>'Profile of Retail Environment'!$C$13</f>
        <v>0.12</v>
      </c>
      <c r="D84" s="201">
        <f t="shared" si="7"/>
        <v>0.3532663598077756</v>
      </c>
      <c r="E84" s="84">
        <f t="shared" si="8"/>
        <v>159527.31622927569</v>
      </c>
      <c r="G84" s="44" t="s">
        <v>379</v>
      </c>
      <c r="H84" s="1067">
        <f>'Distribution Reach'!D83</f>
        <v>0.3532663598077756</v>
      </c>
      <c r="I84" s="258">
        <f>K84*(1-J84)</f>
        <v>19.8</v>
      </c>
      <c r="J84" s="256">
        <f>VLOOKUP(G84,'Distribution Reach'!$G$99:$I$103,3,FALSE)</f>
        <v>0.4</v>
      </c>
      <c r="K84" s="241">
        <f>VLOOKUP(G84,'Distribution Reach'!$G$99:$H$103,2,FALSE)</f>
        <v>33</v>
      </c>
    </row>
    <row r="85" spans="2:12" ht="15" customHeight="1">
      <c r="B85" s="221" t="s">
        <v>354</v>
      </c>
      <c r="C85" s="289">
        <f>SUM(C86:C88)</f>
        <v>0.12501941477272724</v>
      </c>
      <c r="D85" s="286">
        <f t="shared" si="7"/>
        <v>0.36804294635049833</v>
      </c>
      <c r="E85" s="222">
        <f t="shared" si="8"/>
        <v>166200.09762706535</v>
      </c>
      <c r="G85" s="44" t="s">
        <v>380</v>
      </c>
      <c r="H85" s="1067">
        <f>'Distribution Reach'!D91</f>
        <v>0.16277516952979965</v>
      </c>
      <c r="I85" s="258">
        <f>K85*(1-J85)</f>
        <v>15</v>
      </c>
      <c r="J85" s="256">
        <f>VLOOKUP(G85,'Distribution Reach'!$G$99:$I$103,3,FALSE)</f>
        <v>0.5</v>
      </c>
      <c r="K85" s="241">
        <f>VLOOKUP(G85,'Distribution Reach'!$G$99:$H$103,2,FALSE)</f>
        <v>30</v>
      </c>
    </row>
    <row r="86" spans="2:12" ht="15" customHeight="1">
      <c r="B86" s="209" t="str">
        <f>'Profile of Retail Environment'!B27</f>
        <v>Williams Sonoma</v>
      </c>
      <c r="C86" s="209">
        <f>VLOOKUP(B86,'Profile of Retail Environment'!$B$9:$C$28,2,FALSE)</f>
        <v>4.9286460227272719E-2</v>
      </c>
      <c r="D86" s="201">
        <f t="shared" si="7"/>
        <v>0.14509373660249456</v>
      </c>
      <c r="E86" s="84">
        <f t="shared" si="8"/>
        <v>65521.139387481286</v>
      </c>
      <c r="G86" s="44" t="s">
        <v>381</v>
      </c>
      <c r="H86" s="1067">
        <f>'Distribution Reach'!D89</f>
        <v>0.11591552431192638</v>
      </c>
      <c r="I86" s="258">
        <f>K86*(1-J86)</f>
        <v>17.05</v>
      </c>
      <c r="J86" s="256">
        <f>VLOOKUP(G86,'Distribution Reach'!$G$99:$I$103,3,FALSE)</f>
        <v>0.45</v>
      </c>
      <c r="K86" s="241">
        <f>VLOOKUP(G86,'Distribution Reach'!$G$99:$H$103,2,FALSE)</f>
        <v>31</v>
      </c>
    </row>
    <row r="87" spans="2:12" ht="15" customHeight="1">
      <c r="B87" s="209" t="s">
        <v>356</v>
      </c>
      <c r="C87" s="209">
        <f>VLOOKUP(B87,'Profile of Retail Environment'!$B$9:$C$28,2,FALSE)</f>
        <v>3.7693181818181813E-2</v>
      </c>
      <c r="D87" s="201">
        <f t="shared" si="7"/>
        <v>0.11096444275401436</v>
      </c>
      <c r="E87" s="84">
        <f t="shared" si="8"/>
        <v>50109.101129972296</v>
      </c>
      <c r="G87" s="263" t="s">
        <v>382</v>
      </c>
      <c r="H87" s="264"/>
      <c r="I87" s="265">
        <f>SUMPRODUCT(H83:H86,I83:I86)</f>
        <v>17.687793391935294</v>
      </c>
      <c r="J87" s="266"/>
      <c r="K87" s="274"/>
    </row>
    <row r="88" spans="2:12" ht="15" customHeight="1">
      <c r="B88" s="209" t="s">
        <v>357</v>
      </c>
      <c r="C88" s="209">
        <f>VLOOKUP(B88,'Profile of Retail Environment'!$B$9:$C$28,2,FALSE)</f>
        <v>3.8039772727272721E-2</v>
      </c>
      <c r="D88" s="201">
        <f t="shared" si="7"/>
        <v>0.11198476699398946</v>
      </c>
      <c r="E88" s="84">
        <f t="shared" si="8"/>
        <v>50569.857109611774</v>
      </c>
      <c r="G88" s="268" t="s">
        <v>383</v>
      </c>
      <c r="H88" s="269"/>
      <c r="I88" s="270"/>
      <c r="J88" s="271"/>
      <c r="K88" s="272">
        <f>SUMPRODUCT(H83:H86,K83:K86)</f>
        <v>31.543757550085754</v>
      </c>
    </row>
    <row r="89" spans="2:12" ht="15" customHeight="1">
      <c r="B89" s="293" t="s">
        <v>341</v>
      </c>
      <c r="C89" s="289">
        <f>SUM(C90:C90)</f>
        <v>3.9375E-2</v>
      </c>
      <c r="D89" s="289">
        <f t="shared" si="7"/>
        <v>0.11591552431192638</v>
      </c>
      <c r="E89" s="296">
        <f t="shared" si="8"/>
        <v>52344.900637731087</v>
      </c>
    </row>
    <row r="90" spans="2:12" ht="15" customHeight="1">
      <c r="B90" s="44" t="s">
        <v>343</v>
      </c>
      <c r="C90" s="209">
        <f>VLOOKUP(B90,'Profile of Retail Environment'!$B$9:$C$28,2,FALSE)</f>
        <v>3.9375E-2</v>
      </c>
      <c r="D90" s="209">
        <f t="shared" si="7"/>
        <v>0.11591552431192638</v>
      </c>
      <c r="E90" s="229">
        <f t="shared" si="8"/>
        <v>52344.900637731087</v>
      </c>
    </row>
    <row r="91" spans="2:12" ht="15" customHeight="1">
      <c r="B91" s="221" t="s">
        <v>346</v>
      </c>
      <c r="C91" s="289">
        <f>SUM(C92:C92)</f>
        <v>5.5292613636363633E-2</v>
      </c>
      <c r="D91" s="286">
        <f t="shared" si="7"/>
        <v>0.16277516952979965</v>
      </c>
      <c r="E91" s="222">
        <f t="shared" si="8"/>
        <v>73505.685505927861</v>
      </c>
    </row>
    <row r="92" spans="2:12" ht="15" customHeight="1">
      <c r="B92" s="44" t="s">
        <v>92</v>
      </c>
      <c r="C92" s="209">
        <f>VLOOKUP(B92,'Profile of Retail Environment'!$B$9:$C$28,2,FALSE)</f>
        <v>5.5292613636363633E-2</v>
      </c>
      <c r="D92" s="201">
        <f t="shared" si="7"/>
        <v>0.16277516952979965</v>
      </c>
      <c r="E92" s="84">
        <f t="shared" si="8"/>
        <v>73505.685505927861</v>
      </c>
    </row>
    <row r="93" spans="2:12" ht="15" customHeight="1">
      <c r="B93" s="194" t="s">
        <v>183</v>
      </c>
      <c r="C93" s="294">
        <f>C83+C85+C91+C89</f>
        <v>0.33968702840909087</v>
      </c>
      <c r="D93" s="295">
        <f t="shared" si="7"/>
        <v>1</v>
      </c>
      <c r="E93" s="218">
        <f t="shared" si="8"/>
        <v>451578</v>
      </c>
    </row>
    <row r="94" spans="2:12" ht="15" customHeight="1">
      <c r="B94" s="32"/>
      <c r="C94" s="665"/>
      <c r="D94" s="665"/>
      <c r="E94" s="666"/>
    </row>
    <row r="96" spans="2:12" ht="15" customHeight="1">
      <c r="B96" s="663" t="s">
        <v>393</v>
      </c>
      <c r="C96" s="664"/>
      <c r="D96" s="664"/>
      <c r="E96" s="664"/>
      <c r="F96" s="664"/>
      <c r="G96" s="664"/>
      <c r="H96" s="664"/>
      <c r="I96" s="664"/>
      <c r="J96" s="664"/>
      <c r="K96" s="664"/>
      <c r="L96" s="662"/>
    </row>
    <row r="98" spans="2:14" ht="15" customHeight="1">
      <c r="B98" s="1261" t="s">
        <v>394</v>
      </c>
      <c r="C98" s="1272"/>
      <c r="D98" s="1262"/>
      <c r="G98" s="291" t="s">
        <v>395</v>
      </c>
      <c r="H98" s="903" t="s">
        <v>52</v>
      </c>
      <c r="I98" s="292" t="s">
        <v>396</v>
      </c>
    </row>
    <row r="99" spans="2:14" ht="15" customHeight="1">
      <c r="B99" s="652" t="s">
        <v>360</v>
      </c>
      <c r="C99" s="601" t="s">
        <v>397</v>
      </c>
      <c r="D99" s="602" t="s">
        <v>398</v>
      </c>
      <c r="G99" s="10" t="s">
        <v>377</v>
      </c>
      <c r="H99" s="667">
        <f>H101</f>
        <v>33</v>
      </c>
      <c r="I99" s="668">
        <v>0.4</v>
      </c>
      <c r="K99" s="6"/>
      <c r="L99" s="6"/>
      <c r="M99" s="6"/>
      <c r="N99" s="6"/>
    </row>
    <row r="100" spans="2:14" ht="15" customHeight="1">
      <c r="B100" s="238" t="s">
        <v>342</v>
      </c>
      <c r="C100" s="40">
        <f>SUM(E73)</f>
        <v>1152.8011419438135</v>
      </c>
      <c r="D100" s="126">
        <f t="shared" ref="D100:D114" si="9">C100/$C$115</f>
        <v>8.6654104185056357E-4</v>
      </c>
      <c r="G100" s="10" t="s">
        <v>378</v>
      </c>
      <c r="H100" s="465">
        <f>H101-2</f>
        <v>31</v>
      </c>
      <c r="I100" s="669">
        <v>0.45</v>
      </c>
      <c r="K100" s="6"/>
      <c r="L100" s="6"/>
      <c r="M100" s="6"/>
      <c r="N100" s="6"/>
    </row>
    <row r="101" spans="2:14" ht="15" customHeight="1">
      <c r="B101" s="238" t="s">
        <v>343</v>
      </c>
      <c r="C101" s="40">
        <f>SUM(E35,E54,E71,E90)</f>
        <v>188521.79599924624</v>
      </c>
      <c r="D101" s="126">
        <f t="shared" si="9"/>
        <v>0.14170863262788852</v>
      </c>
      <c r="G101" s="10" t="s">
        <v>379</v>
      </c>
      <c r="H101" s="465">
        <v>33</v>
      </c>
      <c r="I101" s="669">
        <v>0.4</v>
      </c>
      <c r="K101" s="6"/>
      <c r="L101" s="6"/>
      <c r="M101" s="6"/>
      <c r="N101" s="6"/>
    </row>
    <row r="102" spans="2:14" ht="15" customHeight="1">
      <c r="B102" s="239" t="s">
        <v>344</v>
      </c>
      <c r="C102" s="40">
        <f>SUM(E53,E72)</f>
        <v>2472.8507747744025</v>
      </c>
      <c r="D102" s="126">
        <f t="shared" si="9"/>
        <v>1.8587999341333264E-3</v>
      </c>
      <c r="G102" s="10" t="s">
        <v>380</v>
      </c>
      <c r="H102" s="465">
        <f>H101-3</f>
        <v>30</v>
      </c>
      <c r="I102" s="669">
        <v>0.5</v>
      </c>
      <c r="K102" s="6"/>
      <c r="L102" s="6"/>
      <c r="M102" s="6"/>
      <c r="N102" s="6"/>
    </row>
    <row r="103" spans="2:14" ht="15" customHeight="1">
      <c r="B103" s="238" t="s">
        <v>384</v>
      </c>
      <c r="C103" s="40">
        <f>SUM(E17,E33,E51,E66,E84)</f>
        <v>664411.35779741954</v>
      </c>
      <c r="D103" s="126">
        <f t="shared" si="9"/>
        <v>0.49942673480729821</v>
      </c>
      <c r="G103" s="15" t="s">
        <v>381</v>
      </c>
      <c r="H103" s="904">
        <f>H101-2</f>
        <v>31</v>
      </c>
      <c r="I103" s="670">
        <v>0.45</v>
      </c>
      <c r="K103" s="6"/>
      <c r="L103" s="6"/>
      <c r="M103" s="6"/>
      <c r="N103" s="6"/>
    </row>
    <row r="104" spans="2:14" ht="15" customHeight="1">
      <c r="B104" s="238" t="s">
        <v>92</v>
      </c>
      <c r="C104" s="40">
        <f>SUM(E75,E92)</f>
        <v>141535.09074930364</v>
      </c>
      <c r="D104" s="126">
        <f t="shared" si="9"/>
        <v>0.10638952420667648</v>
      </c>
    </row>
    <row r="105" spans="2:14" ht="15" customHeight="1">
      <c r="B105" s="239" t="s">
        <v>348</v>
      </c>
      <c r="C105" s="40">
        <f t="shared" ref="C105:C110" si="10">SUM(E10,E26,E44)</f>
        <v>3721.2681453059386</v>
      </c>
      <c r="D105" s="126">
        <f t="shared" si="9"/>
        <v>2.7972140712850613E-3</v>
      </c>
    </row>
    <row r="106" spans="2:14" ht="15" customHeight="1">
      <c r="B106" s="239" t="s">
        <v>349</v>
      </c>
      <c r="C106" s="40">
        <f t="shared" si="10"/>
        <v>5920.1993220776294</v>
      </c>
      <c r="D106" s="126">
        <f t="shared" si="9"/>
        <v>4.4501132952262335E-3</v>
      </c>
    </row>
    <row r="107" spans="2:14" ht="15" customHeight="1">
      <c r="B107" s="238" t="s">
        <v>350</v>
      </c>
      <c r="C107" s="40">
        <f t="shared" si="10"/>
        <v>845.74276029680436</v>
      </c>
      <c r="D107" s="126">
        <f t="shared" si="9"/>
        <v>6.3573047074660493E-4</v>
      </c>
    </row>
    <row r="108" spans="2:14" ht="15" customHeight="1">
      <c r="B108" s="238" t="s">
        <v>351</v>
      </c>
      <c r="C108" s="40">
        <f t="shared" si="10"/>
        <v>625.84964261963523</v>
      </c>
      <c r="D108" s="126">
        <f t="shared" si="9"/>
        <v>4.7044054835248763E-4</v>
      </c>
    </row>
    <row r="109" spans="2:14" ht="15" customHeight="1">
      <c r="B109" s="238" t="s">
        <v>352</v>
      </c>
      <c r="C109" s="40">
        <f t="shared" si="10"/>
        <v>930.31703632648464</v>
      </c>
      <c r="D109" s="126">
        <f t="shared" si="9"/>
        <v>6.9930351782126533E-4</v>
      </c>
    </row>
    <row r="110" spans="2:14" ht="15" customHeight="1">
      <c r="B110" s="238" t="s">
        <v>353</v>
      </c>
      <c r="C110" s="40">
        <f t="shared" si="10"/>
        <v>27859.012159188078</v>
      </c>
      <c r="D110" s="126">
        <f t="shared" si="9"/>
        <v>2.0941146346059886E-2</v>
      </c>
    </row>
    <row r="111" spans="2:14" ht="15" customHeight="1">
      <c r="B111" s="238" t="s">
        <v>357</v>
      </c>
      <c r="C111" s="40">
        <f>E88</f>
        <v>50569.857109611774</v>
      </c>
      <c r="D111" s="126">
        <f t="shared" si="9"/>
        <v>3.8012502826036326E-2</v>
      </c>
    </row>
    <row r="112" spans="2:14" ht="15" customHeight="1">
      <c r="B112" s="239" t="s">
        <v>355</v>
      </c>
      <c r="C112" s="40">
        <f>SUM(E57,E69)</f>
        <v>37139.722976535777</v>
      </c>
      <c r="D112" s="126">
        <f t="shared" si="9"/>
        <v>2.7917299065008387E-2</v>
      </c>
    </row>
    <row r="113" spans="2:4" ht="15" customHeight="1">
      <c r="B113" s="239" t="s">
        <v>356</v>
      </c>
      <c r="C113" s="40">
        <f>SUM(E56,E68,E87)</f>
        <v>139120.9949978691</v>
      </c>
      <c r="D113" s="126">
        <f t="shared" si="9"/>
        <v>0.10457488942582625</v>
      </c>
    </row>
    <row r="114" spans="2:4" ht="15" customHeight="1">
      <c r="B114" s="297" t="s">
        <v>358</v>
      </c>
      <c r="C114" s="81">
        <f>SUM(E86)</f>
        <v>65521.139387481286</v>
      </c>
      <c r="D114" s="53">
        <f t="shared" si="9"/>
        <v>4.9251127815790517E-2</v>
      </c>
    </row>
    <row r="115" spans="2:4" ht="15" customHeight="1">
      <c r="B115" s="342" t="s">
        <v>399</v>
      </c>
      <c r="C115" s="298">
        <f>SUM(C100:C114)</f>
        <v>1330348</v>
      </c>
      <c r="D115" s="299">
        <f>SUM(D100:D114)</f>
        <v>1</v>
      </c>
    </row>
  </sheetData>
  <mergeCells count="6">
    <mergeCell ref="B98:D98"/>
    <mergeCell ref="B81:C81"/>
    <mergeCell ref="B63:C63"/>
    <mergeCell ref="B41:C41"/>
    <mergeCell ref="B7:C7"/>
    <mergeCell ref="B23:C23"/>
  </mergeCells>
  <hyperlinks>
    <hyperlink ref="A3" location="'Index'!A1" display="Back to Index" xr:uid="{0181E7FE-6FB1-475C-AE02-F821A8C7471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E410-90F0-48D2-8FDB-E4EBDB3B9987}">
  <sheetPr>
    <tabColor rgb="FF00B0F0"/>
  </sheetPr>
  <dimension ref="A1:Q97"/>
  <sheetViews>
    <sheetView topLeftCell="A25" workbookViewId="0">
      <selection activeCell="C35" sqref="C35"/>
    </sheetView>
  </sheetViews>
  <sheetFormatPr defaultColWidth="12.6640625" defaultRowHeight="14.4"/>
  <cols>
    <col min="2" max="2" width="41.109375" customWidth="1"/>
    <col min="3" max="3" width="12.6640625" style="94"/>
    <col min="4" max="4" width="16.44140625" bestFit="1" customWidth="1"/>
    <col min="6" max="6" width="12.6640625" style="94"/>
  </cols>
  <sheetData>
    <row r="1" spans="1:16" ht="28.8">
      <c r="A1" s="1" t="s">
        <v>400</v>
      </c>
    </row>
    <row r="2" spans="1:16" ht="18">
      <c r="A2" s="1143" t="s">
        <v>401</v>
      </c>
    </row>
    <row r="3" spans="1:16" ht="14.4" customHeight="1">
      <c r="A3" s="284" t="s">
        <v>32</v>
      </c>
    </row>
    <row r="4" spans="1:16" ht="14.4" customHeight="1">
      <c r="A4" s="284"/>
    </row>
    <row r="5" spans="1:16" ht="14.4" customHeight="1">
      <c r="L5" s="32"/>
      <c r="M5" s="32"/>
      <c r="O5" s="32"/>
      <c r="P5" s="32"/>
    </row>
    <row r="6" spans="1:16" ht="14.4" customHeight="1">
      <c r="B6" s="1239" t="s">
        <v>402</v>
      </c>
      <c r="C6" s="1262"/>
      <c r="M6" s="261"/>
    </row>
    <row r="7" spans="1:16" ht="14.4" customHeight="1">
      <c r="B7" s="88" t="s">
        <v>403</v>
      </c>
      <c r="C7" s="242">
        <v>2</v>
      </c>
      <c r="P7" s="34"/>
    </row>
    <row r="8" spans="1:16" ht="14.4" customHeight="1">
      <c r="B8" s="128" t="s">
        <v>404</v>
      </c>
      <c r="C8" s="458">
        <v>3</v>
      </c>
      <c r="P8" s="8"/>
    </row>
    <row r="9" spans="1:16" ht="14.4" customHeight="1">
      <c r="P9" s="34"/>
    </row>
    <row r="10" spans="1:16" ht="14.4" customHeight="1">
      <c r="B10" s="1239" t="s">
        <v>405</v>
      </c>
      <c r="C10" s="1262"/>
    </row>
    <row r="11" spans="1:16" ht="14.4" customHeight="1">
      <c r="B11" s="88" t="s">
        <v>406</v>
      </c>
      <c r="C11" s="242">
        <v>8</v>
      </c>
      <c r="O11" s="32"/>
      <c r="P11" s="32"/>
    </row>
    <row r="12" spans="1:16" ht="14.4" customHeight="1">
      <c r="B12" s="127" t="s">
        <v>407</v>
      </c>
      <c r="C12" s="242">
        <v>250</v>
      </c>
      <c r="P12" s="8"/>
    </row>
    <row r="13" spans="1:16" ht="14.4" customHeight="1">
      <c r="B13" s="127" t="s">
        <v>408</v>
      </c>
      <c r="C13" s="242">
        <f>C11*C12</f>
        <v>2000</v>
      </c>
      <c r="L13" s="32"/>
      <c r="M13" s="32"/>
      <c r="P13" s="8"/>
    </row>
    <row r="14" spans="1:16" ht="14.4" customHeight="1">
      <c r="B14" s="1008" t="s">
        <v>409</v>
      </c>
      <c r="C14" s="1113">
        <v>14.43</v>
      </c>
      <c r="P14" s="8"/>
    </row>
    <row r="15" spans="1:16" ht="14.4" customHeight="1">
      <c r="B15" s="127" t="s">
        <v>410</v>
      </c>
      <c r="C15" s="242"/>
      <c r="P15" s="8"/>
    </row>
    <row r="16" spans="1:16" ht="14.4" customHeight="1">
      <c r="B16" s="127" t="s">
        <v>411</v>
      </c>
      <c r="C16" s="581">
        <v>0.3</v>
      </c>
    </row>
    <row r="17" spans="1:16" ht="14.4" customHeight="1">
      <c r="B17" s="127" t="s">
        <v>412</v>
      </c>
      <c r="C17" s="581">
        <v>0.03</v>
      </c>
      <c r="O17" s="32"/>
      <c r="P17" s="32"/>
    </row>
    <row r="18" spans="1:16" ht="14.4" customHeight="1">
      <c r="B18" s="127" t="s">
        <v>413</v>
      </c>
      <c r="C18" s="581">
        <v>0.5</v>
      </c>
    </row>
    <row r="19" spans="1:16" ht="14.4" customHeight="1">
      <c r="B19" s="128" t="s">
        <v>414</v>
      </c>
      <c r="C19" s="587">
        <v>0.2</v>
      </c>
      <c r="L19" s="32"/>
      <c r="M19" s="32"/>
    </row>
    <row r="20" spans="1:16" ht="14.4" customHeight="1">
      <c r="C20" s="852"/>
      <c r="L20" s="32"/>
      <c r="M20" s="32"/>
    </row>
    <row r="21" spans="1:16" ht="14.4" customHeight="1">
      <c r="B21" s="1261" t="s">
        <v>415</v>
      </c>
      <c r="C21" s="1262"/>
      <c r="L21" s="32"/>
      <c r="M21" s="32"/>
    </row>
    <row r="22" spans="1:16" ht="14.4" customHeight="1">
      <c r="B22" s="44" t="s">
        <v>411</v>
      </c>
      <c r="C22" s="756">
        <v>0.3</v>
      </c>
      <c r="L22" s="32"/>
      <c r="M22" s="32"/>
    </row>
    <row r="23" spans="1:16" ht="14.4" customHeight="1">
      <c r="B23" s="51" t="s">
        <v>412</v>
      </c>
      <c r="C23" s="961">
        <v>0.03</v>
      </c>
      <c r="L23" s="32"/>
      <c r="M23" s="32"/>
    </row>
    <row r="24" spans="1:16" ht="14.4" customHeight="1">
      <c r="C24" s="852"/>
      <c r="L24" s="32"/>
      <c r="M24" s="32"/>
    </row>
    <row r="25" spans="1:16" ht="14.4" customHeight="1">
      <c r="B25" s="1261" t="s">
        <v>416</v>
      </c>
      <c r="C25" s="1265"/>
      <c r="L25" s="32"/>
      <c r="M25" s="32"/>
    </row>
    <row r="26" spans="1:16" ht="14.4" customHeight="1">
      <c r="B26" s="73" t="s">
        <v>417</v>
      </c>
      <c r="C26" s="932">
        <v>30</v>
      </c>
      <c r="L26" s="32"/>
      <c r="M26" s="32"/>
    </row>
    <row r="27" spans="1:16" ht="14.4" customHeight="1">
      <c r="B27" s="73" t="s">
        <v>418</v>
      </c>
      <c r="C27" s="962">
        <v>4</v>
      </c>
      <c r="L27" s="32"/>
      <c r="M27" s="32"/>
    </row>
    <row r="28" spans="1:16" ht="14.4" customHeight="1">
      <c r="A28" s="1171"/>
      <c r="B28" s="1009" t="s">
        <v>419</v>
      </c>
      <c r="C28" s="849">
        <v>0.1</v>
      </c>
      <c r="L28" s="32"/>
      <c r="M28" s="32"/>
    </row>
    <row r="29" spans="1:16" ht="14.4" customHeight="1">
      <c r="A29" s="1171"/>
      <c r="L29" s="32"/>
      <c r="M29" s="32"/>
    </row>
    <row r="30" spans="1:16" ht="14.4" customHeight="1">
      <c r="B30" s="1261" t="s">
        <v>420</v>
      </c>
      <c r="C30" s="1262"/>
    </row>
    <row r="31" spans="1:16" ht="14.4" customHeight="1">
      <c r="B31" s="815" t="s">
        <v>421</v>
      </c>
      <c r="C31" s="1032">
        <v>4.8</v>
      </c>
    </row>
    <row r="32" spans="1:16" ht="14.4" customHeight="1">
      <c r="B32" s="73" t="s">
        <v>422</v>
      </c>
      <c r="C32" s="962">
        <v>20000</v>
      </c>
    </row>
    <row r="33" spans="2:17" ht="14.4" customHeight="1">
      <c r="B33" s="127" t="s">
        <v>423</v>
      </c>
      <c r="C33" s="242">
        <v>20</v>
      </c>
      <c r="L33" s="261"/>
    </row>
    <row r="34" spans="2:17" ht="14.4" customHeight="1">
      <c r="B34" s="127" t="s">
        <v>424</v>
      </c>
      <c r="C34" s="242">
        <v>50000</v>
      </c>
      <c r="O34" s="32"/>
      <c r="P34" s="32"/>
      <c r="Q34" s="32"/>
    </row>
    <row r="35" spans="2:17" ht="14.4" customHeight="1">
      <c r="B35" s="127" t="s">
        <v>425</v>
      </c>
      <c r="C35" s="581">
        <v>0.5</v>
      </c>
      <c r="L35" s="261"/>
    </row>
    <row r="36" spans="2:17" ht="14.4" customHeight="1">
      <c r="B36" s="127" t="s">
        <v>426</v>
      </c>
      <c r="C36" s="581">
        <v>0.02</v>
      </c>
      <c r="L36" s="261"/>
    </row>
    <row r="37" spans="2:17" ht="14.4" customHeight="1">
      <c r="B37" s="128" t="s">
        <v>427</v>
      </c>
      <c r="C37" s="458">
        <v>100000</v>
      </c>
      <c r="L37" s="32"/>
      <c r="M37" s="32"/>
    </row>
    <row r="38" spans="2:17" ht="14.4" customHeight="1"/>
    <row r="39" spans="2:17" ht="14.4" customHeight="1">
      <c r="B39" s="1261" t="s">
        <v>428</v>
      </c>
      <c r="C39" s="1262"/>
    </row>
    <row r="40" spans="2:17" ht="14.4" customHeight="1">
      <c r="B40" s="127" t="s">
        <v>429</v>
      </c>
      <c r="C40" s="581">
        <v>0.97</v>
      </c>
    </row>
    <row r="41" spans="2:17" ht="14.4" customHeight="1">
      <c r="B41" s="127" t="s">
        <v>430</v>
      </c>
      <c r="C41" s="581">
        <v>0.5</v>
      </c>
    </row>
    <row r="42" spans="2:17" ht="14.4" customHeight="1">
      <c r="B42" s="127" t="s">
        <v>431</v>
      </c>
      <c r="C42" s="581">
        <v>2</v>
      </c>
    </row>
    <row r="43" spans="2:17" ht="14.4" customHeight="1">
      <c r="B43" s="127" t="s">
        <v>432</v>
      </c>
      <c r="C43" s="242"/>
    </row>
    <row r="44" spans="2:17" ht="14.4" customHeight="1">
      <c r="B44" s="127" t="s">
        <v>433</v>
      </c>
      <c r="C44" s="242">
        <v>30</v>
      </c>
    </row>
    <row r="45" spans="2:17" ht="14.4" customHeight="1">
      <c r="B45" s="127" t="s">
        <v>434</v>
      </c>
      <c r="C45" s="242">
        <v>4</v>
      </c>
    </row>
    <row r="46" spans="2:17" ht="14.4" customHeight="1">
      <c r="B46" s="127" t="s">
        <v>435</v>
      </c>
      <c r="C46" s="581">
        <v>0.3</v>
      </c>
    </row>
    <row r="47" spans="2:17" ht="14.4" customHeight="1">
      <c r="B47" s="127" t="s">
        <v>436</v>
      </c>
      <c r="C47" s="246">
        <v>40</v>
      </c>
    </row>
    <row r="48" spans="2:17" ht="14.4" customHeight="1">
      <c r="B48" s="128" t="s">
        <v>437</v>
      </c>
      <c r="C48" s="458">
        <v>1</v>
      </c>
    </row>
    <row r="49" spans="2:3" ht="14.4" customHeight="1"/>
    <row r="50" spans="2:3" ht="14.4" customHeight="1">
      <c r="B50" s="1239" t="s">
        <v>438</v>
      </c>
      <c r="C50" s="1262"/>
    </row>
    <row r="51" spans="2:3" ht="14.4" customHeight="1">
      <c r="B51" s="88" t="s">
        <v>406</v>
      </c>
      <c r="C51" s="242">
        <v>8</v>
      </c>
    </row>
    <row r="52" spans="2:3" ht="14.4" customHeight="1">
      <c r="B52" s="127" t="s">
        <v>407</v>
      </c>
      <c r="C52" s="242">
        <v>250</v>
      </c>
    </row>
    <row r="53" spans="2:3" ht="14.4" customHeight="1">
      <c r="B53" s="127" t="s">
        <v>408</v>
      </c>
      <c r="C53" s="242">
        <v>2000</v>
      </c>
    </row>
    <row r="54" spans="2:3" ht="14.4" customHeight="1">
      <c r="B54" s="128" t="s">
        <v>439</v>
      </c>
      <c r="C54" s="458">
        <v>1000000</v>
      </c>
    </row>
    <row r="55" spans="2:3" ht="14.4" customHeight="1"/>
    <row r="56" spans="2:3" ht="14.4" customHeight="1">
      <c r="B56" s="1261" t="s">
        <v>440</v>
      </c>
      <c r="C56" s="1265"/>
    </row>
    <row r="57" spans="2:3" ht="14.4" customHeight="1">
      <c r="B57" s="44" t="s">
        <v>441</v>
      </c>
      <c r="C57" s="932">
        <v>170000</v>
      </c>
    </row>
    <row r="58" spans="2:3" ht="14.4" customHeight="1">
      <c r="B58" s="44" t="s">
        <v>442</v>
      </c>
      <c r="C58" s="962">
        <v>50000</v>
      </c>
    </row>
    <row r="59" spans="2:3" ht="14.4" customHeight="1">
      <c r="B59" s="44" t="s">
        <v>439</v>
      </c>
      <c r="C59" s="962">
        <v>1000000</v>
      </c>
    </row>
    <row r="60" spans="2:3" ht="14.4" customHeight="1">
      <c r="B60" s="44" t="s">
        <v>443</v>
      </c>
      <c r="C60" s="530">
        <v>5000</v>
      </c>
    </row>
    <row r="61" spans="2:3" ht="14.4" customHeight="1">
      <c r="B61" s="51" t="s">
        <v>444</v>
      </c>
      <c r="C61" s="531">
        <v>1025</v>
      </c>
    </row>
    <row r="62" spans="2:3" ht="14.4" customHeight="1"/>
    <row r="63" spans="2:3" ht="14.4" customHeight="1">
      <c r="B63" s="1239" t="s">
        <v>445</v>
      </c>
      <c r="C63" s="1265"/>
    </row>
    <row r="64" spans="2:3" ht="14.4" customHeight="1">
      <c r="B64" s="1273" t="s">
        <v>446</v>
      </c>
      <c r="C64" s="1274"/>
    </row>
    <row r="65" spans="2:3" ht="14.4" customHeight="1">
      <c r="B65" s="44" t="s">
        <v>447</v>
      </c>
      <c r="C65" s="127">
        <v>20000</v>
      </c>
    </row>
    <row r="66" spans="2:3" ht="14.4" customHeight="1">
      <c r="B66" s="44" t="s">
        <v>448</v>
      </c>
      <c r="C66" s="127">
        <v>600</v>
      </c>
    </row>
    <row r="67" spans="2:3" ht="14.4" customHeight="1">
      <c r="B67" s="44" t="s">
        <v>449</v>
      </c>
      <c r="C67" s="127">
        <v>22</v>
      </c>
    </row>
    <row r="68" spans="2:3" ht="14.4" customHeight="1">
      <c r="B68" s="44" t="s">
        <v>450</v>
      </c>
      <c r="C68" s="127">
        <v>79</v>
      </c>
    </row>
    <row r="69" spans="2:3" ht="14.4" customHeight="1">
      <c r="B69" s="44" t="s">
        <v>451</v>
      </c>
      <c r="C69" s="965">
        <v>1500</v>
      </c>
    </row>
    <row r="70" spans="2:3">
      <c r="B70" s="44" t="s">
        <v>452</v>
      </c>
      <c r="C70" s="127">
        <v>1000</v>
      </c>
    </row>
    <row r="71" spans="2:3">
      <c r="B71" s="44" t="s">
        <v>453</v>
      </c>
      <c r="C71" s="127">
        <v>750</v>
      </c>
    </row>
    <row r="72" spans="2:3">
      <c r="B72" s="44" t="s">
        <v>454</v>
      </c>
      <c r="C72" s="127">
        <v>5000</v>
      </c>
    </row>
    <row r="73" spans="2:3">
      <c r="B73" s="44" t="s">
        <v>455</v>
      </c>
      <c r="C73" s="127">
        <v>350</v>
      </c>
    </row>
    <row r="74" spans="2:3">
      <c r="B74" s="1273" t="s">
        <v>456</v>
      </c>
      <c r="C74" s="1274"/>
    </row>
    <row r="75" spans="2:3">
      <c r="B75" s="44" t="s">
        <v>457</v>
      </c>
      <c r="C75" s="201">
        <v>0.05</v>
      </c>
    </row>
    <row r="76" spans="2:3">
      <c r="B76" s="44" t="s">
        <v>458</v>
      </c>
      <c r="C76" s="201">
        <v>0.05</v>
      </c>
    </row>
    <row r="77" spans="2:3">
      <c r="B77" s="44" t="s">
        <v>459</v>
      </c>
      <c r="C77" s="127">
        <v>3</v>
      </c>
    </row>
    <row r="78" spans="2:3">
      <c r="B78" s="1273" t="s">
        <v>460</v>
      </c>
      <c r="C78" s="1274"/>
    </row>
    <row r="79" spans="2:3">
      <c r="B79" s="44" t="s">
        <v>461</v>
      </c>
      <c r="C79" s="127">
        <v>12</v>
      </c>
    </row>
    <row r="80" spans="2:3">
      <c r="B80" s="51" t="s">
        <v>462</v>
      </c>
      <c r="C80" s="128">
        <f>'Operations Assumptions'!C65</f>
        <v>20000</v>
      </c>
    </row>
    <row r="82" spans="2:5">
      <c r="B82" s="1261" t="s">
        <v>440</v>
      </c>
      <c r="C82" s="1262"/>
    </row>
    <row r="83" spans="2:5">
      <c r="B83" s="44" t="s">
        <v>463</v>
      </c>
      <c r="C83" s="964">
        <v>170000</v>
      </c>
    </row>
    <row r="84" spans="2:5">
      <c r="B84" s="44" t="s">
        <v>442</v>
      </c>
      <c r="C84" s="964">
        <v>50000</v>
      </c>
    </row>
    <row r="85" spans="2:5">
      <c r="B85" s="44" t="s">
        <v>443</v>
      </c>
      <c r="C85" s="964">
        <v>5000</v>
      </c>
    </row>
    <row r="86" spans="2:5">
      <c r="B86" s="44" t="s">
        <v>444</v>
      </c>
      <c r="C86" s="964">
        <v>1025</v>
      </c>
    </row>
    <row r="87" spans="2:5">
      <c r="B87" s="51" t="s">
        <v>464</v>
      </c>
      <c r="C87" s="128">
        <v>6</v>
      </c>
    </row>
    <row r="89" spans="2:5">
      <c r="B89" s="1183" t="s">
        <v>465</v>
      </c>
      <c r="C89" s="1197" t="s">
        <v>466</v>
      </c>
      <c r="D89" s="1183" t="s">
        <v>467</v>
      </c>
      <c r="E89" s="1210"/>
    </row>
    <row r="90" spans="2:5">
      <c r="B90" s="44" t="s">
        <v>468</v>
      </c>
      <c r="C90" s="974">
        <v>170000</v>
      </c>
      <c r="D90" s="841">
        <v>15</v>
      </c>
      <c r="E90" s="34"/>
    </row>
    <row r="91" spans="2:5">
      <c r="B91" s="44" t="s">
        <v>469</v>
      </c>
      <c r="C91" s="974">
        <v>50000</v>
      </c>
      <c r="D91" s="841">
        <v>4</v>
      </c>
      <c r="E91" s="34"/>
    </row>
    <row r="92" spans="2:5">
      <c r="B92" s="44" t="s">
        <v>470</v>
      </c>
      <c r="C92" s="974">
        <v>5000</v>
      </c>
      <c r="D92" s="841">
        <v>10</v>
      </c>
      <c r="E92" s="34"/>
    </row>
    <row r="93" spans="2:5">
      <c r="B93" s="44" t="s">
        <v>471</v>
      </c>
      <c r="C93" s="974">
        <v>1025</v>
      </c>
      <c r="D93" s="841">
        <v>7</v>
      </c>
      <c r="E93" s="34"/>
    </row>
    <row r="94" spans="2:5">
      <c r="B94" s="44" t="s">
        <v>472</v>
      </c>
      <c r="C94" s="44">
        <v>1500</v>
      </c>
      <c r="D94" s="127">
        <v>3</v>
      </c>
      <c r="E94" s="34"/>
    </row>
    <row r="95" spans="2:5">
      <c r="B95" s="44" t="s">
        <v>473</v>
      </c>
      <c r="C95" s="44">
        <v>1000</v>
      </c>
      <c r="D95" s="127">
        <v>3</v>
      </c>
      <c r="E95" s="34"/>
    </row>
    <row r="96" spans="2:5">
      <c r="B96" s="44" t="s">
        <v>453</v>
      </c>
      <c r="C96" s="44">
        <v>750</v>
      </c>
      <c r="D96" s="127">
        <v>5</v>
      </c>
      <c r="E96" s="34"/>
    </row>
    <row r="97" spans="2:5">
      <c r="B97" s="51" t="s">
        <v>474</v>
      </c>
      <c r="C97" s="51">
        <v>350</v>
      </c>
      <c r="D97" s="128">
        <v>5</v>
      </c>
      <c r="E97" s="34"/>
    </row>
  </sheetData>
  <mergeCells count="13">
    <mergeCell ref="B63:C63"/>
    <mergeCell ref="B64:C64"/>
    <mergeCell ref="B74:C74"/>
    <mergeCell ref="B78:C78"/>
    <mergeCell ref="B82:C82"/>
    <mergeCell ref="B6:C6"/>
    <mergeCell ref="B10:C10"/>
    <mergeCell ref="B39:C39"/>
    <mergeCell ref="B30:C30"/>
    <mergeCell ref="B56:C56"/>
    <mergeCell ref="B21:C21"/>
    <mergeCell ref="B25:C25"/>
    <mergeCell ref="B50:C50"/>
  </mergeCells>
  <hyperlinks>
    <hyperlink ref="A3" location="'Index'!A1" display="Back to Index" xr:uid="{2F8A20ED-C4AC-42AE-9E9D-F00DEF83AA4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D320-8282-4C8E-84BE-A4FF5B51C259}">
  <sheetPr>
    <tabColor rgb="FF00B0F0"/>
  </sheetPr>
  <dimension ref="A1:J29"/>
  <sheetViews>
    <sheetView workbookViewId="0">
      <selection activeCell="I2" sqref="I2"/>
    </sheetView>
  </sheetViews>
  <sheetFormatPr defaultRowHeight="15" customHeight="1"/>
  <cols>
    <col min="2" max="2" width="27.5546875" customWidth="1"/>
    <col min="3" max="3" width="12.6640625" customWidth="1"/>
    <col min="4" max="4" width="10.88671875" style="34" customWidth="1"/>
    <col min="5" max="5" width="18.44140625" customWidth="1"/>
    <col min="6" max="6" width="14.33203125" customWidth="1"/>
    <col min="7" max="7" width="14.6640625" customWidth="1"/>
    <col min="9" max="9" width="18.44140625" customWidth="1"/>
    <col min="10" max="10" width="14.33203125" customWidth="1"/>
    <col min="12" max="12" width="15.109375" customWidth="1"/>
    <col min="13" max="13" width="13.109375" customWidth="1"/>
  </cols>
  <sheetData>
    <row r="1" spans="1:10" ht="28.8">
      <c r="A1" s="1" t="s">
        <v>8</v>
      </c>
    </row>
    <row r="2" spans="1:10" ht="18">
      <c r="A2" s="1143" t="s">
        <v>475</v>
      </c>
    </row>
    <row r="3" spans="1:10" ht="14.4">
      <c r="A3" s="284" t="s">
        <v>32</v>
      </c>
    </row>
    <row r="4" spans="1:10" ht="14.4">
      <c r="B4" s="284"/>
    </row>
    <row r="5" spans="1:10" ht="14.4">
      <c r="B5" s="1261" t="s">
        <v>299</v>
      </c>
      <c r="C5" s="1262"/>
      <c r="E5" s="1261" t="s">
        <v>476</v>
      </c>
      <c r="F5" s="1272"/>
      <c r="G5" s="1262"/>
      <c r="I5" s="1261" t="s">
        <v>477</v>
      </c>
      <c r="J5" s="1262"/>
    </row>
    <row r="6" spans="1:10" ht="14.4">
      <c r="B6" s="44" t="s">
        <v>403</v>
      </c>
      <c r="C6" s="928">
        <f>'Operations Assumptions'!C7</f>
        <v>2</v>
      </c>
      <c r="E6" s="1198"/>
      <c r="F6" s="227" t="s">
        <v>165</v>
      </c>
      <c r="G6" s="1199" t="s">
        <v>478</v>
      </c>
      <c r="I6" s="44" t="s">
        <v>479</v>
      </c>
      <c r="J6" s="123">
        <f>'Manufacturing Overhead'!F6/(12/$C$7)</f>
        <v>24000</v>
      </c>
    </row>
    <row r="7" spans="1:10" ht="14.4">
      <c r="B7" s="51" t="s">
        <v>404</v>
      </c>
      <c r="C7" s="929">
        <f>'Operations Assumptions'!C8</f>
        <v>3</v>
      </c>
      <c r="E7" s="141" t="s">
        <v>480</v>
      </c>
      <c r="F7" s="586">
        <f>'Inventory Management'!N11/(12/$C$6)</f>
        <v>11522.178457300261</v>
      </c>
      <c r="G7" s="917">
        <f>'Inventory Management'!N15/(12/$C$6)</f>
        <v>33096.902770794673</v>
      </c>
      <c r="I7" s="44" t="s">
        <v>481</v>
      </c>
      <c r="J7" s="123">
        <f>'Manufacturing Overhead'!I8/(12/$C$7)</f>
        <v>12500</v>
      </c>
    </row>
    <row r="8" spans="1:10" ht="14.4">
      <c r="E8" s="141" t="s">
        <v>482</v>
      </c>
      <c r="F8" s="586">
        <f>'Inventory Management'!N12/(12/$C$6)</f>
        <v>2025.112413888889</v>
      </c>
      <c r="G8" s="917">
        <f>'Inventory Management'!N16/(12/$C$6)</f>
        <v>361.56944444444451</v>
      </c>
      <c r="I8" s="44" t="s">
        <v>483</v>
      </c>
      <c r="J8" s="123">
        <f>'General and Administrative'!F17/(12/$C$7)</f>
        <v>125250</v>
      </c>
    </row>
    <row r="9" spans="1:10" ht="14.4">
      <c r="E9" s="141" t="s">
        <v>484</v>
      </c>
      <c r="F9" s="586">
        <f>'Inventory Management'!N13/(12/$C$6)</f>
        <v>12267.638704611119</v>
      </c>
      <c r="G9" s="917">
        <f>'Inventory Management'!N17/(12/$C$6)</f>
        <v>1486.5018993268707</v>
      </c>
      <c r="I9" s="44" t="s">
        <v>485</v>
      </c>
      <c r="J9" s="123">
        <f>'Labor Planning'!F18/(12/$C$7)</f>
        <v>48773.4</v>
      </c>
    </row>
    <row r="10" spans="1:10" ht="14.4">
      <c r="E10" s="219" t="s">
        <v>399</v>
      </c>
      <c r="F10" s="923">
        <f>SUM(F7:F9)</f>
        <v>25814.92957580027</v>
      </c>
      <c r="G10" s="991">
        <f>SUM(G7:G9)</f>
        <v>34944.974114565986</v>
      </c>
      <c r="I10" s="219" t="s">
        <v>399</v>
      </c>
      <c r="J10" s="308">
        <f>SUM(J6:J9)</f>
        <v>210523.4</v>
      </c>
    </row>
    <row r="12" spans="1:10" ht="14.4">
      <c r="E12" s="1275" t="s">
        <v>25</v>
      </c>
      <c r="F12" s="1276"/>
    </row>
    <row r="13" spans="1:10" ht="14.4">
      <c r="E13" s="900" t="s">
        <v>479</v>
      </c>
      <c r="F13" s="901">
        <f>'Manufacturing Overhead'!F6/(12/$C$6)</f>
        <v>16000</v>
      </c>
    </row>
    <row r="14" spans="1:10" ht="14.4">
      <c r="E14" s="10" t="s">
        <v>481</v>
      </c>
      <c r="F14" s="18">
        <f>'Manufacturing Overhead'!I8/(12/$C$6)</f>
        <v>8333.3333333333339</v>
      </c>
    </row>
    <row r="15" spans="1:10" ht="14.4">
      <c r="E15" s="10" t="s">
        <v>485</v>
      </c>
      <c r="F15" s="18">
        <f>'Labor Planning'!F18/(12/$C$6)</f>
        <v>32515.600000000002</v>
      </c>
    </row>
    <row r="16" spans="1:10" ht="14.4">
      <c r="E16" s="10" t="s">
        <v>486</v>
      </c>
      <c r="F16" s="18">
        <f>'Manufacturing Overhead'!I14/(12/$C$6)</f>
        <v>1603.8333333333333</v>
      </c>
    </row>
    <row r="17" spans="3:6" ht="14.4">
      <c r="E17" s="323" t="s">
        <v>399</v>
      </c>
      <c r="F17" s="992">
        <f>SUM(F13:F16)</f>
        <v>58452.76666666667</v>
      </c>
    </row>
    <row r="19" spans="3:6" ht="14.4">
      <c r="C19" s="32"/>
      <c r="E19" s="1275" t="s">
        <v>23</v>
      </c>
      <c r="F19" s="1276"/>
    </row>
    <row r="20" spans="3:6" ht="14.4">
      <c r="E20" s="859" t="s">
        <v>483</v>
      </c>
      <c r="F20" s="18">
        <f>'General and Administrative'!F17/(12/$C$6)</f>
        <v>83500</v>
      </c>
    </row>
    <row r="21" spans="3:6" ht="14.4">
      <c r="E21" s="860" t="s">
        <v>487</v>
      </c>
      <c r="F21" s="902">
        <f>'Information Systems Expense'!F15</f>
        <v>31736</v>
      </c>
    </row>
    <row r="22" spans="3:6" ht="14.4">
      <c r="E22" s="338" t="s">
        <v>183</v>
      </c>
      <c r="F22" s="993">
        <f>SUM(F20:F21)</f>
        <v>115236</v>
      </c>
    </row>
    <row r="24" spans="3:6" ht="14.4"/>
    <row r="25" spans="3:6" ht="14.4"/>
    <row r="26" spans="3:6" ht="14.4"/>
    <row r="27" spans="3:6" ht="14.4"/>
    <row r="28" spans="3:6" ht="14.4"/>
    <row r="29" spans="3:6" ht="14.4"/>
  </sheetData>
  <mergeCells count="5">
    <mergeCell ref="E5:G5"/>
    <mergeCell ref="E12:F12"/>
    <mergeCell ref="I5:J5"/>
    <mergeCell ref="E19:F19"/>
    <mergeCell ref="B5:C5"/>
  </mergeCells>
  <hyperlinks>
    <hyperlink ref="A3" location="'Index'!A1" display="Back to Index" xr:uid="{0BB9EE9B-93D8-4DAA-B0EA-245C3CA433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1832-BE6E-4F42-BF34-B23165C6DAEB}">
  <sheetPr>
    <tabColor rgb="FF00B0F0"/>
  </sheetPr>
  <dimension ref="A1:BJ71"/>
  <sheetViews>
    <sheetView zoomScale="98" zoomScaleNormal="70" workbookViewId="0">
      <selection activeCell="R43" sqref="R43"/>
    </sheetView>
  </sheetViews>
  <sheetFormatPr defaultColWidth="8.88671875" defaultRowHeight="15" customHeight="1"/>
  <cols>
    <col min="2" max="2" width="25.6640625" customWidth="1"/>
    <col min="3" max="3" width="12.6640625" customWidth="1"/>
    <col min="5" max="5" width="27.109375" customWidth="1"/>
    <col min="6" max="10" width="14.44140625" customWidth="1"/>
    <col min="11" max="11" width="9.109375"/>
    <col min="12" max="12" width="8" customWidth="1"/>
    <col min="13" max="13" width="11.33203125" customWidth="1"/>
    <col min="14" max="14" width="12.6640625" customWidth="1"/>
    <col min="15" max="15" width="40.6640625" customWidth="1"/>
    <col min="16" max="17" width="9.109375"/>
    <col min="18" max="18" width="14.6640625" customWidth="1"/>
    <col min="19" max="19" width="10.6640625" customWidth="1"/>
    <col min="20" max="20" width="12.6640625" customWidth="1"/>
    <col min="21" max="23" width="14.6640625" customWidth="1"/>
    <col min="24" max="24" width="9.109375"/>
    <col min="25" max="25" width="17" customWidth="1"/>
    <col min="26" max="26" width="10.6640625" customWidth="1"/>
    <col min="27" max="27" width="14.44140625" customWidth="1"/>
    <col min="28" max="30" width="14.6640625" customWidth="1"/>
    <col min="31" max="31" width="9.109375"/>
    <col min="32" max="32" width="15.88671875" customWidth="1"/>
    <col min="33" max="33" width="10.6640625" customWidth="1"/>
    <col min="34" max="34" width="14.109375" customWidth="1"/>
    <col min="35" max="38" width="14.6640625" customWidth="1"/>
    <col min="39" max="39" width="16.88671875" customWidth="1"/>
    <col min="40" max="40" width="10.88671875" customWidth="1"/>
    <col min="41" max="41" width="13.6640625" customWidth="1"/>
    <col min="42" max="45" width="14.6640625" customWidth="1"/>
    <col min="46" max="46" width="16" customWidth="1"/>
    <col min="47" max="47" width="10.6640625" customWidth="1"/>
    <col min="48" max="48" width="14.44140625" customWidth="1"/>
    <col min="49" max="51" width="14.6640625" customWidth="1"/>
  </cols>
  <sheetData>
    <row r="1" spans="1:62" ht="28.8">
      <c r="A1" s="1" t="s">
        <v>11</v>
      </c>
      <c r="C1" s="1"/>
      <c r="D1" s="1"/>
    </row>
    <row r="2" spans="1:62" ht="19.5" customHeight="1">
      <c r="A2" s="1145" t="s">
        <v>488</v>
      </c>
      <c r="C2" s="1"/>
      <c r="D2" s="1"/>
    </row>
    <row r="3" spans="1:62" ht="14.4">
      <c r="A3" s="284" t="s">
        <v>32</v>
      </c>
      <c r="C3" s="284"/>
      <c r="D3" s="284"/>
    </row>
    <row r="4" spans="1:62" ht="14.4">
      <c r="B4" s="284"/>
      <c r="C4" s="284"/>
      <c r="D4" s="284"/>
    </row>
    <row r="5" spans="1:62" ht="14.4">
      <c r="B5" s="1185" t="s">
        <v>299</v>
      </c>
      <c r="C5" s="122"/>
      <c r="E5" s="1193" t="s">
        <v>33</v>
      </c>
      <c r="F5" s="1197" t="s">
        <v>157</v>
      </c>
      <c r="G5" s="1197" t="s">
        <v>158</v>
      </c>
      <c r="H5" s="1197" t="s">
        <v>159</v>
      </c>
      <c r="I5" s="1197" t="s">
        <v>160</v>
      </c>
      <c r="J5" s="1194" t="s">
        <v>161</v>
      </c>
      <c r="M5" s="339" t="s">
        <v>489</v>
      </c>
      <c r="N5" s="340" t="s">
        <v>490</v>
      </c>
      <c r="O5" s="341" t="s">
        <v>491</v>
      </c>
      <c r="R5" s="1275" t="s">
        <v>75</v>
      </c>
      <c r="S5" s="1275"/>
      <c r="T5" s="1275"/>
      <c r="U5" s="1275"/>
      <c r="V5" s="1275"/>
      <c r="W5" s="1277"/>
      <c r="Y5" s="1275" t="s">
        <v>76</v>
      </c>
      <c r="Z5" s="1275"/>
      <c r="AA5" s="1275"/>
      <c r="AB5" s="1275"/>
      <c r="AC5" s="1275"/>
      <c r="AD5" s="1277"/>
      <c r="AF5" s="1239" t="s">
        <v>77</v>
      </c>
      <c r="AG5" s="1278"/>
      <c r="AH5" s="1278"/>
      <c r="AI5" s="1278"/>
      <c r="AJ5" s="1278"/>
      <c r="AK5" s="1279"/>
      <c r="AM5" s="1239" t="s">
        <v>78</v>
      </c>
      <c r="AN5" s="1278"/>
      <c r="AO5" s="1278"/>
      <c r="AP5" s="1278"/>
      <c r="AQ5" s="1278"/>
      <c r="AR5" s="1279"/>
      <c r="AS5" s="32"/>
      <c r="AT5" s="1239" t="s">
        <v>79</v>
      </c>
      <c r="AU5" s="1272"/>
      <c r="AV5" s="1272"/>
      <c r="AW5" s="1272"/>
      <c r="AX5" s="1272"/>
      <c r="AY5" s="1262"/>
    </row>
    <row r="6" spans="1:62" ht="14.4">
      <c r="B6" s="49" t="s">
        <v>406</v>
      </c>
      <c r="C6" s="928">
        <f>'Operations Assumptions'!C11</f>
        <v>8</v>
      </c>
      <c r="E6" s="808" t="s">
        <v>492</v>
      </c>
      <c r="F6" s="16">
        <f>'BASES Model'!C16</f>
        <v>104132</v>
      </c>
      <c r="G6" s="16">
        <f>'BASES Model'!D16</f>
        <v>190238</v>
      </c>
      <c r="H6" s="16">
        <f>'BASES Model'!E16</f>
        <v>252116</v>
      </c>
      <c r="I6" s="16">
        <f>'BASES Model'!F16</f>
        <v>332284</v>
      </c>
      <c r="J6" s="809">
        <f>'BASES Model'!G16</f>
        <v>451578</v>
      </c>
      <c r="M6" s="26" t="s">
        <v>493</v>
      </c>
      <c r="N6" s="94">
        <v>60</v>
      </c>
      <c r="O6" s="13" t="s">
        <v>494</v>
      </c>
      <c r="R6" s="59" t="s">
        <v>495</v>
      </c>
      <c r="S6" s="479">
        <f>F12</f>
        <v>69.143010793992232</v>
      </c>
      <c r="T6" s="479"/>
      <c r="U6" s="60"/>
      <c r="V6" s="60" t="s">
        <v>496</v>
      </c>
      <c r="W6" s="1123">
        <f>MAX(V13,V20)</f>
        <v>69</v>
      </c>
      <c r="Y6" s="59" t="s">
        <v>495</v>
      </c>
      <c r="Z6" s="479">
        <f>G12</f>
        <v>37.847328083768751</v>
      </c>
      <c r="AA6" s="479"/>
      <c r="AB6" s="60"/>
      <c r="AC6" s="60" t="s">
        <v>496</v>
      </c>
      <c r="AD6" s="1123">
        <f>MAX(AC11,AC20)</f>
        <v>37.333333333333336</v>
      </c>
      <c r="AF6" s="59" t="s">
        <v>495</v>
      </c>
      <c r="AG6" s="479">
        <f>H12</f>
        <v>28.558282695267259</v>
      </c>
      <c r="AH6" s="479"/>
      <c r="AI6" s="60"/>
      <c r="AJ6" s="60" t="s">
        <v>496</v>
      </c>
      <c r="AK6" s="1123">
        <f>MAX(AJ13,AJ16,AJ21)</f>
        <v>28.5</v>
      </c>
      <c r="AM6" s="49" t="s">
        <v>495</v>
      </c>
      <c r="AN6" s="481">
        <f>I12</f>
        <v>21.668211529896116</v>
      </c>
      <c r="AO6" s="481"/>
      <c r="AP6" s="41"/>
      <c r="AQ6" s="41" t="s">
        <v>496</v>
      </c>
      <c r="AR6" s="1141">
        <f>MAX(AQ13,AQ16,AQ21)</f>
        <v>19.2</v>
      </c>
      <c r="AS6" s="108"/>
      <c r="AT6" s="59" t="s">
        <v>495</v>
      </c>
      <c r="AU6" s="479">
        <f>J12</f>
        <v>15.944089393194533</v>
      </c>
      <c r="AV6" s="479"/>
      <c r="AW6" s="60"/>
      <c r="AX6" s="60" t="s">
        <v>496</v>
      </c>
      <c r="AY6" s="1123">
        <f>MAX(BI13,AX14,AX16,AX21)</f>
        <v>15.6</v>
      </c>
    </row>
    <row r="7" spans="1:62" ht="14.4">
      <c r="B7" s="44" t="s">
        <v>407</v>
      </c>
      <c r="C7" s="946">
        <f>'Operations Assumptions'!C12</f>
        <v>250</v>
      </c>
      <c r="E7" s="44" t="s">
        <v>497</v>
      </c>
      <c r="F7">
        <f>$C$6</f>
        <v>8</v>
      </c>
      <c r="G7">
        <f t="shared" ref="G7:J7" si="0">$C$6</f>
        <v>8</v>
      </c>
      <c r="H7">
        <f t="shared" si="0"/>
        <v>8</v>
      </c>
      <c r="I7">
        <f t="shared" si="0"/>
        <v>8</v>
      </c>
      <c r="J7" s="50">
        <f t="shared" si="0"/>
        <v>8</v>
      </c>
      <c r="M7" s="26" t="s">
        <v>498</v>
      </c>
      <c r="N7" s="94">
        <v>60</v>
      </c>
      <c r="O7" s="13" t="s">
        <v>499</v>
      </c>
      <c r="R7" s="472" t="s">
        <v>500</v>
      </c>
      <c r="S7" s="472" t="s">
        <v>501</v>
      </c>
      <c r="T7" s="472" t="s">
        <v>502</v>
      </c>
      <c r="U7" s="473" t="s">
        <v>489</v>
      </c>
      <c r="V7" s="1101" t="s">
        <v>490</v>
      </c>
      <c r="W7" s="474" t="s">
        <v>503</v>
      </c>
      <c r="Y7" s="472" t="s">
        <v>500</v>
      </c>
      <c r="Z7" s="472" t="s">
        <v>501</v>
      </c>
      <c r="AA7" s="472" t="s">
        <v>504</v>
      </c>
      <c r="AB7" s="473" t="s">
        <v>489</v>
      </c>
      <c r="AC7" s="1101" t="s">
        <v>490</v>
      </c>
      <c r="AD7" s="474" t="s">
        <v>503</v>
      </c>
      <c r="AF7" s="1100" t="s">
        <v>500</v>
      </c>
      <c r="AG7" s="472" t="s">
        <v>501</v>
      </c>
      <c r="AH7" s="472" t="s">
        <v>502</v>
      </c>
      <c r="AI7" s="473" t="s">
        <v>489</v>
      </c>
      <c r="AJ7" s="1101" t="s">
        <v>490</v>
      </c>
      <c r="AK7" s="1102" t="s">
        <v>503</v>
      </c>
      <c r="AM7" s="1185" t="s">
        <v>500</v>
      </c>
      <c r="AN7" s="1203" t="s">
        <v>501</v>
      </c>
      <c r="AO7" s="1203" t="s">
        <v>504</v>
      </c>
      <c r="AP7" s="482" t="s">
        <v>489</v>
      </c>
      <c r="AQ7" s="1184" t="s">
        <v>490</v>
      </c>
      <c r="AR7" s="1196" t="s">
        <v>503</v>
      </c>
      <c r="AT7" s="1100" t="s">
        <v>500</v>
      </c>
      <c r="AU7" s="472" t="s">
        <v>501</v>
      </c>
      <c r="AV7" s="472"/>
      <c r="AW7" s="473" t="s">
        <v>489</v>
      </c>
      <c r="AX7" s="1101" t="s">
        <v>490</v>
      </c>
      <c r="AY7" s="1102" t="s">
        <v>503</v>
      </c>
    </row>
    <row r="8" spans="1:62" ht="14.4">
      <c r="B8" s="44" t="s">
        <v>408</v>
      </c>
      <c r="C8" s="946">
        <f>'Operations Assumptions'!C13</f>
        <v>2000</v>
      </c>
      <c r="E8" s="44" t="s">
        <v>505</v>
      </c>
      <c r="F8">
        <f>$C$7</f>
        <v>250</v>
      </c>
      <c r="G8">
        <f t="shared" ref="G8:J8" si="1">$C$7</f>
        <v>250</v>
      </c>
      <c r="H8">
        <f t="shared" si="1"/>
        <v>250</v>
      </c>
      <c r="I8">
        <f t="shared" si="1"/>
        <v>250</v>
      </c>
      <c r="J8" s="50">
        <f t="shared" si="1"/>
        <v>250</v>
      </c>
      <c r="M8" s="26" t="s">
        <v>506</v>
      </c>
      <c r="N8" s="94">
        <v>60</v>
      </c>
      <c r="O8" s="13" t="s">
        <v>507</v>
      </c>
      <c r="R8" s="46" t="s">
        <v>508</v>
      </c>
      <c r="S8" s="113">
        <v>2</v>
      </c>
      <c r="T8" s="1282" t="s">
        <v>509</v>
      </c>
      <c r="U8" s="113" t="s">
        <v>510</v>
      </c>
      <c r="V8" s="236">
        <f>VLOOKUP(U8,'Production Capacity Analysis'!$M$6:$N$20,2,FALSE)</f>
        <v>10</v>
      </c>
      <c r="W8" s="47"/>
      <c r="Y8" s="191" t="s">
        <v>508</v>
      </c>
      <c r="Z8" s="113">
        <v>3</v>
      </c>
      <c r="AA8" s="1282" t="s">
        <v>509</v>
      </c>
      <c r="AB8" s="113" t="s">
        <v>510</v>
      </c>
      <c r="AC8" s="236">
        <f>VLOOKUP(AB8,'Production Capacity Analysis'!$M$6:$N$20,2,FALSE)</f>
        <v>10</v>
      </c>
      <c r="AD8" s="47"/>
      <c r="AF8" s="46" t="s">
        <v>508</v>
      </c>
      <c r="AG8" s="534">
        <v>2</v>
      </c>
      <c r="AH8" s="1284" t="s">
        <v>509</v>
      </c>
      <c r="AI8" s="113" t="s">
        <v>510</v>
      </c>
      <c r="AJ8" s="236">
        <f>VLOOKUP(AI8,'Production Capacity Analysis'!$M$6:$N$20,2,FALSE)</f>
        <v>10</v>
      </c>
      <c r="AK8" s="47"/>
      <c r="AM8" s="46" t="s">
        <v>508</v>
      </c>
      <c r="AN8" s="113">
        <v>4</v>
      </c>
      <c r="AO8" s="1282" t="s">
        <v>509</v>
      </c>
      <c r="AP8" s="113" t="s">
        <v>510</v>
      </c>
      <c r="AQ8" s="236">
        <f>VLOOKUP(AP8,'Production Capacity Analysis'!$M$6:$N$20,2,FALSE)</f>
        <v>10</v>
      </c>
      <c r="AR8" s="47"/>
      <c r="AT8" s="46" t="s">
        <v>508</v>
      </c>
      <c r="AU8" s="113">
        <v>5</v>
      </c>
      <c r="AV8" s="1282" t="s">
        <v>509</v>
      </c>
      <c r="AW8" s="113" t="s">
        <v>510</v>
      </c>
      <c r="AX8" s="236">
        <f>VLOOKUP(AW8,'Production Capacity Analysis'!$M$6:$N$20,2,FALSE)</f>
        <v>10</v>
      </c>
      <c r="AY8" s="47"/>
    </row>
    <row r="9" spans="1:62" ht="14.4">
      <c r="B9" s="51" t="s">
        <v>439</v>
      </c>
      <c r="C9" s="929">
        <f>'Operations Assumptions'!C59</f>
        <v>1000000</v>
      </c>
      <c r="E9" s="808" t="s">
        <v>511</v>
      </c>
      <c r="F9" s="25">
        <f>$C$8</f>
        <v>2000</v>
      </c>
      <c r="G9" s="25">
        <f t="shared" ref="G9:J9" si="2">$C$8</f>
        <v>2000</v>
      </c>
      <c r="H9" s="25">
        <f t="shared" si="2"/>
        <v>2000</v>
      </c>
      <c r="I9" s="25">
        <f t="shared" si="2"/>
        <v>2000</v>
      </c>
      <c r="J9" s="810">
        <f t="shared" si="2"/>
        <v>2000</v>
      </c>
      <c r="M9" s="26" t="s">
        <v>512</v>
      </c>
      <c r="N9" s="94">
        <v>60</v>
      </c>
      <c r="O9" s="13" t="s">
        <v>513</v>
      </c>
      <c r="R9" s="44"/>
      <c r="T9" s="1283"/>
      <c r="U9" s="94" t="s">
        <v>514</v>
      </c>
      <c r="V9" s="24">
        <f>VLOOKUP(U9,'Production Capacity Analysis'!$M$6:$N$20,2,FALSE)</f>
        <v>12</v>
      </c>
      <c r="W9" s="50"/>
      <c r="Y9" s="127"/>
      <c r="AA9" s="1283"/>
      <c r="AB9" s="94" t="s">
        <v>514</v>
      </c>
      <c r="AC9" s="24">
        <f>VLOOKUP(AB9,'Production Capacity Analysis'!$M$6:$N$20,2,FALSE)</f>
        <v>12</v>
      </c>
      <c r="AD9" s="50"/>
      <c r="AF9" s="44"/>
      <c r="AG9" s="242"/>
      <c r="AH9" s="1285"/>
      <c r="AI9" s="94" t="s">
        <v>514</v>
      </c>
      <c r="AJ9" s="24">
        <f>VLOOKUP(AI9,'Production Capacity Analysis'!$M$6:$N$20,2,FALSE)</f>
        <v>12</v>
      </c>
      <c r="AK9" s="50"/>
      <c r="AM9" s="44"/>
      <c r="AN9" s="94"/>
      <c r="AO9" s="1283"/>
      <c r="AP9" s="94" t="s">
        <v>514</v>
      </c>
      <c r="AQ9" s="24">
        <f>VLOOKUP(AP9,'Production Capacity Analysis'!$M$6:$N$20,2,FALSE)</f>
        <v>12</v>
      </c>
      <c r="AR9" s="50"/>
      <c r="AT9" s="44"/>
      <c r="AU9" s="94"/>
      <c r="AV9" s="1283"/>
      <c r="AW9" s="94" t="s">
        <v>514</v>
      </c>
      <c r="AX9" s="24">
        <f>VLOOKUP(AW9,'Production Capacity Analysis'!$M$6:$N$20,2,FALSE)</f>
        <v>12</v>
      </c>
      <c r="AY9" s="50"/>
    </row>
    <row r="10" spans="1:62" ht="14.4">
      <c r="E10" s="44" t="s">
        <v>515</v>
      </c>
      <c r="F10" s="24">
        <f>F6/F8</f>
        <v>416.52800000000002</v>
      </c>
      <c r="G10" s="24">
        <f>G6/G8</f>
        <v>760.952</v>
      </c>
      <c r="H10" s="24">
        <f>H6/H8</f>
        <v>1008.4640000000001</v>
      </c>
      <c r="I10" s="24">
        <f>I6/I8</f>
        <v>1329.136</v>
      </c>
      <c r="J10" s="659">
        <f>J6/J8</f>
        <v>1806.3119999999999</v>
      </c>
      <c r="M10" s="26" t="s">
        <v>510</v>
      </c>
      <c r="N10" s="94">
        <v>10</v>
      </c>
      <c r="O10" s="13" t="s">
        <v>516</v>
      </c>
      <c r="R10" s="73"/>
      <c r="S10" s="94"/>
      <c r="T10" s="1282" t="s">
        <v>517</v>
      </c>
      <c r="U10" s="113" t="s">
        <v>518</v>
      </c>
      <c r="V10" s="236">
        <f>VLOOKUP(U10,'Production Capacity Analysis'!$M$6:$N$20,2,FALSE)</f>
        <v>8</v>
      </c>
      <c r="W10" s="47"/>
      <c r="Y10" s="128"/>
      <c r="Z10" s="35"/>
      <c r="AA10" s="684" t="s">
        <v>519</v>
      </c>
      <c r="AB10" s="686" t="s">
        <v>520</v>
      </c>
      <c r="AC10" s="1115">
        <f>VLOOKUP(AB10,'Production Capacity Analysis'!$M$6:$N$20,2,FALSE)</f>
        <v>90</v>
      </c>
      <c r="AD10" s="1116"/>
      <c r="AF10" s="42"/>
      <c r="AG10" s="242"/>
      <c r="AH10" s="1282" t="s">
        <v>517</v>
      </c>
      <c r="AI10" s="113" t="s">
        <v>518</v>
      </c>
      <c r="AJ10" s="236">
        <f>VLOOKUP(AI10,'Production Capacity Analysis'!$M$6:$N$20,2,FALSE)</f>
        <v>8</v>
      </c>
      <c r="AK10" s="477"/>
      <c r="AM10" s="42"/>
      <c r="AN10" s="94"/>
      <c r="AO10" s="1125" t="s">
        <v>521</v>
      </c>
      <c r="AP10" s="686" t="s">
        <v>522</v>
      </c>
      <c r="AQ10" s="1115">
        <f>VLOOKUP(AP10,'Production Capacity Analysis'!$M$6:$N$20,2,FALSE)</f>
        <v>24</v>
      </c>
      <c r="AR10" s="954"/>
      <c r="AT10" s="42"/>
      <c r="AU10" s="94"/>
      <c r="AV10" s="1125" t="s">
        <v>521</v>
      </c>
      <c r="AW10" s="686" t="s">
        <v>522</v>
      </c>
      <c r="AX10" s="1115">
        <f>VLOOKUP(AW10,'Production Capacity Analysis'!$M$6:$N$20,2,FALSE)</f>
        <v>24</v>
      </c>
      <c r="AY10" s="954"/>
    </row>
    <row r="11" spans="1:62" ht="14.4">
      <c r="E11" s="808" t="s">
        <v>523</v>
      </c>
      <c r="F11" s="25">
        <f>F6/F9</f>
        <v>52.066000000000003</v>
      </c>
      <c r="G11" s="25">
        <f>G6/G9</f>
        <v>95.119</v>
      </c>
      <c r="H11" s="25">
        <f>H6/H9</f>
        <v>126.05800000000001</v>
      </c>
      <c r="I11" s="25">
        <f>I6/I9</f>
        <v>166.142</v>
      </c>
      <c r="J11" s="810">
        <f>J6/J9</f>
        <v>225.78899999999999</v>
      </c>
      <c r="M11" s="26" t="s">
        <v>514</v>
      </c>
      <c r="N11" s="94">
        <v>12</v>
      </c>
      <c r="O11" s="13" t="s">
        <v>524</v>
      </c>
      <c r="R11" s="42"/>
      <c r="S11" s="94"/>
      <c r="T11" s="1283"/>
      <c r="U11" s="94" t="s">
        <v>525</v>
      </c>
      <c r="V11" s="24">
        <f>VLOOKUP(U11,'Production Capacity Analysis'!$M$6:$N$20,2,FALSE)</f>
        <v>18</v>
      </c>
      <c r="W11" s="478"/>
      <c r="Y11" s="1093"/>
      <c r="Z11" s="1216">
        <f>Z8/AD22</f>
        <v>0.5</v>
      </c>
      <c r="AA11" s="1117"/>
      <c r="AB11" s="1118" t="s">
        <v>183</v>
      </c>
      <c r="AC11" s="1128">
        <f>SUM(AC8:AC10)/Z8</f>
        <v>37.333333333333336</v>
      </c>
      <c r="AD11" s="1119">
        <f>AC11/$AD$6</f>
        <v>1</v>
      </c>
      <c r="AF11" s="44"/>
      <c r="AG11" s="242"/>
      <c r="AH11" s="1288"/>
      <c r="AI11" s="94" t="s">
        <v>525</v>
      </c>
      <c r="AJ11" s="24">
        <f>VLOOKUP(AI11,'Production Capacity Analysis'!$M$6:$N$20,2,FALSE)</f>
        <v>18</v>
      </c>
      <c r="AK11" s="478"/>
      <c r="AM11" s="42"/>
      <c r="AN11" s="94"/>
      <c r="AO11" s="1205" t="s">
        <v>517</v>
      </c>
      <c r="AP11" s="94" t="s">
        <v>518</v>
      </c>
      <c r="AQ11" s="24">
        <f>VLOOKUP(AP11,'Production Capacity Analysis'!$M$6:$N$20,2,FALSE)</f>
        <v>8</v>
      </c>
      <c r="AR11" s="478"/>
      <c r="AT11" s="44"/>
      <c r="AV11" s="1205" t="s">
        <v>526</v>
      </c>
      <c r="AW11" s="94" t="s">
        <v>527</v>
      </c>
      <c r="AX11" s="24">
        <f>VLOOKUP(AW11,'Production Capacity Analysis'!$M$6:$N$20,2,FALSE)</f>
        <v>6</v>
      </c>
      <c r="AY11" s="478"/>
    </row>
    <row r="12" spans="1:62" ht="14.4">
      <c r="E12" s="44" t="s">
        <v>528</v>
      </c>
      <c r="F12" s="108">
        <f>(60/F11)*60</f>
        <v>69.143010793992232</v>
      </c>
      <c r="G12" s="108">
        <f>(60/G11)*60</f>
        <v>37.847328083768751</v>
      </c>
      <c r="H12" s="108">
        <f>(60/H11)*60</f>
        <v>28.558282695267259</v>
      </c>
      <c r="I12" s="108">
        <f>(60/I11)*60</f>
        <v>21.668211529896116</v>
      </c>
      <c r="J12" s="811">
        <f>(60/J11)*60</f>
        <v>15.944089393194533</v>
      </c>
      <c r="M12" s="26" t="s">
        <v>522</v>
      </c>
      <c r="N12" s="94">
        <v>24</v>
      </c>
      <c r="O12" s="13" t="s">
        <v>529</v>
      </c>
      <c r="R12" s="42"/>
      <c r="S12" s="94"/>
      <c r="T12" s="1204" t="s">
        <v>519</v>
      </c>
      <c r="U12" s="113" t="s">
        <v>520</v>
      </c>
      <c r="V12" s="236">
        <f>VLOOKUP(U12,'Production Capacity Analysis'!$M$6:$N$20,2,FALSE)</f>
        <v>90</v>
      </c>
      <c r="W12" s="477"/>
      <c r="Y12" s="130" t="s">
        <v>530</v>
      </c>
      <c r="Z12" s="94">
        <v>3</v>
      </c>
      <c r="AA12" s="1282" t="s">
        <v>517</v>
      </c>
      <c r="AB12" s="113" t="s">
        <v>518</v>
      </c>
      <c r="AC12" s="236">
        <f>VLOOKUP(AB12,'Production Capacity Analysis'!$M$6:$N$20,2,FALSE)</f>
        <v>8</v>
      </c>
      <c r="AD12" s="477"/>
      <c r="AF12" s="51"/>
      <c r="AG12" s="61"/>
      <c r="AH12" s="1120" t="s">
        <v>526</v>
      </c>
      <c r="AI12" s="686" t="s">
        <v>527</v>
      </c>
      <c r="AJ12" s="1115">
        <f>VLOOKUP(AI12,'Production Capacity Analysis'!$M$6:$N$20,2,FALSE)</f>
        <v>6</v>
      </c>
      <c r="AK12" s="1116"/>
      <c r="AM12" s="42"/>
      <c r="AO12" s="1205"/>
      <c r="AP12" s="94" t="s">
        <v>525</v>
      </c>
      <c r="AQ12" s="24">
        <f>VLOOKUP(AP12,'Production Capacity Analysis'!$M$6:$N$20,2,FALSE)</f>
        <v>18</v>
      </c>
      <c r="AR12" s="478"/>
      <c r="AT12" s="44"/>
      <c r="AU12" s="94"/>
      <c r="AV12" s="1282" t="s">
        <v>517</v>
      </c>
      <c r="AW12" s="113" t="s">
        <v>518</v>
      </c>
      <c r="AX12" s="236">
        <f>VLOOKUP(AW12,'Production Capacity Analysis'!$M$6:$N$20,2,FALSE)</f>
        <v>8</v>
      </c>
      <c r="AY12" s="477"/>
    </row>
    <row r="13" spans="1:62" ht="14.4">
      <c r="E13" s="74" t="s">
        <v>531</v>
      </c>
      <c r="F13" s="1197" t="s">
        <v>157</v>
      </c>
      <c r="G13" s="1197" t="s">
        <v>158</v>
      </c>
      <c r="H13" s="1197" t="s">
        <v>159</v>
      </c>
      <c r="I13" s="1197" t="s">
        <v>160</v>
      </c>
      <c r="J13" s="1194" t="s">
        <v>161</v>
      </c>
      <c r="M13" s="26" t="s">
        <v>518</v>
      </c>
      <c r="N13" s="94">
        <v>8</v>
      </c>
      <c r="O13" s="13" t="s">
        <v>532</v>
      </c>
      <c r="R13" s="755"/>
      <c r="S13" s="785">
        <f>S8/$W$22</f>
        <v>0.66666666666666663</v>
      </c>
      <c r="T13" s="1126"/>
      <c r="U13" s="934" t="s">
        <v>183</v>
      </c>
      <c r="V13" s="1127">
        <f>SUM(V8:V12)/S8</f>
        <v>69</v>
      </c>
      <c r="W13" s="935">
        <f>V13/$W$6</f>
        <v>1</v>
      </c>
      <c r="Y13" s="127"/>
      <c r="AA13" s="1283"/>
      <c r="AB13" s="94" t="s">
        <v>525</v>
      </c>
      <c r="AC13" s="24">
        <f>VLOOKUP(AB13,'Production Capacity Analysis'!$M$6:$N$20,2,FALSE)</f>
        <v>18</v>
      </c>
      <c r="AD13" s="478"/>
      <c r="AF13" s="195"/>
      <c r="AG13" s="1216">
        <f>AG8/$AK$23</f>
        <v>0.25</v>
      </c>
      <c r="AH13" s="1121"/>
      <c r="AI13" s="1122" t="s">
        <v>183</v>
      </c>
      <c r="AJ13" s="1129">
        <f>SUM(AJ8:AJ12)/AG8</f>
        <v>27</v>
      </c>
      <c r="AK13" s="476">
        <f>AJ13/$AK$6</f>
        <v>0.94736842105263153</v>
      </c>
      <c r="AM13" s="937"/>
      <c r="AN13" s="933">
        <f>AN8/$AR$23</f>
        <v>0.36363636363636365</v>
      </c>
      <c r="AO13" s="1126"/>
      <c r="AP13" s="934" t="s">
        <v>183</v>
      </c>
      <c r="AQ13" s="1127">
        <f>SUM(AQ8:AQ12)/AN8</f>
        <v>18</v>
      </c>
      <c r="AR13" s="935">
        <f>AQ13/$AR$6</f>
        <v>0.9375</v>
      </c>
      <c r="AT13" s="42"/>
      <c r="AV13" s="1283"/>
      <c r="AW13" s="94" t="s">
        <v>525</v>
      </c>
      <c r="AX13" s="24">
        <f>VLOOKUP(AW13,'Production Capacity Analysis'!$M$6:$N$20,2,FALSE)</f>
        <v>18</v>
      </c>
      <c r="AY13" s="478"/>
      <c r="BF13" s="1066"/>
      <c r="BG13" s="1066"/>
      <c r="BH13" s="32"/>
      <c r="BI13" s="32"/>
      <c r="BJ13" s="784"/>
    </row>
    <row r="14" spans="1:62" ht="14.4">
      <c r="E14" s="44" t="s">
        <v>533</v>
      </c>
      <c r="F14">
        <f>W22</f>
        <v>3</v>
      </c>
      <c r="G14">
        <f>AD22</f>
        <v>6</v>
      </c>
      <c r="H14">
        <f>AK23</f>
        <v>8</v>
      </c>
      <c r="I14">
        <f>AR23</f>
        <v>11</v>
      </c>
      <c r="J14" s="50">
        <f>AY23</f>
        <v>14</v>
      </c>
      <c r="M14" s="26" t="s">
        <v>525</v>
      </c>
      <c r="N14" s="94">
        <v>18</v>
      </c>
      <c r="O14" s="13" t="s">
        <v>534</v>
      </c>
      <c r="R14" s="42" t="s">
        <v>530</v>
      </c>
      <c r="S14" s="94">
        <v>1</v>
      </c>
      <c r="T14" s="1125" t="s">
        <v>521</v>
      </c>
      <c r="U14" s="686" t="s">
        <v>522</v>
      </c>
      <c r="V14" s="1115">
        <f>VLOOKUP(U14,'Production Capacity Analysis'!$M$6:$N$20,2,FALSE)</f>
        <v>24</v>
      </c>
      <c r="W14" s="1116"/>
      <c r="Y14" s="130"/>
      <c r="AA14" s="1125" t="s">
        <v>521</v>
      </c>
      <c r="AB14" s="686" t="s">
        <v>522</v>
      </c>
      <c r="AC14" s="1115">
        <f>VLOOKUP(AB14,'Production Capacity Analysis'!$M$6:$N$20,2,FALSE)</f>
        <v>24</v>
      </c>
      <c r="AD14" s="954"/>
      <c r="AF14" s="42" t="s">
        <v>530</v>
      </c>
      <c r="AG14" s="94">
        <v>4</v>
      </c>
      <c r="AH14" s="684" t="s">
        <v>535</v>
      </c>
      <c r="AI14" s="686" t="s">
        <v>522</v>
      </c>
      <c r="AJ14" s="1115">
        <f>VLOOKUP(AI14,'Production Capacity Analysis'!$M$6:$N$20,2,FALSE)</f>
        <v>24</v>
      </c>
      <c r="AK14" s="1116"/>
      <c r="AM14" s="46" t="s">
        <v>530</v>
      </c>
      <c r="AN14" s="113">
        <v>5</v>
      </c>
      <c r="AO14" s="1125" t="s">
        <v>526</v>
      </c>
      <c r="AP14" s="686" t="s">
        <v>527</v>
      </c>
      <c r="AQ14" s="1115">
        <f>VLOOKUP(AP14,'Production Capacity Analysis'!$M$6:$N$20,2,FALSE)</f>
        <v>6</v>
      </c>
      <c r="AR14" s="1116"/>
      <c r="AT14" s="755"/>
      <c r="AU14" s="785">
        <f>AU8/AY23</f>
        <v>0.35714285714285715</v>
      </c>
      <c r="AV14" s="933"/>
      <c r="AW14" s="934" t="s">
        <v>183</v>
      </c>
      <c r="AX14" s="1127">
        <f>SUM(AX8:AX13)/AU8</f>
        <v>15.6</v>
      </c>
      <c r="AY14" s="935">
        <f>AX14/$AY$6</f>
        <v>1</v>
      </c>
    </row>
    <row r="15" spans="1:62" ht="14.4">
      <c r="E15" s="44" t="s">
        <v>536</v>
      </c>
      <c r="F15">
        <f>U22</f>
        <v>1</v>
      </c>
      <c r="G15">
        <f>AB22</f>
        <v>1</v>
      </c>
      <c r="H15">
        <f>AI23</f>
        <v>1</v>
      </c>
      <c r="I15">
        <f>AP23</f>
        <v>1</v>
      </c>
      <c r="J15" s="50">
        <f>AW23</f>
        <v>1</v>
      </c>
      <c r="M15" s="26" t="s">
        <v>527</v>
      </c>
      <c r="N15" s="94">
        <v>6</v>
      </c>
      <c r="O15" s="13" t="s">
        <v>537</v>
      </c>
      <c r="R15" s="44"/>
      <c r="S15" s="94"/>
      <c r="T15" s="1209" t="s">
        <v>526</v>
      </c>
      <c r="U15" s="112" t="s">
        <v>527</v>
      </c>
      <c r="V15" s="237">
        <f>VLOOKUP(U15,'Production Capacity Analysis'!$M$6:$N$20,2,FALSE)</f>
        <v>6</v>
      </c>
      <c r="W15" s="931"/>
      <c r="Y15" s="127"/>
      <c r="Z15" s="94"/>
      <c r="AA15" s="1209" t="s">
        <v>526</v>
      </c>
      <c r="AB15" s="112" t="s">
        <v>527</v>
      </c>
      <c r="AC15" s="237">
        <f>VLOOKUP(AB15,'Production Capacity Analysis'!$M$6:$N$20,2,FALSE)</f>
        <v>6</v>
      </c>
      <c r="AD15" s="931"/>
      <c r="AF15" s="44"/>
      <c r="AH15" s="849" t="s">
        <v>519</v>
      </c>
      <c r="AI15" s="94" t="s">
        <v>520</v>
      </c>
      <c r="AJ15" s="24">
        <f>VLOOKUP(AI15,'Production Capacity Analysis'!$M$6:$N$20,2,FALSE)</f>
        <v>90</v>
      </c>
      <c r="AK15" s="50"/>
      <c r="AM15" s="51"/>
      <c r="AN15" s="35"/>
      <c r="AO15" s="1209" t="s">
        <v>519</v>
      </c>
      <c r="AP15" s="112" t="s">
        <v>520</v>
      </c>
      <c r="AQ15" s="237">
        <v>90</v>
      </c>
      <c r="AR15" s="931"/>
      <c r="AT15" s="42" t="s">
        <v>530</v>
      </c>
      <c r="AU15" s="94">
        <v>6</v>
      </c>
      <c r="AV15" s="1204" t="s">
        <v>519</v>
      </c>
      <c r="AW15" s="113" t="s">
        <v>520</v>
      </c>
      <c r="AX15" s="236">
        <v>90</v>
      </c>
      <c r="AY15" s="477"/>
    </row>
    <row r="16" spans="1:62" ht="14.4">
      <c r="E16" s="44" t="s">
        <v>538</v>
      </c>
      <c r="F16">
        <f>U23</f>
        <v>1</v>
      </c>
      <c r="G16">
        <f>AB23</f>
        <v>1</v>
      </c>
      <c r="H16">
        <f>AI24</f>
        <v>1</v>
      </c>
      <c r="I16">
        <f>AP24</f>
        <v>1</v>
      </c>
      <c r="J16" s="50">
        <f>AW24</f>
        <v>1</v>
      </c>
      <c r="M16" s="26" t="s">
        <v>520</v>
      </c>
      <c r="N16" s="94">
        <v>90</v>
      </c>
      <c r="O16" s="13" t="s">
        <v>539</v>
      </c>
      <c r="R16" s="44"/>
      <c r="S16" s="94"/>
      <c r="T16" s="1282" t="s">
        <v>540</v>
      </c>
      <c r="U16" s="94" t="s">
        <v>541</v>
      </c>
      <c r="V16" s="24">
        <f>VLOOKUP(U16,'Production Capacity Analysis'!$M$6:$N$20,2,FALSE)</f>
        <v>15</v>
      </c>
      <c r="W16" s="478"/>
      <c r="Y16" s="130"/>
      <c r="Z16" s="94"/>
      <c r="AA16" s="1282" t="s">
        <v>540</v>
      </c>
      <c r="AB16" s="94" t="s">
        <v>541</v>
      </c>
      <c r="AC16" s="24">
        <f>VLOOKUP(AB16,'Production Capacity Analysis'!$M$6:$N$20,2,FALSE)</f>
        <v>15</v>
      </c>
      <c r="AD16" s="478"/>
      <c r="AF16" s="755"/>
      <c r="AG16" s="785">
        <f>AG14/$AK$23</f>
        <v>0.5</v>
      </c>
      <c r="AH16" s="785"/>
      <c r="AI16" s="709" t="s">
        <v>183</v>
      </c>
      <c r="AJ16" s="709">
        <f>SUM(AJ14:AJ15)/AG14</f>
        <v>28.5</v>
      </c>
      <c r="AK16" s="786">
        <f>AJ16/$AK$6</f>
        <v>1</v>
      </c>
      <c r="AM16" s="195"/>
      <c r="AN16" s="1216">
        <f>AN14/$AR$23</f>
        <v>0.45454545454545453</v>
      </c>
      <c r="AO16" s="1117"/>
      <c r="AP16" s="1118" t="s">
        <v>183</v>
      </c>
      <c r="AQ16" s="1128">
        <f>SUM(AQ14:AQ15)/AN14</f>
        <v>19.2</v>
      </c>
      <c r="AR16" s="1119">
        <f>AQ16/$AR$6</f>
        <v>1</v>
      </c>
      <c r="AT16" s="755"/>
      <c r="AU16" s="785">
        <f>AU15/$AY$23</f>
        <v>0.42857142857142855</v>
      </c>
      <c r="AV16" s="933"/>
      <c r="AW16" s="934" t="s">
        <v>183</v>
      </c>
      <c r="AX16" s="1127">
        <f>SUM(AX15)/AU15</f>
        <v>15</v>
      </c>
      <c r="AY16" s="935">
        <f>AX16/$AY$6</f>
        <v>0.96153846153846156</v>
      </c>
    </row>
    <row r="17" spans="5:51" ht="14.4">
      <c r="E17" s="44" t="s">
        <v>542</v>
      </c>
      <c r="F17">
        <f>S22</f>
        <v>2</v>
      </c>
      <c r="G17">
        <f>Z22</f>
        <v>4</v>
      </c>
      <c r="H17">
        <f>AG23</f>
        <v>5</v>
      </c>
      <c r="I17">
        <f>AN23</f>
        <v>6</v>
      </c>
      <c r="J17" s="50">
        <f>AU23</f>
        <v>8</v>
      </c>
      <c r="M17" s="26" t="s">
        <v>541</v>
      </c>
      <c r="N17" s="94">
        <v>15</v>
      </c>
      <c r="O17" s="13" t="s">
        <v>543</v>
      </c>
      <c r="R17" s="44"/>
      <c r="T17" s="1283"/>
      <c r="U17" s="94" t="s">
        <v>544</v>
      </c>
      <c r="V17" s="24">
        <f>VLOOKUP(U17,'Production Capacity Analysis'!$M$6:$N$20,2,FALSE)</f>
        <v>8</v>
      </c>
      <c r="W17" s="478"/>
      <c r="Y17" s="127"/>
      <c r="AA17" s="1283"/>
      <c r="AB17" s="94" t="s">
        <v>544</v>
      </c>
      <c r="AC17" s="24">
        <f>VLOOKUP(AB17,'Production Capacity Analysis'!$M$6:$N$20,2,FALSE)</f>
        <v>8</v>
      </c>
      <c r="AD17" s="478"/>
      <c r="AF17" s="42" t="s">
        <v>545</v>
      </c>
      <c r="AG17" s="94">
        <v>2</v>
      </c>
      <c r="AH17" s="1283" t="s">
        <v>540</v>
      </c>
      <c r="AI17" s="94" t="s">
        <v>541</v>
      </c>
      <c r="AJ17" s="24">
        <f>VLOOKUP(AI17,'Production Capacity Analysis'!$M$6:$N$20,2,FALSE)</f>
        <v>15</v>
      </c>
      <c r="AK17" s="478"/>
      <c r="AM17" s="42" t="s">
        <v>545</v>
      </c>
      <c r="AN17" s="94">
        <v>2</v>
      </c>
      <c r="AO17" s="1282" t="s">
        <v>540</v>
      </c>
      <c r="AP17" s="113" t="s">
        <v>541</v>
      </c>
      <c r="AQ17" s="236">
        <f>VLOOKUP(AP17,'Production Capacity Analysis'!$M$6:$N$20,2,FALSE)</f>
        <v>15</v>
      </c>
      <c r="AR17" s="477"/>
      <c r="AT17" s="42" t="s">
        <v>545</v>
      </c>
      <c r="AU17" s="94">
        <v>3</v>
      </c>
      <c r="AV17" s="1280" t="s">
        <v>540</v>
      </c>
      <c r="AW17" s="114" t="s">
        <v>541</v>
      </c>
      <c r="AX17" s="236">
        <f>VLOOKUP(AW17,'Production Capacity Analysis'!$M$6:$N$20,2,FALSE)</f>
        <v>15</v>
      </c>
      <c r="AY17" s="477"/>
    </row>
    <row r="18" spans="5:51" ht="14.4">
      <c r="E18" s="44" t="s">
        <v>546</v>
      </c>
      <c r="F18">
        <f>S8</f>
        <v>2</v>
      </c>
      <c r="G18">
        <f>Z8</f>
        <v>3</v>
      </c>
      <c r="H18">
        <f>AG14</f>
        <v>4</v>
      </c>
      <c r="I18">
        <f>AN14</f>
        <v>5</v>
      </c>
      <c r="J18" s="50">
        <f>AU15</f>
        <v>6</v>
      </c>
      <c r="M18" s="26" t="s">
        <v>544</v>
      </c>
      <c r="N18" s="94">
        <v>8</v>
      </c>
      <c r="O18" s="13" t="s">
        <v>547</v>
      </c>
      <c r="R18" s="44"/>
      <c r="S18" s="94"/>
      <c r="T18" s="1283"/>
      <c r="U18" s="94" t="s">
        <v>548</v>
      </c>
      <c r="V18" s="24">
        <f>VLOOKUP(U18,'Production Capacity Analysis'!$M$6:$N$20,2,FALSE)</f>
        <v>6</v>
      </c>
      <c r="W18" s="478"/>
      <c r="Y18" s="127"/>
      <c r="Z18" s="94"/>
      <c r="AA18" s="1283"/>
      <c r="AB18" s="94" t="s">
        <v>548</v>
      </c>
      <c r="AC18" s="24">
        <f>VLOOKUP(AB18,'Production Capacity Analysis'!$M$6:$N$20,2,FALSE)</f>
        <v>6</v>
      </c>
      <c r="AD18" s="478"/>
      <c r="AF18" s="44"/>
      <c r="AG18" s="94"/>
      <c r="AH18" s="1283"/>
      <c r="AI18" s="94" t="s">
        <v>544</v>
      </c>
      <c r="AJ18" s="24">
        <f>VLOOKUP(AI18,'Production Capacity Analysis'!$M$6:$N$20,2,FALSE)</f>
        <v>8</v>
      </c>
      <c r="AK18" s="478"/>
      <c r="AM18" s="44"/>
      <c r="AN18" s="94"/>
      <c r="AO18" s="1283"/>
      <c r="AP18" s="94" t="s">
        <v>544</v>
      </c>
      <c r="AQ18" s="24">
        <f>VLOOKUP(AP18,'Production Capacity Analysis'!$M$6:$N$20,2,FALSE)</f>
        <v>8</v>
      </c>
      <c r="AR18" s="478"/>
      <c r="AT18" s="44"/>
      <c r="AU18" s="94"/>
      <c r="AV18" s="1281"/>
      <c r="AW18" s="116" t="s">
        <v>544</v>
      </c>
      <c r="AX18" s="24">
        <f>VLOOKUP(AW18,'Production Capacity Analysis'!$M$6:$N$20,2,FALSE)</f>
        <v>8</v>
      </c>
      <c r="AY18" s="478"/>
    </row>
    <row r="19" spans="5:51" ht="14.4">
      <c r="E19" s="49" t="s">
        <v>549</v>
      </c>
      <c r="F19" s="1139">
        <f>W25/W24</f>
        <v>0.99793166666666677</v>
      </c>
      <c r="G19" s="1139">
        <f>AD25/AD24</f>
        <v>0.98641925925925933</v>
      </c>
      <c r="H19" s="1139">
        <f>AK26/AK25</f>
        <v>0.99795916666666673</v>
      </c>
      <c r="I19" s="1139">
        <f>AR26/AR25</f>
        <v>0.88609066666666669</v>
      </c>
      <c r="J19" s="1140">
        <f>AY26/AY25</f>
        <v>0.97841899999999993</v>
      </c>
      <c r="M19" s="26" t="s">
        <v>548</v>
      </c>
      <c r="N19" s="94">
        <v>6</v>
      </c>
      <c r="O19" s="13" t="s">
        <v>550</v>
      </c>
      <c r="R19" s="44"/>
      <c r="S19" s="475"/>
      <c r="T19" s="1288"/>
      <c r="U19" s="94" t="s">
        <v>551</v>
      </c>
      <c r="V19" s="24">
        <f>VLOOKUP(U19,'Production Capacity Analysis'!$M$6:$N$20,2,FALSE)</f>
        <v>8</v>
      </c>
      <c r="W19" s="478"/>
      <c r="Y19" s="128"/>
      <c r="Z19" s="475"/>
      <c r="AA19" s="1288"/>
      <c r="AB19" s="94" t="s">
        <v>551</v>
      </c>
      <c r="AC19" s="24">
        <f>VLOOKUP(AB19,'Production Capacity Analysis'!$M$6:$N$20,2,FALSE)</f>
        <v>8</v>
      </c>
      <c r="AD19" s="478"/>
      <c r="AF19" s="44"/>
      <c r="AG19" s="94"/>
      <c r="AH19" s="1283"/>
      <c r="AI19" s="94" t="s">
        <v>548</v>
      </c>
      <c r="AJ19" s="24">
        <f>VLOOKUP(AI19,'Production Capacity Analysis'!$M$6:$N$20,2,FALSE)</f>
        <v>6</v>
      </c>
      <c r="AK19" s="478"/>
      <c r="AM19" s="44"/>
      <c r="AN19" s="94"/>
      <c r="AO19" s="1283"/>
      <c r="AP19" s="94" t="s">
        <v>548</v>
      </c>
      <c r="AQ19" s="24">
        <f>VLOOKUP(AP19,'Production Capacity Analysis'!$M$6:$N$20,2,FALSE)</f>
        <v>6</v>
      </c>
      <c r="AR19" s="478"/>
      <c r="AT19" s="44"/>
      <c r="AU19" s="94"/>
      <c r="AV19" s="1281"/>
      <c r="AW19" s="116" t="s">
        <v>548</v>
      </c>
      <c r="AX19" s="24">
        <f>VLOOKUP(AW19,'Production Capacity Analysis'!$M$6:$N$20,2,FALSE)</f>
        <v>6</v>
      </c>
      <c r="AY19" s="478"/>
    </row>
    <row r="20" spans="5:51" ht="14.4">
      <c r="E20" s="51" t="s">
        <v>552</v>
      </c>
      <c r="F20" s="52">
        <f>W26</f>
        <v>0.99033816425120769</v>
      </c>
      <c r="G20" s="52">
        <f>AD26</f>
        <v>0.9151785714285714</v>
      </c>
      <c r="H20" s="52">
        <f>AK27</f>
        <v>0.89912280701754388</v>
      </c>
      <c r="I20" s="52">
        <f>AR27</f>
        <v>0.97064393939393934</v>
      </c>
      <c r="J20" s="53">
        <f>AY27</f>
        <v>0.93864468864468864</v>
      </c>
      <c r="M20" s="27" t="s">
        <v>551</v>
      </c>
      <c r="N20" s="28">
        <v>8</v>
      </c>
      <c r="O20" s="17" t="s">
        <v>553</v>
      </c>
      <c r="R20" s="755"/>
      <c r="S20" s="785">
        <f>S14/$W$22</f>
        <v>0.33333333333333331</v>
      </c>
      <c r="T20" s="785"/>
      <c r="U20" s="709" t="s">
        <v>183</v>
      </c>
      <c r="V20" s="1124">
        <f>SUM(V14:V19)/S14</f>
        <v>67</v>
      </c>
      <c r="W20" s="786">
        <f>V20/$W$6</f>
        <v>0.97101449275362317</v>
      </c>
      <c r="Y20" s="195"/>
      <c r="Z20" s="785">
        <f>Z12/AD22</f>
        <v>0.5</v>
      </c>
      <c r="AA20" s="785"/>
      <c r="AB20" s="709" t="s">
        <v>183</v>
      </c>
      <c r="AC20" s="1124">
        <f>SUM(AC12:AC19)/Z12</f>
        <v>31</v>
      </c>
      <c r="AD20" s="786">
        <f>AC20/$AD$6</f>
        <v>0.83035714285714279</v>
      </c>
      <c r="AF20" s="44"/>
      <c r="AH20" s="1283"/>
      <c r="AI20" s="94" t="s">
        <v>551</v>
      </c>
      <c r="AJ20" s="24">
        <f>VLOOKUP(AI20,'Production Capacity Analysis'!$M$6:$N$20,2,FALSE)</f>
        <v>8</v>
      </c>
      <c r="AK20" s="50"/>
      <c r="AM20" s="44"/>
      <c r="AN20" s="475"/>
      <c r="AO20" s="1288"/>
      <c r="AP20" s="94" t="s">
        <v>551</v>
      </c>
      <c r="AQ20" s="24">
        <f>VLOOKUP(AP20,'Production Capacity Analysis'!$M$6:$N$20,2,FALSE)</f>
        <v>8</v>
      </c>
      <c r="AR20" s="478"/>
      <c r="AT20" s="44"/>
      <c r="AU20" s="475"/>
      <c r="AV20" s="1281"/>
      <c r="AW20" s="116" t="s">
        <v>551</v>
      </c>
      <c r="AX20" s="24">
        <f>VLOOKUP(AW20,'Production Capacity Analysis'!$M$6:$N$20,2,FALSE)</f>
        <v>8</v>
      </c>
      <c r="AY20" s="478"/>
    </row>
    <row r="21" spans="5:51" ht="14.4">
      <c r="M21" s="1292" t="s">
        <v>554</v>
      </c>
      <c r="N21" s="1294"/>
      <c r="O21" s="1003">
        <f>SUM(N6:N20)</f>
        <v>445</v>
      </c>
      <c r="R21" s="1207" t="s">
        <v>555</v>
      </c>
      <c r="S21" s="1114"/>
      <c r="T21" s="1207" t="s">
        <v>556</v>
      </c>
      <c r="U21" s="1208"/>
      <c r="V21" s="1114" t="s">
        <v>557</v>
      </c>
      <c r="W21" s="1208"/>
      <c r="Y21" s="1100" t="s">
        <v>555</v>
      </c>
      <c r="Z21" s="1101"/>
      <c r="AA21" s="1100" t="s">
        <v>556</v>
      </c>
      <c r="AB21" s="1102"/>
      <c r="AC21" s="1101" t="s">
        <v>557</v>
      </c>
      <c r="AD21" s="1102"/>
      <c r="AF21" s="755"/>
      <c r="AG21" s="785">
        <f>AG17/$AK$23</f>
        <v>0.25</v>
      </c>
      <c r="AH21" s="785"/>
      <c r="AI21" s="709" t="s">
        <v>183</v>
      </c>
      <c r="AJ21" s="1124">
        <f>SUM(AJ17:AJ20)/AG17</f>
        <v>18.5</v>
      </c>
      <c r="AK21" s="786">
        <f>AJ21/$AK$6</f>
        <v>0.64912280701754388</v>
      </c>
      <c r="AM21" s="937"/>
      <c r="AN21" s="933">
        <f>AN17/$AR$23</f>
        <v>0.18181818181818182</v>
      </c>
      <c r="AO21" s="785"/>
      <c r="AP21" s="709" t="s">
        <v>183</v>
      </c>
      <c r="AQ21" s="1124">
        <f>SUM(AQ17:AQ20)/AN17</f>
        <v>18.5</v>
      </c>
      <c r="AR21" s="786">
        <f>AQ21/$AR$6</f>
        <v>0.96354166666666674</v>
      </c>
      <c r="AT21" s="755"/>
      <c r="AU21" s="936">
        <f>AU17/$AY$23</f>
        <v>0.21428571428571427</v>
      </c>
      <c r="AV21" s="936"/>
      <c r="AW21" s="709" t="s">
        <v>183</v>
      </c>
      <c r="AX21" s="1124">
        <f>SUM(AX17:AX20)/AU17</f>
        <v>12.333333333333334</v>
      </c>
      <c r="AY21" s="786">
        <f>AX21/$AY$6</f>
        <v>0.79059829059829068</v>
      </c>
    </row>
    <row r="22" spans="5:51" ht="14.4">
      <c r="M22" s="1292" t="s">
        <v>558</v>
      </c>
      <c r="N22" s="1293"/>
      <c r="O22" s="1004">
        <f>SUM(N10:N20)</f>
        <v>205</v>
      </c>
      <c r="R22" s="44" t="s">
        <v>559</v>
      </c>
      <c r="S22">
        <v>2</v>
      </c>
      <c r="T22" s="44" t="s">
        <v>560</v>
      </c>
      <c r="U22" s="50">
        <v>1</v>
      </c>
      <c r="V22" t="s">
        <v>561</v>
      </c>
      <c r="W22" s="50">
        <f>SUM(S8,S14)</f>
        <v>3</v>
      </c>
      <c r="Y22" s="49" t="s">
        <v>559</v>
      </c>
      <c r="Z22" s="41">
        <v>4</v>
      </c>
      <c r="AA22" s="49" t="s">
        <v>560</v>
      </c>
      <c r="AB22" s="47">
        <v>1</v>
      </c>
      <c r="AC22" s="41" t="s">
        <v>561</v>
      </c>
      <c r="AD22" s="47">
        <f>SUM(Z8,Z14,Z12,Z16)</f>
        <v>6</v>
      </c>
      <c r="AF22" s="1100" t="s">
        <v>555</v>
      </c>
      <c r="AG22" s="1102"/>
      <c r="AH22" s="1100" t="s">
        <v>556</v>
      </c>
      <c r="AI22" s="1102"/>
      <c r="AJ22" s="1207" t="s">
        <v>557</v>
      </c>
      <c r="AK22" s="1208"/>
      <c r="AM22" s="1185" t="s">
        <v>555</v>
      </c>
      <c r="AN22" s="1196"/>
      <c r="AO22" s="1101" t="s">
        <v>556</v>
      </c>
      <c r="AP22" s="1101"/>
      <c r="AQ22" s="1100" t="s">
        <v>557</v>
      </c>
      <c r="AR22" s="1102"/>
      <c r="AT22" s="1100" t="s">
        <v>555</v>
      </c>
      <c r="AU22" s="1101"/>
      <c r="AV22" s="1100" t="s">
        <v>556</v>
      </c>
      <c r="AW22" s="1101"/>
      <c r="AX22" s="1286" t="s">
        <v>557</v>
      </c>
      <c r="AY22" s="1287"/>
    </row>
    <row r="23" spans="5:51" ht="14.4">
      <c r="E23" s="861" t="s">
        <v>562</v>
      </c>
      <c r="F23" s="861"/>
      <c r="G23" s="862"/>
      <c r="H23" s="862"/>
      <c r="I23" s="862"/>
      <c r="J23" s="862"/>
      <c r="O23" s="475"/>
      <c r="R23" s="44" t="s">
        <v>563</v>
      </c>
      <c r="S23">
        <v>2</v>
      </c>
      <c r="T23" s="44" t="s">
        <v>564</v>
      </c>
      <c r="U23" s="50">
        <v>1</v>
      </c>
      <c r="V23" t="s">
        <v>565</v>
      </c>
      <c r="W23" s="50">
        <f>W22+U22+U23</f>
        <v>5</v>
      </c>
      <c r="Y23" s="44" t="s">
        <v>563</v>
      </c>
      <c r="Z23">
        <v>2</v>
      </c>
      <c r="AA23" s="44" t="s">
        <v>564</v>
      </c>
      <c r="AB23" s="50">
        <v>1</v>
      </c>
      <c r="AC23" t="s">
        <v>565</v>
      </c>
      <c r="AD23" s="50">
        <f>AD22+AB22+AB23</f>
        <v>8</v>
      </c>
      <c r="AF23" s="49" t="s">
        <v>559</v>
      </c>
      <c r="AG23" s="41">
        <v>5</v>
      </c>
      <c r="AH23" s="49" t="s">
        <v>560</v>
      </c>
      <c r="AI23" s="47">
        <v>1</v>
      </c>
      <c r="AJ23" s="41" t="s">
        <v>561</v>
      </c>
      <c r="AK23" s="47">
        <f>SUM(AG8,AG14,AG17)</f>
        <v>8</v>
      </c>
      <c r="AM23" s="49" t="s">
        <v>559</v>
      </c>
      <c r="AN23" s="41">
        <v>6</v>
      </c>
      <c r="AO23" s="49" t="s">
        <v>560</v>
      </c>
      <c r="AP23" s="47">
        <v>1</v>
      </c>
      <c r="AQ23" s="41" t="s">
        <v>561</v>
      </c>
      <c r="AR23" s="47">
        <f>SUM(AN8,AN14,AN17)</f>
        <v>11</v>
      </c>
      <c r="AT23" s="49" t="s">
        <v>559</v>
      </c>
      <c r="AU23" s="47">
        <v>8</v>
      </c>
      <c r="AV23" s="41" t="s">
        <v>560</v>
      </c>
      <c r="AW23" s="47">
        <v>1</v>
      </c>
      <c r="AX23" s="41" t="s">
        <v>561</v>
      </c>
      <c r="AY23" s="47">
        <f>SUM(AU8,AU15,AU17)</f>
        <v>14</v>
      </c>
    </row>
    <row r="24" spans="5:51" ht="14.4">
      <c r="E24" s="873" t="s">
        <v>566</v>
      </c>
      <c r="F24" s="876">
        <f>ROUNDUP($O$22/F12,0)</f>
        <v>3</v>
      </c>
      <c r="G24" s="876">
        <f>ROUNDUP($O$22/G12,0)</f>
        <v>6</v>
      </c>
      <c r="H24" s="876">
        <f>ROUNDUP($O$22/H12,0)</f>
        <v>8</v>
      </c>
      <c r="I24" s="876">
        <f>ROUNDUP($O$22/I12,0)+1</f>
        <v>11</v>
      </c>
      <c r="J24" s="877">
        <f>ROUNDUP($O$22/J12,0)+1</f>
        <v>14</v>
      </c>
      <c r="R24" s="44" t="s">
        <v>567</v>
      </c>
      <c r="S24">
        <v>16</v>
      </c>
      <c r="T24" s="44" t="s">
        <v>568</v>
      </c>
      <c r="U24" s="50">
        <v>8</v>
      </c>
      <c r="V24" t="s">
        <v>569</v>
      </c>
      <c r="W24" s="659">
        <f>F7*3600/W6</f>
        <v>417.39130434782606</v>
      </c>
      <c r="Y24" s="44" t="s">
        <v>567</v>
      </c>
      <c r="Z24">
        <v>16</v>
      </c>
      <c r="AA24" s="44" t="s">
        <v>570</v>
      </c>
      <c r="AB24" s="50">
        <v>8</v>
      </c>
      <c r="AC24" t="s">
        <v>569</v>
      </c>
      <c r="AD24" s="659">
        <f>G7*3600/AD6</f>
        <v>771.42857142857133</v>
      </c>
      <c r="AF24" s="44" t="s">
        <v>563</v>
      </c>
      <c r="AG24">
        <v>2</v>
      </c>
      <c r="AH24" s="44" t="s">
        <v>564</v>
      </c>
      <c r="AI24" s="50">
        <v>1</v>
      </c>
      <c r="AJ24" t="s">
        <v>565</v>
      </c>
      <c r="AK24" s="50">
        <f>AK23+AI23+AI24</f>
        <v>10</v>
      </c>
      <c r="AM24" s="44" t="s">
        <v>563</v>
      </c>
      <c r="AN24">
        <v>2</v>
      </c>
      <c r="AO24" s="44" t="s">
        <v>564</v>
      </c>
      <c r="AP24" s="50">
        <v>1</v>
      </c>
      <c r="AQ24" t="s">
        <v>565</v>
      </c>
      <c r="AR24" s="50">
        <f>AR23+AP23+AP24</f>
        <v>13</v>
      </c>
      <c r="AT24" s="44" t="s">
        <v>563</v>
      </c>
      <c r="AU24" s="50">
        <v>2</v>
      </c>
      <c r="AV24" t="s">
        <v>564</v>
      </c>
      <c r="AW24" s="50">
        <v>1</v>
      </c>
      <c r="AX24" t="s">
        <v>565</v>
      </c>
      <c r="AY24" s="50">
        <f>AY23+AW23+AW24</f>
        <v>16</v>
      </c>
    </row>
    <row r="25" spans="5:51" ht="14.4">
      <c r="E25" s="321" t="s">
        <v>571</v>
      </c>
      <c r="F25" s="856">
        <f>IF(F29=F30,1,2)</f>
        <v>2</v>
      </c>
      <c r="G25" s="856">
        <f>IF(G29=G30,1,2)</f>
        <v>2</v>
      </c>
      <c r="H25" s="856">
        <f>IF(H29=H30,1,2)</f>
        <v>2</v>
      </c>
      <c r="I25" s="856">
        <f>IF(I29=I30,1,2)</f>
        <v>2</v>
      </c>
      <c r="J25" s="857">
        <f>IF(J29=J30,1,2)</f>
        <v>2</v>
      </c>
      <c r="R25" s="44"/>
      <c r="T25" s="44" t="s">
        <v>572</v>
      </c>
      <c r="U25" s="50">
        <v>8</v>
      </c>
      <c r="V25" t="s">
        <v>573</v>
      </c>
      <c r="W25" s="659">
        <f>F10</f>
        <v>416.52800000000002</v>
      </c>
      <c r="Y25" s="44"/>
      <c r="AA25" s="44" t="s">
        <v>574</v>
      </c>
      <c r="AB25" s="50">
        <v>8</v>
      </c>
      <c r="AC25" t="s">
        <v>573</v>
      </c>
      <c r="AD25" s="659">
        <f>G10</f>
        <v>760.952</v>
      </c>
      <c r="AF25" s="44" t="s">
        <v>567</v>
      </c>
      <c r="AG25">
        <v>16</v>
      </c>
      <c r="AH25" s="44" t="s">
        <v>570</v>
      </c>
      <c r="AI25" s="50">
        <v>8</v>
      </c>
      <c r="AJ25" t="s">
        <v>569</v>
      </c>
      <c r="AK25" s="659">
        <f>H7*3600/AK6</f>
        <v>1010.5263157894736</v>
      </c>
      <c r="AM25" s="44" t="s">
        <v>567</v>
      </c>
      <c r="AN25">
        <v>16</v>
      </c>
      <c r="AO25" s="44" t="s">
        <v>570</v>
      </c>
      <c r="AP25" s="50">
        <v>8</v>
      </c>
      <c r="AQ25" t="s">
        <v>569</v>
      </c>
      <c r="AR25" s="659">
        <f>I7*3600/AR6</f>
        <v>1500</v>
      </c>
      <c r="AT25" s="44" t="s">
        <v>567</v>
      </c>
      <c r="AU25" s="50">
        <v>16</v>
      </c>
      <c r="AV25" t="s">
        <v>570</v>
      </c>
      <c r="AW25" s="50">
        <v>8</v>
      </c>
      <c r="AX25" t="s">
        <v>569</v>
      </c>
      <c r="AY25" s="659">
        <f>J7*3600/AY6</f>
        <v>1846.1538461538462</v>
      </c>
    </row>
    <row r="26" spans="5:51" ht="14.4">
      <c r="E26" s="867" t="s">
        <v>575</v>
      </c>
      <c r="F26" s="866">
        <v>1</v>
      </c>
      <c r="G26" s="866">
        <v>1</v>
      </c>
      <c r="H26" s="866">
        <v>1</v>
      </c>
      <c r="I26" s="866">
        <v>1</v>
      </c>
      <c r="J26" s="868">
        <v>1</v>
      </c>
      <c r="R26" s="51"/>
      <c r="S26" s="35"/>
      <c r="T26" s="51"/>
      <c r="U26" s="61"/>
      <c r="V26" s="35" t="s">
        <v>552</v>
      </c>
      <c r="W26" s="660">
        <f>S13*W13+S20*W20</f>
        <v>0.99033816425120769</v>
      </c>
      <c r="Y26" s="51"/>
      <c r="Z26" s="35"/>
      <c r="AA26" s="51"/>
      <c r="AB26" s="61"/>
      <c r="AC26" s="35" t="s">
        <v>552</v>
      </c>
      <c r="AD26" s="660">
        <f>Z11*AD11+Z20*AD20</f>
        <v>0.9151785714285714</v>
      </c>
      <c r="AF26" s="44"/>
      <c r="AH26" s="44" t="s">
        <v>574</v>
      </c>
      <c r="AI26" s="50">
        <v>8</v>
      </c>
      <c r="AJ26" t="s">
        <v>573</v>
      </c>
      <c r="AK26" s="659">
        <f>H10</f>
        <v>1008.4640000000001</v>
      </c>
      <c r="AM26" s="44"/>
      <c r="AO26" s="44" t="s">
        <v>574</v>
      </c>
      <c r="AP26" s="50">
        <v>8</v>
      </c>
      <c r="AQ26" t="s">
        <v>576</v>
      </c>
      <c r="AR26" s="659">
        <f>I10</f>
        <v>1329.136</v>
      </c>
      <c r="AT26" s="44"/>
      <c r="AU26" s="50"/>
      <c r="AV26" t="s">
        <v>574</v>
      </c>
      <c r="AW26" s="50">
        <v>8</v>
      </c>
      <c r="AX26" t="s">
        <v>576</v>
      </c>
      <c r="AY26" s="659">
        <f>J10</f>
        <v>1806.3119999999999</v>
      </c>
    </row>
    <row r="27" spans="5:51" ht="14.4">
      <c r="E27" s="869" t="s">
        <v>577</v>
      </c>
      <c r="F27" s="870">
        <f>F25-F26</f>
        <v>1</v>
      </c>
      <c r="G27" s="870">
        <f>G25-G26</f>
        <v>1</v>
      </c>
      <c r="H27" s="870">
        <f>H25-H26</f>
        <v>1</v>
      </c>
      <c r="I27" s="870">
        <f>I25-I26</f>
        <v>1</v>
      </c>
      <c r="J27" s="871">
        <f>J25-J26</f>
        <v>1</v>
      </c>
      <c r="AF27" s="51"/>
      <c r="AG27" s="35"/>
      <c r="AH27" s="51"/>
      <c r="AI27" s="61"/>
      <c r="AJ27" s="35" t="s">
        <v>552</v>
      </c>
      <c r="AK27" s="660">
        <f>AG13*AK13+AG16*AK16+AG21*AK21</f>
        <v>0.89912280701754388</v>
      </c>
      <c r="AM27" s="51"/>
      <c r="AN27" s="35"/>
      <c r="AO27" s="51"/>
      <c r="AP27" s="61"/>
      <c r="AQ27" s="35" t="s">
        <v>552</v>
      </c>
      <c r="AR27" s="660">
        <f>AN13*AR13+AN16*AR16+AN21*AR21</f>
        <v>0.97064393939393934</v>
      </c>
      <c r="AT27" s="51"/>
      <c r="AU27" s="61"/>
      <c r="AV27" s="35"/>
      <c r="AW27" s="61"/>
      <c r="AX27" s="35" t="s">
        <v>552</v>
      </c>
      <c r="AY27" s="660">
        <f>AU14*AY14+AU16*AY16+AU21*AY21</f>
        <v>0.93864468864468864</v>
      </c>
    </row>
    <row r="28" spans="5:51" ht="14.4">
      <c r="E28" s="873" t="s">
        <v>578</v>
      </c>
      <c r="F28" s="874">
        <f>ROUNDUP(90/F12,0)</f>
        <v>2</v>
      </c>
      <c r="G28" s="874">
        <f>ROUNDUP(90/G12,0)</f>
        <v>3</v>
      </c>
      <c r="H28" s="874">
        <f>ROUNDUP(90/H12,0)</f>
        <v>4</v>
      </c>
      <c r="I28" s="874">
        <f>ROUNDUP(90/I12,0)</f>
        <v>5</v>
      </c>
      <c r="J28" s="875">
        <f>ROUNDUP(90/J12,0)</f>
        <v>6</v>
      </c>
      <c r="L28" s="1052"/>
      <c r="M28" s="319"/>
    </row>
    <row r="29" spans="5:51" ht="14.4">
      <c r="E29" s="321" t="s">
        <v>579</v>
      </c>
      <c r="F29" s="864">
        <f>MIN(F30:F31)</f>
        <v>2</v>
      </c>
      <c r="G29" s="864">
        <f>IF(F29&gt;=G31,F29,MIN(G30,G31))</f>
        <v>4</v>
      </c>
      <c r="H29" s="864">
        <f>IF(G29&gt;=H31,G29,MIN(H30,H31))</f>
        <v>5</v>
      </c>
      <c r="I29" s="864">
        <f>IF(H29&gt;=I31,H29,MIN(I30,I31))</f>
        <v>6</v>
      </c>
      <c r="J29" s="865">
        <f>IF(I29&gt;=J31,I29,MIN(J30,J31))</f>
        <v>8</v>
      </c>
    </row>
    <row r="30" spans="5:51" ht="14.4">
      <c r="E30" s="867" t="s">
        <v>580</v>
      </c>
      <c r="F30" s="872" cm="1">
        <f t="array" ref="F30">_xlfn.XLOOKUP(MIN(IF($F$40:$F$71-F10&gt;0,$F$40:$F$71)),$F$40:$F$71,$E$40:$E$71)</f>
        <v>4</v>
      </c>
      <c r="G30" s="872" cm="1">
        <f t="array" ref="G30">_xlfn.XLOOKUP(MIN(IF($F$40:$F$71-G10&gt;0,$F$40:$F$71)),$F$40:$F$71,$E$40:$E$71)</f>
        <v>8</v>
      </c>
      <c r="H30" s="872" cm="1">
        <f t="array" ref="H30">_xlfn.XLOOKUP(MIN(IF($F$40:$F$71-H10&gt;0,$F$40:$F$71)),$F$40:$F$71,$E$40:$E$71)</f>
        <v>9</v>
      </c>
      <c r="I30" s="872" cm="1">
        <f t="array" ref="I30">_xlfn.XLOOKUP(MIN(IF($F$40:$F$71-I10&gt;0,$F$40:$F$71)),$F$40:$F$71,$E$40:$E$71)</f>
        <v>12</v>
      </c>
      <c r="J30" s="872" cm="1">
        <f t="array" ref="J30">_xlfn.XLOOKUP(MIN(IF($F$40:$F$71-J10&gt;0,$F$40:$F$71)),$F$40:$F$71,$E$40:$E$71)</f>
        <v>16</v>
      </c>
    </row>
    <row r="31" spans="5:51" ht="14.4">
      <c r="E31" s="867" t="s">
        <v>581</v>
      </c>
      <c r="F31" s="872" cm="1">
        <f t="array" ref="F31">_xlfn.XLOOKUP(MIN(IF($G$40:$G$71-F10&gt;0,$G$40:$G$71)),$G$40:$G$71,$E$40:$E$71)</f>
        <v>2</v>
      </c>
      <c r="G31" s="872" cm="1">
        <f t="array" ref="G31">_xlfn.XLOOKUP(MIN(IF($G$40:$G$71-G10&gt;0,$G$40:$G$71)),$G$40:$G$71,$E$40:$E$71)</f>
        <v>4</v>
      </c>
      <c r="H31" s="872" cm="1">
        <f t="array" ref="H31">_xlfn.XLOOKUP(MIN(IF($G$40:$G$71-H10&gt;0,$G$40:$G$71)),$G$40:$G$71,$E$40:$E$71)</f>
        <v>5</v>
      </c>
      <c r="I31" s="872" cm="1">
        <f t="array" ref="I31">_xlfn.XLOOKUP(MIN(IF($G$40:$G$71-I10&gt;0,$G$40:$G$71)),$G$40:$G$71,$E$40:$E$71)</f>
        <v>6</v>
      </c>
      <c r="J31" s="872" cm="1">
        <f t="array" ref="J31">_xlfn.XLOOKUP(MIN(IF($G$40:$G$71-J10&gt;0,$G$40:$G$71)),$G$40:$G$71,$E$40:$E$71)</f>
        <v>8</v>
      </c>
      <c r="AQ31" s="24"/>
    </row>
    <row r="32" spans="5:51" ht="14.4">
      <c r="E32" s="59" t="s">
        <v>582</v>
      </c>
      <c r="F32" s="60">
        <f>IF(SUM($F$6:F6)&gt;$C$9,ROUNDUP(F29/4,0)*4*2,ROUNDUP(F29/4,0)*4)</f>
        <v>4</v>
      </c>
      <c r="G32" s="60">
        <f>IF(SUM($F$6:G6)&gt;$C$9,ROUNDUP(G29/4,0)*4*2,ROUNDUP(G29/4,0)*4)</f>
        <v>4</v>
      </c>
      <c r="H32" s="60">
        <f>IF(SUM($F$6:H6)&gt;$C$9,ROUNDUP(H29/4,0)*4*2,ROUNDUP(H29/4,0)*4)</f>
        <v>8</v>
      </c>
      <c r="I32" s="60">
        <f>IF(SUM($F$6:I6)&gt;$C$9,ROUNDUP(I29/4,0)*4*2,ROUNDUP(I29/4,0)*4)</f>
        <v>8</v>
      </c>
      <c r="J32" s="954">
        <f>IF(SUM($F$6:J6)&gt;$C$9,ROUNDUP(J29/4,0)*4*2,ROUNDUP(J29/4,0)*4)</f>
        <v>16</v>
      </c>
      <c r="AQ32" s="24"/>
    </row>
    <row r="33" spans="2:43" ht="14.4">
      <c r="R33" s="1210"/>
      <c r="S33" s="1210"/>
      <c r="T33" s="1210"/>
      <c r="U33" s="1210"/>
      <c r="AQ33" s="24"/>
    </row>
    <row r="34" spans="2:43" ht="14.4" customHeight="1">
      <c r="H34" s="1210"/>
      <c r="U34" s="483"/>
    </row>
    <row r="35" spans="2:43" ht="14.4" customHeight="1">
      <c r="R35" s="1210"/>
      <c r="S35" s="1210"/>
      <c r="T35" s="1210"/>
      <c r="U35" s="32"/>
    </row>
    <row r="36" spans="2:43" ht="14.4" customHeight="1">
      <c r="R36" s="484"/>
      <c r="S36" s="460"/>
      <c r="T36" s="460"/>
      <c r="U36" s="94"/>
      <c r="AQ36" s="24"/>
    </row>
    <row r="37" spans="2:43" ht="14.4" customHeight="1">
      <c r="E37" s="94"/>
      <c r="R37" s="485"/>
      <c r="S37" s="460"/>
      <c r="T37" s="460"/>
      <c r="U37" s="94"/>
      <c r="V37" s="24"/>
      <c r="AQ37" s="24"/>
    </row>
    <row r="38" spans="2:43" ht="14.4" customHeight="1">
      <c r="B38" s="38" t="s">
        <v>583</v>
      </c>
      <c r="C38" s="76" t="s">
        <v>584</v>
      </c>
      <c r="E38" s="1289" t="s">
        <v>585</v>
      </c>
      <c r="F38" s="1290"/>
      <c r="G38" s="1291"/>
      <c r="R38" s="485"/>
      <c r="S38" s="460"/>
      <c r="T38" s="460"/>
      <c r="U38" s="94"/>
      <c r="V38" s="24"/>
      <c r="AQ38" s="24"/>
    </row>
    <row r="39" spans="2:43" ht="14.4" customHeight="1">
      <c r="B39" s="127" t="s">
        <v>586</v>
      </c>
      <c r="C39" s="50">
        <v>60</v>
      </c>
      <c r="E39" s="240" t="s">
        <v>587</v>
      </c>
      <c r="F39" s="75" t="s">
        <v>588</v>
      </c>
      <c r="G39" s="75" t="s">
        <v>589</v>
      </c>
      <c r="H39" s="219" t="s">
        <v>590</v>
      </c>
      <c r="I39" s="709" t="s">
        <v>591</v>
      </c>
      <c r="J39" s="1073" t="s">
        <v>592</v>
      </c>
      <c r="R39" s="485"/>
      <c r="S39" s="460"/>
      <c r="T39" s="460"/>
      <c r="U39" s="94"/>
      <c r="V39" s="24"/>
    </row>
    <row r="40" spans="2:43" ht="14.4" customHeight="1">
      <c r="B40" s="127" t="s">
        <v>593</v>
      </c>
      <c r="C40" s="50">
        <v>210</v>
      </c>
      <c r="E40" s="932">
        <v>1</v>
      </c>
      <c r="F40">
        <f t="shared" ref="F40:F71" si="3">$C$39*J40+$C$40*I40+$C$41*H40</f>
        <v>60</v>
      </c>
      <c r="G40">
        <f>F40*2</f>
        <v>120</v>
      </c>
      <c r="H40" s="44">
        <f t="shared" ref="H40:H71" si="4">ROUNDDOWN(E40/4,0)</f>
        <v>0</v>
      </c>
      <c r="I40">
        <f t="shared" ref="I40:I71" si="5">ROUNDDOWN((E40-H40*4)/2,0)</f>
        <v>0</v>
      </c>
      <c r="J40" s="50">
        <f t="shared" ref="J40:J71" si="6">MOD(E40,2)</f>
        <v>1</v>
      </c>
      <c r="S40" s="460"/>
      <c r="T40" s="460"/>
    </row>
    <row r="41" spans="2:43" ht="14.4" customHeight="1">
      <c r="B41" s="127" t="s">
        <v>594</v>
      </c>
      <c r="C41" s="50">
        <v>480</v>
      </c>
      <c r="E41" s="962">
        <f>E40+1</f>
        <v>2</v>
      </c>
      <c r="F41">
        <f t="shared" si="3"/>
        <v>210</v>
      </c>
      <c r="G41">
        <f t="shared" ref="G41:G71" si="7">F41*2</f>
        <v>420</v>
      </c>
      <c r="H41" s="44">
        <f t="shared" si="4"/>
        <v>0</v>
      </c>
      <c r="I41">
        <f t="shared" si="5"/>
        <v>1</v>
      </c>
      <c r="J41" s="50">
        <f t="shared" si="6"/>
        <v>0</v>
      </c>
      <c r="R41" s="484"/>
      <c r="S41" s="486"/>
      <c r="T41" s="486"/>
      <c r="U41" s="484"/>
      <c r="V41" s="439"/>
      <c r="W41" s="941"/>
    </row>
    <row r="42" spans="2:43" ht="14.4" customHeight="1">
      <c r="B42" s="59" t="s">
        <v>595</v>
      </c>
      <c r="C42" s="39">
        <v>1</v>
      </c>
      <c r="E42" s="962">
        <f t="shared" ref="E42:E52" si="8">E41+1</f>
        <v>3</v>
      </c>
      <c r="F42">
        <f t="shared" si="3"/>
        <v>270</v>
      </c>
      <c r="G42">
        <f t="shared" si="7"/>
        <v>540</v>
      </c>
      <c r="H42" s="44">
        <f t="shared" si="4"/>
        <v>0</v>
      </c>
      <c r="I42">
        <f t="shared" si="5"/>
        <v>1</v>
      </c>
      <c r="J42" s="50">
        <f t="shared" si="6"/>
        <v>1</v>
      </c>
      <c r="R42" s="484"/>
      <c r="S42" s="460"/>
      <c r="T42" s="460"/>
      <c r="U42" s="94"/>
      <c r="V42" s="24"/>
      <c r="W42" s="395"/>
    </row>
    <row r="43" spans="2:43" ht="14.4">
      <c r="E43" s="962">
        <f t="shared" si="8"/>
        <v>4</v>
      </c>
      <c r="F43">
        <f t="shared" si="3"/>
        <v>480</v>
      </c>
      <c r="G43">
        <f t="shared" si="7"/>
        <v>960</v>
      </c>
      <c r="H43" s="44">
        <f t="shared" si="4"/>
        <v>1</v>
      </c>
      <c r="I43">
        <f t="shared" si="5"/>
        <v>0</v>
      </c>
      <c r="J43" s="50">
        <f t="shared" si="6"/>
        <v>0</v>
      </c>
      <c r="R43" s="940"/>
      <c r="S43" s="939"/>
      <c r="T43" s="939"/>
      <c r="U43" s="94"/>
      <c r="V43" s="24"/>
      <c r="W43" s="395"/>
    </row>
    <row r="44" spans="2:43" ht="14.4">
      <c r="E44" s="962">
        <f t="shared" si="8"/>
        <v>5</v>
      </c>
      <c r="F44">
        <f t="shared" si="3"/>
        <v>540</v>
      </c>
      <c r="G44">
        <f t="shared" si="7"/>
        <v>1080</v>
      </c>
      <c r="H44" s="44">
        <f t="shared" si="4"/>
        <v>1</v>
      </c>
      <c r="I44">
        <f t="shared" si="5"/>
        <v>0</v>
      </c>
      <c r="J44" s="50">
        <f t="shared" si="6"/>
        <v>1</v>
      </c>
      <c r="R44" s="485"/>
      <c r="S44" s="460"/>
      <c r="T44" s="460"/>
      <c r="U44" s="94"/>
      <c r="V44" s="24"/>
      <c r="W44" s="395"/>
    </row>
    <row r="45" spans="2:43" ht="14.4">
      <c r="E45" s="962">
        <f t="shared" si="8"/>
        <v>6</v>
      </c>
      <c r="F45">
        <f t="shared" si="3"/>
        <v>690</v>
      </c>
      <c r="G45">
        <f t="shared" si="7"/>
        <v>1380</v>
      </c>
      <c r="H45" s="44">
        <f t="shared" si="4"/>
        <v>1</v>
      </c>
      <c r="I45">
        <f t="shared" si="5"/>
        <v>1</v>
      </c>
      <c r="J45" s="50">
        <f t="shared" si="6"/>
        <v>0</v>
      </c>
      <c r="Q45" t="s">
        <v>596</v>
      </c>
      <c r="R45" s="938"/>
      <c r="S45" s="939"/>
      <c r="T45" s="939"/>
      <c r="U45" s="94"/>
      <c r="V45" s="24"/>
      <c r="W45" s="395"/>
    </row>
    <row r="46" spans="2:43" ht="14.4">
      <c r="E46" s="962">
        <f t="shared" si="8"/>
        <v>7</v>
      </c>
      <c r="F46">
        <f t="shared" si="3"/>
        <v>750</v>
      </c>
      <c r="G46">
        <f t="shared" si="7"/>
        <v>1500</v>
      </c>
      <c r="H46" s="44">
        <f t="shared" si="4"/>
        <v>1</v>
      </c>
      <c r="I46">
        <f t="shared" si="5"/>
        <v>1</v>
      </c>
      <c r="J46" s="50">
        <f t="shared" si="6"/>
        <v>1</v>
      </c>
      <c r="R46" s="6"/>
      <c r="S46" s="460"/>
      <c r="T46" s="460"/>
      <c r="U46" s="94"/>
      <c r="V46" s="24"/>
      <c r="W46" s="395"/>
    </row>
    <row r="47" spans="2:43" ht="14.4">
      <c r="E47" s="962">
        <f t="shared" si="8"/>
        <v>8</v>
      </c>
      <c r="F47">
        <f t="shared" si="3"/>
        <v>960</v>
      </c>
      <c r="G47">
        <f t="shared" si="7"/>
        <v>1920</v>
      </c>
      <c r="H47" s="44">
        <f t="shared" si="4"/>
        <v>2</v>
      </c>
      <c r="I47">
        <f t="shared" si="5"/>
        <v>0</v>
      </c>
      <c r="J47" s="50">
        <f t="shared" si="6"/>
        <v>0</v>
      </c>
      <c r="S47" s="460"/>
      <c r="T47" s="460"/>
      <c r="U47" s="94"/>
      <c r="V47" s="24"/>
      <c r="W47" s="395"/>
    </row>
    <row r="48" spans="2:43" ht="14.4">
      <c r="E48" s="962">
        <f t="shared" si="8"/>
        <v>9</v>
      </c>
      <c r="F48">
        <f t="shared" si="3"/>
        <v>1020</v>
      </c>
      <c r="G48">
        <f t="shared" si="7"/>
        <v>2040</v>
      </c>
      <c r="H48" s="44">
        <f t="shared" si="4"/>
        <v>2</v>
      </c>
      <c r="I48">
        <f t="shared" si="5"/>
        <v>0</v>
      </c>
      <c r="J48" s="50">
        <f t="shared" si="6"/>
        <v>1</v>
      </c>
      <c r="R48" s="32"/>
      <c r="S48" s="486"/>
      <c r="T48" s="486"/>
      <c r="U48" s="484"/>
      <c r="V48" s="439"/>
      <c r="W48" s="941"/>
    </row>
    <row r="49" spans="5:23" ht="14.4">
      <c r="E49" s="962">
        <f t="shared" si="8"/>
        <v>10</v>
      </c>
      <c r="F49">
        <f t="shared" si="3"/>
        <v>1170</v>
      </c>
      <c r="G49">
        <f t="shared" si="7"/>
        <v>2340</v>
      </c>
      <c r="H49" s="44">
        <f t="shared" si="4"/>
        <v>2</v>
      </c>
      <c r="I49">
        <f t="shared" si="5"/>
        <v>1</v>
      </c>
      <c r="J49" s="50">
        <f t="shared" si="6"/>
        <v>0</v>
      </c>
      <c r="R49" s="32"/>
      <c r="S49" s="460"/>
      <c r="T49" s="460"/>
      <c r="U49" s="94"/>
      <c r="V49" s="24"/>
      <c r="W49" s="395"/>
    </row>
    <row r="50" spans="5:23" ht="14.4">
      <c r="E50" s="962">
        <f t="shared" si="8"/>
        <v>11</v>
      </c>
      <c r="F50">
        <f t="shared" si="3"/>
        <v>1230</v>
      </c>
      <c r="G50">
        <f t="shared" si="7"/>
        <v>2460</v>
      </c>
      <c r="H50" s="44">
        <f t="shared" si="4"/>
        <v>2</v>
      </c>
      <c r="I50">
        <f t="shared" si="5"/>
        <v>1</v>
      </c>
      <c r="J50" s="50">
        <f t="shared" si="6"/>
        <v>1</v>
      </c>
      <c r="R50" s="32"/>
      <c r="S50" s="486"/>
      <c r="T50" s="486"/>
      <c r="U50" s="484"/>
      <c r="V50" s="439"/>
      <c r="W50" s="941"/>
    </row>
    <row r="51" spans="5:23" ht="14.4">
      <c r="E51" s="962">
        <f t="shared" si="8"/>
        <v>12</v>
      </c>
      <c r="F51">
        <f t="shared" si="3"/>
        <v>1440</v>
      </c>
      <c r="G51">
        <f t="shared" si="7"/>
        <v>2880</v>
      </c>
      <c r="H51" s="44">
        <f t="shared" si="4"/>
        <v>3</v>
      </c>
      <c r="I51">
        <f t="shared" si="5"/>
        <v>0</v>
      </c>
      <c r="J51" s="50">
        <f t="shared" si="6"/>
        <v>0</v>
      </c>
      <c r="R51" s="32"/>
      <c r="S51" s="460"/>
      <c r="T51" s="460"/>
      <c r="U51" s="94"/>
      <c r="V51" s="24"/>
      <c r="W51" s="395"/>
    </row>
    <row r="52" spans="5:23" ht="14.4">
      <c r="E52" s="962">
        <f t="shared" si="8"/>
        <v>13</v>
      </c>
      <c r="F52">
        <f t="shared" si="3"/>
        <v>1500</v>
      </c>
      <c r="G52">
        <f t="shared" si="7"/>
        <v>3000</v>
      </c>
      <c r="H52" s="44">
        <f t="shared" si="4"/>
        <v>3</v>
      </c>
      <c r="I52">
        <f t="shared" si="5"/>
        <v>0</v>
      </c>
      <c r="J52" s="50">
        <f t="shared" si="6"/>
        <v>1</v>
      </c>
      <c r="S52" s="488"/>
      <c r="T52" s="488"/>
      <c r="U52" s="94"/>
      <c r="V52" s="24"/>
      <c r="W52" s="395"/>
    </row>
    <row r="53" spans="5:23" ht="14.4">
      <c r="E53" s="962">
        <f>E52+1</f>
        <v>14</v>
      </c>
      <c r="F53">
        <f t="shared" si="3"/>
        <v>1650</v>
      </c>
      <c r="G53">
        <f t="shared" si="7"/>
        <v>3300</v>
      </c>
      <c r="H53" s="44">
        <f t="shared" si="4"/>
        <v>3</v>
      </c>
      <c r="I53">
        <f t="shared" si="5"/>
        <v>1</v>
      </c>
      <c r="J53" s="50">
        <f t="shared" si="6"/>
        <v>0</v>
      </c>
      <c r="S53" s="488"/>
      <c r="T53" s="488"/>
      <c r="U53" s="94"/>
      <c r="V53" s="24"/>
      <c r="W53" s="395"/>
    </row>
    <row r="54" spans="5:23" ht="14.4">
      <c r="E54" s="962">
        <f t="shared" ref="E54:E62" si="9">E53+1</f>
        <v>15</v>
      </c>
      <c r="F54">
        <f t="shared" si="3"/>
        <v>1710</v>
      </c>
      <c r="G54">
        <f t="shared" si="7"/>
        <v>3420</v>
      </c>
      <c r="H54" s="44">
        <f t="shared" si="4"/>
        <v>3</v>
      </c>
      <c r="I54">
        <f t="shared" si="5"/>
        <v>1</v>
      </c>
      <c r="J54" s="50">
        <f t="shared" si="6"/>
        <v>1</v>
      </c>
      <c r="S54" s="66"/>
      <c r="T54" s="66"/>
      <c r="U54" s="94"/>
      <c r="V54" s="24"/>
      <c r="W54" s="395"/>
    </row>
    <row r="55" spans="5:23" ht="14.4">
      <c r="E55" s="962">
        <f t="shared" si="9"/>
        <v>16</v>
      </c>
      <c r="F55">
        <f t="shared" si="3"/>
        <v>1920</v>
      </c>
      <c r="G55">
        <f t="shared" si="7"/>
        <v>3840</v>
      </c>
      <c r="H55" s="44">
        <f t="shared" si="4"/>
        <v>4</v>
      </c>
      <c r="I55">
        <f t="shared" si="5"/>
        <v>0</v>
      </c>
      <c r="J55" s="50">
        <f t="shared" si="6"/>
        <v>0</v>
      </c>
      <c r="R55" s="32"/>
      <c r="S55" s="32"/>
      <c r="T55" s="32"/>
      <c r="U55" s="484"/>
      <c r="V55" s="439"/>
      <c r="W55" s="487"/>
    </row>
    <row r="56" spans="5:23" ht="14.4">
      <c r="E56" s="962">
        <f t="shared" si="9"/>
        <v>17</v>
      </c>
      <c r="F56">
        <f t="shared" si="3"/>
        <v>1980</v>
      </c>
      <c r="G56">
        <f t="shared" si="7"/>
        <v>3960</v>
      </c>
      <c r="H56" s="44">
        <f t="shared" si="4"/>
        <v>4</v>
      </c>
      <c r="I56">
        <f t="shared" si="5"/>
        <v>0</v>
      </c>
      <c r="J56" s="50">
        <f t="shared" si="6"/>
        <v>1</v>
      </c>
      <c r="R56" s="32"/>
      <c r="S56" s="24"/>
      <c r="T56" s="24"/>
      <c r="U56" s="94"/>
      <c r="V56" s="24"/>
      <c r="W56" s="23"/>
    </row>
    <row r="57" spans="5:23" ht="15" customHeight="1">
      <c r="E57" s="962">
        <f t="shared" si="9"/>
        <v>18</v>
      </c>
      <c r="F57">
        <f t="shared" si="3"/>
        <v>2130</v>
      </c>
      <c r="G57">
        <f t="shared" si="7"/>
        <v>4260</v>
      </c>
      <c r="H57" s="44">
        <f t="shared" si="4"/>
        <v>4</v>
      </c>
      <c r="I57">
        <f t="shared" si="5"/>
        <v>1</v>
      </c>
      <c r="J57" s="50">
        <f t="shared" si="6"/>
        <v>0</v>
      </c>
    </row>
    <row r="58" spans="5:23" ht="15" customHeight="1">
      <c r="E58" s="962">
        <f t="shared" si="9"/>
        <v>19</v>
      </c>
      <c r="F58">
        <f t="shared" si="3"/>
        <v>2190</v>
      </c>
      <c r="G58">
        <f t="shared" si="7"/>
        <v>4380</v>
      </c>
      <c r="H58" s="44">
        <f t="shared" si="4"/>
        <v>4</v>
      </c>
      <c r="I58">
        <f t="shared" si="5"/>
        <v>1</v>
      </c>
      <c r="J58" s="50">
        <f t="shared" si="6"/>
        <v>1</v>
      </c>
    </row>
    <row r="59" spans="5:23" ht="15" customHeight="1">
      <c r="E59" s="962">
        <f t="shared" si="9"/>
        <v>20</v>
      </c>
      <c r="F59">
        <f t="shared" si="3"/>
        <v>2400</v>
      </c>
      <c r="G59">
        <f t="shared" si="7"/>
        <v>4800</v>
      </c>
      <c r="H59" s="44">
        <f t="shared" si="4"/>
        <v>5</v>
      </c>
      <c r="I59">
        <f t="shared" si="5"/>
        <v>0</v>
      </c>
      <c r="J59" s="50">
        <f t="shared" si="6"/>
        <v>0</v>
      </c>
    </row>
    <row r="60" spans="5:23" ht="15" customHeight="1">
      <c r="E60" s="962">
        <f t="shared" si="9"/>
        <v>21</v>
      </c>
      <c r="F60">
        <f t="shared" si="3"/>
        <v>2460</v>
      </c>
      <c r="G60">
        <f t="shared" si="7"/>
        <v>4920</v>
      </c>
      <c r="H60" s="44">
        <f t="shared" si="4"/>
        <v>5</v>
      </c>
      <c r="I60">
        <f t="shared" si="5"/>
        <v>0</v>
      </c>
      <c r="J60" s="50">
        <f t="shared" si="6"/>
        <v>1</v>
      </c>
    </row>
    <row r="61" spans="5:23" ht="15" customHeight="1">
      <c r="E61" s="962">
        <f t="shared" si="9"/>
        <v>22</v>
      </c>
      <c r="F61">
        <f t="shared" si="3"/>
        <v>2610</v>
      </c>
      <c r="G61">
        <f t="shared" si="7"/>
        <v>5220</v>
      </c>
      <c r="H61" s="44">
        <f t="shared" si="4"/>
        <v>5</v>
      </c>
      <c r="I61">
        <f t="shared" si="5"/>
        <v>1</v>
      </c>
      <c r="J61" s="50">
        <f t="shared" si="6"/>
        <v>0</v>
      </c>
    </row>
    <row r="62" spans="5:23" ht="15" customHeight="1">
      <c r="E62" s="962">
        <f t="shared" si="9"/>
        <v>23</v>
      </c>
      <c r="F62">
        <f t="shared" si="3"/>
        <v>2670</v>
      </c>
      <c r="G62">
        <f t="shared" si="7"/>
        <v>5340</v>
      </c>
      <c r="H62" s="44">
        <f t="shared" si="4"/>
        <v>5</v>
      </c>
      <c r="I62">
        <f t="shared" si="5"/>
        <v>1</v>
      </c>
      <c r="J62" s="50">
        <f t="shared" si="6"/>
        <v>1</v>
      </c>
    </row>
    <row r="63" spans="5:23" ht="15" customHeight="1">
      <c r="E63" s="962">
        <f t="shared" ref="E63:E71" si="10">E62+1</f>
        <v>24</v>
      </c>
      <c r="F63">
        <f t="shared" si="3"/>
        <v>2880</v>
      </c>
      <c r="G63">
        <f t="shared" si="7"/>
        <v>5760</v>
      </c>
      <c r="H63" s="44">
        <f t="shared" si="4"/>
        <v>6</v>
      </c>
      <c r="I63">
        <f t="shared" si="5"/>
        <v>0</v>
      </c>
      <c r="J63" s="50">
        <f t="shared" si="6"/>
        <v>0</v>
      </c>
    </row>
    <row r="64" spans="5:23" ht="15" customHeight="1">
      <c r="E64" s="962">
        <f t="shared" si="10"/>
        <v>25</v>
      </c>
      <c r="F64">
        <f t="shared" si="3"/>
        <v>2940</v>
      </c>
      <c r="G64">
        <f t="shared" si="7"/>
        <v>5880</v>
      </c>
      <c r="H64" s="44">
        <f t="shared" si="4"/>
        <v>6</v>
      </c>
      <c r="I64">
        <f t="shared" si="5"/>
        <v>0</v>
      </c>
      <c r="J64" s="50">
        <f t="shared" si="6"/>
        <v>1</v>
      </c>
    </row>
    <row r="65" spans="5:10" ht="15" customHeight="1">
      <c r="E65" s="962">
        <f t="shared" si="10"/>
        <v>26</v>
      </c>
      <c r="F65">
        <f t="shared" si="3"/>
        <v>3090</v>
      </c>
      <c r="G65">
        <f t="shared" si="7"/>
        <v>6180</v>
      </c>
      <c r="H65" s="44">
        <f t="shared" si="4"/>
        <v>6</v>
      </c>
      <c r="I65">
        <f t="shared" si="5"/>
        <v>1</v>
      </c>
      <c r="J65" s="50">
        <f t="shared" si="6"/>
        <v>0</v>
      </c>
    </row>
    <row r="66" spans="5:10" ht="15" customHeight="1">
      <c r="E66" s="962">
        <f t="shared" si="10"/>
        <v>27</v>
      </c>
      <c r="F66">
        <f t="shared" si="3"/>
        <v>3150</v>
      </c>
      <c r="G66">
        <f t="shared" si="7"/>
        <v>6300</v>
      </c>
      <c r="H66" s="44">
        <f t="shared" si="4"/>
        <v>6</v>
      </c>
      <c r="I66">
        <f t="shared" si="5"/>
        <v>1</v>
      </c>
      <c r="J66" s="50">
        <f t="shared" si="6"/>
        <v>1</v>
      </c>
    </row>
    <row r="67" spans="5:10" ht="15" customHeight="1">
      <c r="E67" s="962">
        <f t="shared" si="10"/>
        <v>28</v>
      </c>
      <c r="F67">
        <f t="shared" si="3"/>
        <v>3360</v>
      </c>
      <c r="G67">
        <f t="shared" si="7"/>
        <v>6720</v>
      </c>
      <c r="H67" s="44">
        <f t="shared" si="4"/>
        <v>7</v>
      </c>
      <c r="I67">
        <f t="shared" si="5"/>
        <v>0</v>
      </c>
      <c r="J67" s="50">
        <f t="shared" si="6"/>
        <v>0</v>
      </c>
    </row>
    <row r="68" spans="5:10" ht="15" customHeight="1">
      <c r="E68" s="962">
        <f t="shared" si="10"/>
        <v>29</v>
      </c>
      <c r="F68">
        <f t="shared" si="3"/>
        <v>3420</v>
      </c>
      <c r="G68">
        <f t="shared" si="7"/>
        <v>6840</v>
      </c>
      <c r="H68" s="44">
        <f t="shared" si="4"/>
        <v>7</v>
      </c>
      <c r="I68">
        <f t="shared" si="5"/>
        <v>0</v>
      </c>
      <c r="J68" s="50">
        <f t="shared" si="6"/>
        <v>1</v>
      </c>
    </row>
    <row r="69" spans="5:10" ht="15" customHeight="1">
      <c r="E69" s="962">
        <f t="shared" si="10"/>
        <v>30</v>
      </c>
      <c r="F69">
        <f t="shared" si="3"/>
        <v>3570</v>
      </c>
      <c r="G69">
        <f t="shared" si="7"/>
        <v>7140</v>
      </c>
      <c r="H69" s="44">
        <f t="shared" si="4"/>
        <v>7</v>
      </c>
      <c r="I69">
        <f t="shared" si="5"/>
        <v>1</v>
      </c>
      <c r="J69" s="50">
        <f t="shared" si="6"/>
        <v>0</v>
      </c>
    </row>
    <row r="70" spans="5:10" ht="15" customHeight="1">
      <c r="E70" s="962">
        <f t="shared" si="10"/>
        <v>31</v>
      </c>
      <c r="F70">
        <f t="shared" si="3"/>
        <v>3630</v>
      </c>
      <c r="G70">
        <f t="shared" si="7"/>
        <v>7260</v>
      </c>
      <c r="H70" s="44">
        <f t="shared" si="4"/>
        <v>7</v>
      </c>
      <c r="I70">
        <f t="shared" si="5"/>
        <v>1</v>
      </c>
      <c r="J70" s="50">
        <f t="shared" si="6"/>
        <v>1</v>
      </c>
    </row>
    <row r="71" spans="5:10" ht="15" customHeight="1">
      <c r="E71" s="849">
        <f t="shared" si="10"/>
        <v>32</v>
      </c>
      <c r="F71" s="35">
        <f t="shared" si="3"/>
        <v>3840</v>
      </c>
      <c r="G71" s="35">
        <f t="shared" si="7"/>
        <v>7680</v>
      </c>
      <c r="H71" s="51">
        <f t="shared" si="4"/>
        <v>8</v>
      </c>
      <c r="I71" s="35">
        <f t="shared" si="5"/>
        <v>0</v>
      </c>
      <c r="J71" s="61">
        <f t="shared" si="6"/>
        <v>0</v>
      </c>
    </row>
  </sheetData>
  <mergeCells count="23">
    <mergeCell ref="AX22:AY22"/>
    <mergeCell ref="T10:T11"/>
    <mergeCell ref="AH10:AH11"/>
    <mergeCell ref="AV8:AV9"/>
    <mergeCell ref="E38:G38"/>
    <mergeCell ref="M22:N22"/>
    <mergeCell ref="M21:N21"/>
    <mergeCell ref="T16:T19"/>
    <mergeCell ref="AA16:AA19"/>
    <mergeCell ref="AO17:AO20"/>
    <mergeCell ref="R5:W5"/>
    <mergeCell ref="Y5:AD5"/>
    <mergeCell ref="AF5:AK5"/>
    <mergeCell ref="AM5:AR5"/>
    <mergeCell ref="AV17:AV20"/>
    <mergeCell ref="AA8:AA9"/>
    <mergeCell ref="AA12:AA13"/>
    <mergeCell ref="T8:T9"/>
    <mergeCell ref="AT5:AY5"/>
    <mergeCell ref="AH8:AH9"/>
    <mergeCell ref="AO8:AO9"/>
    <mergeCell ref="AH17:AH20"/>
    <mergeCell ref="AV12:AV13"/>
  </mergeCells>
  <hyperlinks>
    <hyperlink ref="A3" location="'Index'!A1" display="Back to Index" xr:uid="{105E658B-B0F6-4019-89F9-ECF67A65CD05}"/>
  </hyperlinks>
  <pageMargins left="0.7" right="0.7" top="0.75" bottom="0.75" header="0.3" footer="0.3"/>
  <ignoredErrors>
    <ignoredError sqref="O22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E2D5-58CA-4FC4-A44E-1837F29CE313}">
  <sheetPr>
    <tabColor rgb="FF00B0F0"/>
  </sheetPr>
  <dimension ref="A1:BC79"/>
  <sheetViews>
    <sheetView topLeftCell="D2" zoomScale="70" zoomScaleNormal="70" workbookViewId="0">
      <selection activeCell="I22" sqref="I22"/>
    </sheetView>
  </sheetViews>
  <sheetFormatPr defaultColWidth="8.88671875" defaultRowHeight="15" customHeight="1"/>
  <cols>
    <col min="2" max="2" width="25.6640625" customWidth="1"/>
    <col min="3" max="3" width="12.6640625" customWidth="1"/>
    <col min="5" max="5" width="25.88671875" customWidth="1"/>
    <col min="6" max="8" width="12.6640625" customWidth="1"/>
    <col min="9" max="9" width="14.5546875" bestFit="1" customWidth="1"/>
    <col min="10" max="10" width="12.6640625" customWidth="1"/>
    <col min="13" max="13" width="23.6640625" customWidth="1"/>
    <col min="14" max="14" width="15.6640625" customWidth="1"/>
    <col min="15" max="15" width="9.109375" customWidth="1"/>
    <col min="17" max="17" width="19.44140625" customWidth="1"/>
    <col min="18" max="18" width="11.44140625" bestFit="1" customWidth="1"/>
    <col min="20" max="20" width="20.44140625" customWidth="1"/>
    <col min="21" max="34" width="10.6640625" customWidth="1"/>
    <col min="36" max="36" width="17.44140625" customWidth="1"/>
    <col min="37" max="37" width="11" customWidth="1"/>
    <col min="39" max="39" width="21.6640625" customWidth="1"/>
    <col min="40" max="40" width="18.88671875" customWidth="1"/>
    <col min="41" max="41" width="11.88671875" bestFit="1" customWidth="1"/>
    <col min="42" max="42" width="18.6640625" bestFit="1" customWidth="1"/>
    <col min="43" max="44" width="10.5546875" customWidth="1"/>
    <col min="45" max="45" width="11.44140625" customWidth="1"/>
    <col min="47" max="47" width="28.44140625" bestFit="1" customWidth="1"/>
    <col min="48" max="48" width="18.88671875" customWidth="1"/>
    <col min="49" max="49" width="15.5546875" bestFit="1" customWidth="1"/>
    <col min="52" max="52" width="13.6640625" bestFit="1" customWidth="1"/>
  </cols>
  <sheetData>
    <row r="1" spans="1:49" ht="28.8">
      <c r="A1" s="1" t="s">
        <v>14</v>
      </c>
    </row>
    <row r="2" spans="1:49" ht="18">
      <c r="A2" s="1143" t="s">
        <v>597</v>
      </c>
    </row>
    <row r="3" spans="1:49" ht="14.4" customHeight="1">
      <c r="A3" s="284" t="s">
        <v>32</v>
      </c>
    </row>
    <row r="4" spans="1:49" ht="14.4" customHeight="1">
      <c r="B4" s="284"/>
    </row>
    <row r="5" spans="1:49" ht="14.4"/>
    <row r="6" spans="1:49" ht="30" customHeight="1">
      <c r="B6" s="1261" t="s">
        <v>299</v>
      </c>
      <c r="C6" s="1262"/>
      <c r="E6" s="92"/>
      <c r="F6" s="340" t="s">
        <v>157</v>
      </c>
      <c r="G6" s="340" t="s">
        <v>158</v>
      </c>
      <c r="H6" s="340" t="s">
        <v>159</v>
      </c>
      <c r="I6" s="340" t="s">
        <v>160</v>
      </c>
      <c r="J6" s="341" t="s">
        <v>161</v>
      </c>
      <c r="M6" s="1161" t="s">
        <v>75</v>
      </c>
      <c r="N6" s="1161"/>
      <c r="O6" s="1161"/>
      <c r="P6" s="1161"/>
      <c r="Q6" s="1161"/>
      <c r="R6" s="1161"/>
      <c r="S6" s="1161"/>
      <c r="T6" s="1161"/>
      <c r="U6" s="1161"/>
      <c r="V6" s="1161"/>
      <c r="W6" s="1161"/>
      <c r="X6" s="1161"/>
      <c r="Y6" s="1161"/>
      <c r="Z6" s="1161"/>
      <c r="AA6" s="1161"/>
      <c r="AB6" s="1161"/>
      <c r="AC6" s="1161"/>
      <c r="AD6" s="1161"/>
      <c r="AE6" s="1161"/>
      <c r="AF6" s="1161"/>
      <c r="AG6" s="1161"/>
      <c r="AH6" s="1161"/>
      <c r="AI6" s="1161"/>
      <c r="AJ6" s="1161"/>
      <c r="AK6" s="1161"/>
      <c r="AM6" s="1295"/>
      <c r="AN6" s="1295"/>
      <c r="AO6" s="1295"/>
      <c r="AP6" s="1295"/>
    </row>
    <row r="7" spans="1:49" ht="14.4" customHeight="1">
      <c r="B7" s="44" t="s">
        <v>429</v>
      </c>
      <c r="C7" s="947">
        <f>'Operations Assumptions'!C40</f>
        <v>0.97</v>
      </c>
      <c r="E7" s="335" t="s">
        <v>598</v>
      </c>
      <c r="F7" s="329">
        <f>N14</f>
        <v>154889.57745480162</v>
      </c>
      <c r="G7" s="330">
        <f>N29</f>
        <v>253325.27542186211</v>
      </c>
      <c r="H7" s="330">
        <f>N44</f>
        <v>325867.21972707554</v>
      </c>
      <c r="I7" s="330">
        <f>N59</f>
        <v>419210.28336198558</v>
      </c>
      <c r="J7" s="331">
        <f>N74</f>
        <v>551821.61324741202</v>
      </c>
      <c r="M7" s="32"/>
      <c r="AM7" s="32"/>
      <c r="AN7" s="32"/>
      <c r="AO7" s="32"/>
      <c r="AP7" s="32"/>
    </row>
    <row r="8" spans="1:49" ht="14.4" customHeight="1">
      <c r="B8" s="44" t="s">
        <v>599</v>
      </c>
      <c r="C8" s="1010">
        <f>_xlfn.NORM.S.INV(C7+(1-C7)/2)</f>
        <v>2.1700903775845601</v>
      </c>
      <c r="E8" s="326" t="s">
        <v>600</v>
      </c>
      <c r="F8" s="327">
        <f>N11</f>
        <v>69133.070743801567</v>
      </c>
      <c r="G8" s="34">
        <f>N26</f>
        <v>119007.86803908748</v>
      </c>
      <c r="H8" s="34">
        <f>N41</f>
        <v>154132.71748722729</v>
      </c>
      <c r="I8" s="34">
        <f>N56</f>
        <v>199115.16812077558</v>
      </c>
      <c r="J8" s="18">
        <f>N71</f>
        <v>265340.71482623293</v>
      </c>
      <c r="N8" s="32"/>
      <c r="O8" s="32"/>
      <c r="AN8" s="40"/>
      <c r="AP8" s="24"/>
      <c r="AR8" s="6"/>
      <c r="AV8" s="32"/>
      <c r="AW8" s="32"/>
    </row>
    <row r="9" spans="1:49" ht="14.4" customHeight="1">
      <c r="B9" s="44" t="s">
        <v>601</v>
      </c>
      <c r="C9" s="947">
        <f>'Operations Assumptions'!C46</f>
        <v>0.3</v>
      </c>
      <c r="E9" s="326" t="s">
        <v>602</v>
      </c>
      <c r="F9" s="327">
        <f>N12</f>
        <v>12150.674483333334</v>
      </c>
      <c r="G9" s="34">
        <f>N27</f>
        <v>19727.856905051147</v>
      </c>
      <c r="H9" s="34">
        <f>N42</f>
        <v>25464.605844687569</v>
      </c>
      <c r="I9" s="34">
        <f>N57</f>
        <v>32884.423245878905</v>
      </c>
      <c r="J9" s="18">
        <f>N72</f>
        <v>43320.741223463388</v>
      </c>
      <c r="Q9" s="1193" t="s">
        <v>576</v>
      </c>
      <c r="R9" s="1194"/>
      <c r="T9" s="93" t="s">
        <v>603</v>
      </c>
      <c r="U9" s="1182" t="s">
        <v>604</v>
      </c>
      <c r="V9" s="1182"/>
      <c r="W9" s="1182" t="s">
        <v>605</v>
      </c>
      <c r="X9" s="1182"/>
      <c r="Y9" s="1182" t="s">
        <v>606</v>
      </c>
      <c r="Z9" s="1182"/>
      <c r="AA9" s="104"/>
      <c r="AB9" s="1182" t="s">
        <v>607</v>
      </c>
      <c r="AC9" s="1182"/>
      <c r="AD9" s="1182" t="s">
        <v>608</v>
      </c>
      <c r="AE9" s="1182"/>
      <c r="AF9" s="1182" t="s">
        <v>609</v>
      </c>
      <c r="AG9" s="1182"/>
      <c r="AH9" s="1182"/>
      <c r="AJ9" s="1193" t="s">
        <v>482</v>
      </c>
      <c r="AK9" s="1194"/>
      <c r="AN9" s="40"/>
      <c r="AO9" s="40"/>
      <c r="AR9" s="6"/>
    </row>
    <row r="10" spans="1:49" ht="14.4" customHeight="1">
      <c r="B10" s="44" t="s">
        <v>610</v>
      </c>
      <c r="C10" s="956">
        <f>'Operations Assumptions'!C47</f>
        <v>40</v>
      </c>
      <c r="E10" s="326" t="s">
        <v>611</v>
      </c>
      <c r="F10" s="327">
        <f>N13</f>
        <v>73605.832227666717</v>
      </c>
      <c r="G10" s="34">
        <f>N28</f>
        <v>114589.55047772347</v>
      </c>
      <c r="H10" s="34">
        <f>N43</f>
        <v>146269.8963951607</v>
      </c>
      <c r="I10" s="34">
        <f>N58</f>
        <v>187210.69199533112</v>
      </c>
      <c r="J10" s="18">
        <f>N73</f>
        <v>243160.15719771574</v>
      </c>
      <c r="M10" s="1218" t="s">
        <v>612</v>
      </c>
      <c r="N10" s="1157"/>
      <c r="O10" s="343"/>
      <c r="Q10" s="221" t="s">
        <v>613</v>
      </c>
      <c r="R10" s="222">
        <f>'BASES Model'!C16</f>
        <v>104132</v>
      </c>
      <c r="T10" s="632" t="s">
        <v>614</v>
      </c>
      <c r="U10" s="633" t="s">
        <v>276</v>
      </c>
      <c r="V10" s="634" t="s">
        <v>615</v>
      </c>
      <c r="W10" s="314" t="s">
        <v>616</v>
      </c>
      <c r="X10" s="318" t="s">
        <v>617</v>
      </c>
      <c r="Y10" s="316" t="s">
        <v>618</v>
      </c>
      <c r="Z10" s="316" t="s">
        <v>619</v>
      </c>
      <c r="AA10" s="314" t="s">
        <v>620</v>
      </c>
      <c r="AB10" s="315" t="s">
        <v>621</v>
      </c>
      <c r="AC10" s="317" t="s">
        <v>622</v>
      </c>
      <c r="AD10" s="316" t="s">
        <v>623</v>
      </c>
      <c r="AE10" s="316" t="s">
        <v>624</v>
      </c>
      <c r="AF10" s="315" t="s">
        <v>625</v>
      </c>
      <c r="AG10" s="317" t="s">
        <v>130</v>
      </c>
      <c r="AH10" s="318" t="s">
        <v>183</v>
      </c>
      <c r="AJ10" s="44" t="s">
        <v>626</v>
      </c>
      <c r="AK10" s="84">
        <f>R14*$C$11</f>
        <v>2169.416666666667</v>
      </c>
      <c r="AN10" s="40"/>
      <c r="AO10" s="40"/>
    </row>
    <row r="11" spans="1:49" ht="15.6">
      <c r="B11" s="51" t="s">
        <v>627</v>
      </c>
      <c r="C11" s="929">
        <f>'Operations Assumptions'!C48</f>
        <v>1</v>
      </c>
      <c r="E11" s="338"/>
      <c r="F11" s="336"/>
      <c r="G11" s="336"/>
      <c r="H11" s="336"/>
      <c r="I11" s="336"/>
      <c r="J11" s="337"/>
      <c r="M11" s="49" t="s">
        <v>600</v>
      </c>
      <c r="N11" s="309">
        <f>AH18</f>
        <v>69133.070743801567</v>
      </c>
      <c r="O11" s="34"/>
      <c r="Q11" s="44" t="s">
        <v>628</v>
      </c>
      <c r="R11" s="84">
        <f>((R10*2)+(R10*4)+(R10*0.5))/6</f>
        <v>112809.66666666667</v>
      </c>
      <c r="T11" s="49" t="s">
        <v>629</v>
      </c>
      <c r="U11" s="583">
        <f>'Bill of Materials'!F27</f>
        <v>0.59510000000000007</v>
      </c>
      <c r="V11" s="628">
        <f>'Bill of Materials'!$J$6</f>
        <v>0.5</v>
      </c>
      <c r="W11" s="40">
        <f t="shared" ref="W11:W17" si="0">V11*$R$14</f>
        <v>1084.7083333333335</v>
      </c>
      <c r="X11" s="13">
        <f t="shared" ref="X11:X17" si="1">V11*R$15</f>
        <v>1805.0637760414238</v>
      </c>
      <c r="Y11" s="29">
        <f>'Bill of Materials'!$L$6/7</f>
        <v>0.5714285714285714</v>
      </c>
      <c r="Z11" s="202">
        <f>((Y11*1.2)-(Y11*0.8))/6</f>
        <v>3.8095238095238078E-2</v>
      </c>
      <c r="AA11" s="281">
        <f>SQRT(Y11*X11^2+W11^2*Z11^2)</f>
        <v>1365.1255109566912</v>
      </c>
      <c r="AB11" s="304">
        <f t="shared" ref="AB11:AB17" si="2">SQRT((2*W11*52*$C$10)/(U11*$C$9))</f>
        <v>5027.4475816764716</v>
      </c>
      <c r="AC11" s="84">
        <f t="shared" ref="AC11:AC17" si="3">W11*Y11+AE11</f>
        <v>3582.2790688556552</v>
      </c>
      <c r="AD11" s="40">
        <f t="shared" ref="AD11:AD17" si="4">AB11/2</f>
        <v>2513.7237908382358</v>
      </c>
      <c r="AE11" s="40">
        <f t="shared" ref="AE11:AE17" si="5">AA11*$C$8</f>
        <v>2962.4457355223217</v>
      </c>
      <c r="AF11" s="305">
        <f t="shared" ref="AF11:AF17" si="6">AD11*U11</f>
        <v>1495.9170279278344</v>
      </c>
      <c r="AG11" s="123">
        <f t="shared" ref="AG11:AG17" si="7">AE11*U11</f>
        <v>1762.9514572093337</v>
      </c>
      <c r="AH11" s="123">
        <f t="shared" ref="AH11:AH17" si="8">AF11+AG11</f>
        <v>3258.8684851371681</v>
      </c>
      <c r="AJ11" s="44" t="s">
        <v>630</v>
      </c>
      <c r="AK11" s="307">
        <f>(R17+R18)/2</f>
        <v>5.6008947797026849</v>
      </c>
      <c r="AN11" s="40"/>
      <c r="AO11" s="40"/>
      <c r="AS11" s="1159"/>
    </row>
    <row r="12" spans="1:49" ht="14.4" customHeight="1">
      <c r="E12" s="326" t="s">
        <v>631</v>
      </c>
      <c r="F12" s="312">
        <f>N15</f>
        <v>198581.41662476803</v>
      </c>
      <c r="G12" s="40">
        <f>N30</f>
        <v>341353.06924927788</v>
      </c>
      <c r="H12" s="40">
        <f>N45</f>
        <v>441542.53188011219</v>
      </c>
      <c r="I12" s="40">
        <f>N60</f>
        <v>569759.30266015057</v>
      </c>
      <c r="J12" s="282">
        <f>N75</f>
        <v>758403.05726056371</v>
      </c>
      <c r="M12" s="44" t="s">
        <v>602</v>
      </c>
      <c r="N12" s="123">
        <f>AK12</f>
        <v>12150.674483333334</v>
      </c>
      <c r="O12" s="34"/>
      <c r="Q12" s="51" t="s">
        <v>632</v>
      </c>
      <c r="R12" s="306">
        <f>((R10*2)-(R10*0.5))/6</f>
        <v>26033</v>
      </c>
      <c r="T12" s="44" t="s">
        <v>633</v>
      </c>
      <c r="U12" s="301">
        <f>'Bill of Materials'!F28</f>
        <v>0.57200000000000006</v>
      </c>
      <c r="V12" s="629">
        <f>'Bill of Materials'!$J$7</f>
        <v>2</v>
      </c>
      <c r="W12" s="40">
        <f t="shared" si="0"/>
        <v>4338.8333333333339</v>
      </c>
      <c r="X12" s="13">
        <f t="shared" si="1"/>
        <v>7220.2551041656952</v>
      </c>
      <c r="Y12" s="29">
        <f>'Bill of Materials'!$L$7/7</f>
        <v>0.5714285714285714</v>
      </c>
      <c r="Z12" s="202">
        <f t="shared" ref="Z12:Z17" si="9">((Y12*1.2)-(Y12*0.8))/6</f>
        <v>3.8095238095238078E-2</v>
      </c>
      <c r="AA12" s="281">
        <f t="shared" ref="AA12:AA17" si="10">SQRT(Y12*X12^2+W12^2*Z12^2)</f>
        <v>5460.5020438267647</v>
      </c>
      <c r="AB12" s="304">
        <f t="shared" si="2"/>
        <v>10255.917237567706</v>
      </c>
      <c r="AC12" s="84">
        <f t="shared" si="3"/>
        <v>14329.116275422621</v>
      </c>
      <c r="AD12" s="40">
        <f t="shared" si="4"/>
        <v>5127.9586187838531</v>
      </c>
      <c r="AE12" s="40">
        <f t="shared" si="5"/>
        <v>11849.782942089287</v>
      </c>
      <c r="AF12" s="305">
        <f t="shared" si="6"/>
        <v>2933.1923299443642</v>
      </c>
      <c r="AG12" s="123">
        <f t="shared" si="7"/>
        <v>6778.0758428750723</v>
      </c>
      <c r="AH12" s="123">
        <f t="shared" si="8"/>
        <v>9711.2681728194366</v>
      </c>
      <c r="AJ12" s="219" t="s">
        <v>634</v>
      </c>
      <c r="AK12" s="308">
        <f>AK10*AK11</f>
        <v>12150.674483333334</v>
      </c>
      <c r="AN12" s="40"/>
      <c r="AO12" s="40"/>
    </row>
    <row r="13" spans="1:49" ht="15.6">
      <c r="C13" s="852"/>
      <c r="E13" s="326" t="s">
        <v>635</v>
      </c>
      <c r="F13" s="312">
        <f>N16</f>
        <v>2169.416666666667</v>
      </c>
      <c r="G13" s="40">
        <f>N31</f>
        <v>3963.2916666666665</v>
      </c>
      <c r="H13" s="40">
        <f>N46</f>
        <v>5252.416666666667</v>
      </c>
      <c r="I13" s="40">
        <f>N61</f>
        <v>6922.583333333333</v>
      </c>
      <c r="J13" s="282">
        <f>N76</f>
        <v>9407.875</v>
      </c>
      <c r="M13" s="51" t="s">
        <v>611</v>
      </c>
      <c r="N13" s="124">
        <f>AK18</f>
        <v>73605.832227666717</v>
      </c>
      <c r="O13" s="34"/>
      <c r="Q13" s="192" t="s">
        <v>636</v>
      </c>
      <c r="R13" s="223">
        <f>R10/52</f>
        <v>2002.5384615384614</v>
      </c>
      <c r="T13" s="44" t="s">
        <v>637</v>
      </c>
      <c r="U13" s="301">
        <f>'Bill of Materials'!F29</f>
        <v>0.13200000000000001</v>
      </c>
      <c r="V13" s="629">
        <f>'Bill of Materials'!$J$9</f>
        <v>4</v>
      </c>
      <c r="W13" s="40">
        <f t="shared" si="0"/>
        <v>8677.6666666666679</v>
      </c>
      <c r="X13" s="13">
        <f t="shared" si="1"/>
        <v>14440.51020833139</v>
      </c>
      <c r="Y13" s="29">
        <f>'Bill of Materials'!$L$9/7</f>
        <v>4.2857142857142856</v>
      </c>
      <c r="Z13" s="202">
        <f t="shared" si="9"/>
        <v>0.28571428571428559</v>
      </c>
      <c r="AA13" s="281">
        <f t="shared" si="10"/>
        <v>29997.332521295331</v>
      </c>
      <c r="AB13" s="304">
        <f t="shared" si="2"/>
        <v>30192.602835682555</v>
      </c>
      <c r="AC13" s="84">
        <f t="shared" si="3"/>
        <v>102286.9226576674</v>
      </c>
      <c r="AD13" s="40">
        <f t="shared" si="4"/>
        <v>15096.301417841278</v>
      </c>
      <c r="AE13" s="40">
        <f>AA13*$C$8</f>
        <v>65096.92265766739</v>
      </c>
      <c r="AF13" s="305">
        <f t="shared" si="6"/>
        <v>1992.7117871550488</v>
      </c>
      <c r="AG13" s="123">
        <f t="shared" si="7"/>
        <v>8592.7937908120966</v>
      </c>
      <c r="AH13" s="123">
        <f t="shared" si="8"/>
        <v>10585.505577967146</v>
      </c>
      <c r="AN13" s="40"/>
      <c r="AO13" s="40"/>
      <c r="AS13" s="1159"/>
    </row>
    <row r="14" spans="1:49" ht="14.4" customHeight="1">
      <c r="C14" s="852"/>
      <c r="E14" s="328" t="s">
        <v>638</v>
      </c>
      <c r="F14" s="313">
        <f>N17</f>
        <v>8919.0113959612245</v>
      </c>
      <c r="G14" s="280">
        <f>N32</f>
        <v>16294.077612500205</v>
      </c>
      <c r="H14" s="280">
        <f>N47</f>
        <v>21593.991060424843</v>
      </c>
      <c r="I14" s="280">
        <f>N62</f>
        <v>28460.461555483227</v>
      </c>
      <c r="J14" s="283">
        <f>N77</f>
        <v>38678.113626602557</v>
      </c>
      <c r="M14" s="310" t="s">
        <v>598</v>
      </c>
      <c r="N14" s="311">
        <f>N11+N12+N13</f>
        <v>154889.57745480162</v>
      </c>
      <c r="O14" s="111"/>
      <c r="Q14" s="44" t="s">
        <v>628</v>
      </c>
      <c r="R14" s="84">
        <f>R11/52</f>
        <v>2169.416666666667</v>
      </c>
      <c r="T14" s="44" t="s">
        <v>639</v>
      </c>
      <c r="U14" s="301">
        <f>'Bill of Materials'!F30</f>
        <v>1.2320000000000002</v>
      </c>
      <c r="V14" s="629">
        <f>'Bill of Materials'!$J$8</f>
        <v>4</v>
      </c>
      <c r="W14" s="40">
        <f t="shared" si="0"/>
        <v>8677.6666666666679</v>
      </c>
      <c r="X14" s="13">
        <f t="shared" si="1"/>
        <v>14440.51020833139</v>
      </c>
      <c r="Y14" s="29">
        <f>'Bill of Materials'!$L$8/7</f>
        <v>0.5714285714285714</v>
      </c>
      <c r="Z14" s="202">
        <f t="shared" si="9"/>
        <v>3.8095238095238078E-2</v>
      </c>
      <c r="AA14" s="281">
        <f t="shared" si="10"/>
        <v>10921.004087653529</v>
      </c>
      <c r="AB14" s="304">
        <f t="shared" si="2"/>
        <v>9882.8491373038305</v>
      </c>
      <c r="AC14" s="84">
        <f t="shared" si="3"/>
        <v>28658.232550845241</v>
      </c>
      <c r="AD14" s="40">
        <f t="shared" si="4"/>
        <v>4941.4245686519153</v>
      </c>
      <c r="AE14" s="40">
        <f t="shared" si="5"/>
        <v>23699.565884178573</v>
      </c>
      <c r="AF14" s="305">
        <f t="shared" si="6"/>
        <v>6087.8350685791602</v>
      </c>
      <c r="AG14" s="123">
        <f t="shared" si="7"/>
        <v>29197.865169308006</v>
      </c>
      <c r="AH14" s="123">
        <f t="shared" si="8"/>
        <v>35285.700237887169</v>
      </c>
      <c r="AJ14" s="1193" t="s">
        <v>484</v>
      </c>
      <c r="AK14" s="1194"/>
      <c r="AN14" s="40"/>
      <c r="AO14" s="40"/>
    </row>
    <row r="15" spans="1:49" ht="14.4" customHeight="1">
      <c r="B15" s="32"/>
      <c r="E15" s="335" t="s">
        <v>640</v>
      </c>
      <c r="F15" s="332">
        <f>N18</f>
        <v>8.6513466498760003</v>
      </c>
      <c r="G15" s="333">
        <f>N33</f>
        <v>9.0888148049632171</v>
      </c>
      <c r="H15" s="333">
        <f>N48</f>
        <v>9.1592406112749583</v>
      </c>
      <c r="I15" s="333">
        <f>N63</f>
        <v>9.2060859536002706</v>
      </c>
      <c r="J15" s="334">
        <f>N78</f>
        <v>9.3299654941192678</v>
      </c>
      <c r="M15" s="321" t="s">
        <v>631</v>
      </c>
      <c r="N15" s="322">
        <f>SUM(AD11:AE17)</f>
        <v>198581.41662476803</v>
      </c>
      <c r="O15" s="40"/>
      <c r="Q15" s="44" t="s">
        <v>632</v>
      </c>
      <c r="R15" s="547">
        <f>R12/SQRT(52)</f>
        <v>3610.1275520828476</v>
      </c>
      <c r="T15" s="44" t="s">
        <v>641</v>
      </c>
      <c r="U15" s="301">
        <f>'Bill of Materials'!F31</f>
        <v>8.8000000000000009E-2</v>
      </c>
      <c r="V15" s="630">
        <f>'Bill of Materials'!$J$10</f>
        <v>0.02</v>
      </c>
      <c r="W15" s="40">
        <f t="shared" si="0"/>
        <v>43.388333333333343</v>
      </c>
      <c r="X15" s="13">
        <f t="shared" si="1"/>
        <v>72.20255104165696</v>
      </c>
      <c r="Y15" s="29">
        <f>'Bill of Materials'!$L$10/7</f>
        <v>4.2857142857142856</v>
      </c>
      <c r="Z15" s="202">
        <f t="shared" si="9"/>
        <v>0.28571428571428559</v>
      </c>
      <c r="AA15" s="281">
        <f t="shared" si="10"/>
        <v>149.98666260647667</v>
      </c>
      <c r="AB15" s="304">
        <f t="shared" si="2"/>
        <v>2614.756106207517</v>
      </c>
      <c r="AC15" s="84">
        <f t="shared" si="3"/>
        <v>511.434613288337</v>
      </c>
      <c r="AD15" s="40">
        <f t="shared" si="4"/>
        <v>1307.3780531037585</v>
      </c>
      <c r="AE15" s="40">
        <f t="shared" si="5"/>
        <v>325.48461328833696</v>
      </c>
      <c r="AF15" s="305">
        <f t="shared" si="6"/>
        <v>115.04926867313075</v>
      </c>
      <c r="AG15" s="123">
        <f t="shared" si="7"/>
        <v>28.642645969373657</v>
      </c>
      <c r="AH15" s="123">
        <f t="shared" si="8"/>
        <v>143.6919146425044</v>
      </c>
      <c r="AJ15" s="44" t="s">
        <v>623</v>
      </c>
      <c r="AK15" s="84">
        <f>R14/2</f>
        <v>1084.7083333333335</v>
      </c>
      <c r="AT15" s="65"/>
    </row>
    <row r="16" spans="1:49" ht="14.4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M16" s="10" t="s">
        <v>635</v>
      </c>
      <c r="N16" s="282">
        <f>AK10</f>
        <v>2169.416666666667</v>
      </c>
      <c r="O16" s="40"/>
      <c r="Q16" s="1193" t="s">
        <v>642</v>
      </c>
      <c r="R16" s="1194"/>
      <c r="T16" s="44" t="s">
        <v>643</v>
      </c>
      <c r="U16" s="301">
        <f>'Bill of Materials'!F32</f>
        <v>0.13200000000000001</v>
      </c>
      <c r="V16" s="629">
        <f>'Bill of Materials'!$J$12</f>
        <v>2</v>
      </c>
      <c r="W16" s="40">
        <f t="shared" si="0"/>
        <v>4338.8333333333339</v>
      </c>
      <c r="X16" s="13">
        <f t="shared" si="1"/>
        <v>7220.2551041656952</v>
      </c>
      <c r="Y16" s="29">
        <f>'Bill of Materials'!$L$12/7</f>
        <v>4.2857142857142856</v>
      </c>
      <c r="Z16" s="202">
        <f t="shared" si="9"/>
        <v>0.28571428571428559</v>
      </c>
      <c r="AA16" s="281">
        <f t="shared" si="10"/>
        <v>14998.666260647666</v>
      </c>
      <c r="AB16" s="304">
        <f t="shared" si="2"/>
        <v>21349.39420678332</v>
      </c>
      <c r="AC16" s="84">
        <f t="shared" si="3"/>
        <v>51143.461328833699</v>
      </c>
      <c r="AD16" s="40">
        <f t="shared" si="4"/>
        <v>10674.69710339166</v>
      </c>
      <c r="AE16" s="40">
        <f t="shared" si="5"/>
        <v>32548.461328833695</v>
      </c>
      <c r="AF16" s="305">
        <f t="shared" si="6"/>
        <v>1409.0600176476992</v>
      </c>
      <c r="AG16" s="123">
        <f t="shared" si="7"/>
        <v>4296.3968954060483</v>
      </c>
      <c r="AH16" s="123">
        <f t="shared" si="8"/>
        <v>5705.4569130537475</v>
      </c>
      <c r="AJ16" s="44" t="s">
        <v>624</v>
      </c>
      <c r="AK16" s="84">
        <f>$C$8*R15*SQRT($C$11)</f>
        <v>7834.3030626278905</v>
      </c>
    </row>
    <row r="17" spans="2:55" ht="14.4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M17" s="10" t="s">
        <v>638</v>
      </c>
      <c r="N17" s="282">
        <f>AK17</f>
        <v>8919.0113959612245</v>
      </c>
      <c r="O17" s="319"/>
      <c r="Q17" s="545" t="s">
        <v>644</v>
      </c>
      <c r="R17" s="307">
        <f>COGS!$R$16</f>
        <v>2.9491000000000005</v>
      </c>
      <c r="T17" s="51" t="s">
        <v>645</v>
      </c>
      <c r="U17" s="302">
        <f>'Bill of Materials'!F33</f>
        <v>0.19800000000000001</v>
      </c>
      <c r="V17" s="631">
        <f>'Bill of Materials'!$J$13</f>
        <v>1</v>
      </c>
      <c r="W17" s="280">
        <f t="shared" si="0"/>
        <v>2169.416666666667</v>
      </c>
      <c r="X17" s="17">
        <f t="shared" si="1"/>
        <v>3610.1275520828476</v>
      </c>
      <c r="Y17" s="231">
        <f>'Bill of Materials'!$L$13/7</f>
        <v>4.2857142857142856</v>
      </c>
      <c r="Z17" s="224">
        <f t="shared" si="9"/>
        <v>0.28571428571428559</v>
      </c>
      <c r="AA17" s="281">
        <f t="shared" si="10"/>
        <v>7499.3331303238328</v>
      </c>
      <c r="AB17" s="304">
        <f t="shared" si="2"/>
        <v>12326.078492321785</v>
      </c>
      <c r="AC17" s="303">
        <f t="shared" si="3"/>
        <v>25571.730664416849</v>
      </c>
      <c r="AD17" s="81">
        <f t="shared" si="4"/>
        <v>6163.0392461608926</v>
      </c>
      <c r="AE17" s="40">
        <f t="shared" si="5"/>
        <v>16274.230664416848</v>
      </c>
      <c r="AF17" s="305">
        <f t="shared" si="6"/>
        <v>1220.2817707398567</v>
      </c>
      <c r="AG17" s="123">
        <f t="shared" si="7"/>
        <v>3222.297671554536</v>
      </c>
      <c r="AH17" s="123">
        <f t="shared" si="8"/>
        <v>4442.5794422943927</v>
      </c>
      <c r="AJ17" s="42" t="s">
        <v>646</v>
      </c>
      <c r="AK17" s="603">
        <f>AK15+AK16</f>
        <v>8919.0113959612245</v>
      </c>
    </row>
    <row r="18" spans="2:55" ht="14.4" customHeight="1">
      <c r="B18" s="32"/>
      <c r="C18" s="32"/>
      <c r="D18" s="32"/>
      <c r="K18" s="32"/>
      <c r="M18" s="323" t="s">
        <v>640</v>
      </c>
      <c r="N18" s="324">
        <f>(N14/R18)/R14</f>
        <v>8.6513466498760003</v>
      </c>
      <c r="Q18" s="546" t="s">
        <v>647</v>
      </c>
      <c r="R18" s="548">
        <f>COGS!$R$13</f>
        <v>8.2526895594053702</v>
      </c>
      <c r="T18" s="32"/>
      <c r="U18" s="6"/>
      <c r="Y18" s="29"/>
      <c r="Z18" s="29"/>
      <c r="AA18" s="455"/>
      <c r="AB18" s="456"/>
      <c r="AE18" s="214"/>
      <c r="AF18" s="308">
        <f>SUM(AF11:AF17)</f>
        <v>15254.047270667095</v>
      </c>
      <c r="AG18" s="308">
        <f>SUM(AG11:AG17)</f>
        <v>53879.023473134475</v>
      </c>
      <c r="AH18" s="308">
        <f>SUM(AH11:AH17)</f>
        <v>69133.070743801567</v>
      </c>
      <c r="AJ18" s="219" t="s">
        <v>648</v>
      </c>
      <c r="AK18" s="308">
        <f>AK17*R18</f>
        <v>73605.832227666717</v>
      </c>
      <c r="AL18" s="111"/>
      <c r="AV18" s="32"/>
      <c r="AW18" s="32"/>
      <c r="AX18" s="32"/>
      <c r="AY18" s="32"/>
      <c r="AZ18" s="32"/>
      <c r="BB18" s="1295"/>
      <c r="BC18" s="1295"/>
    </row>
    <row r="19" spans="2:55" ht="14.4">
      <c r="E19" s="104" t="s">
        <v>649</v>
      </c>
      <c r="F19" s="1184" t="s">
        <v>157</v>
      </c>
      <c r="G19" s="1184" t="s">
        <v>158</v>
      </c>
      <c r="H19" s="1184" t="s">
        <v>159</v>
      </c>
      <c r="I19" s="1184" t="s">
        <v>160</v>
      </c>
      <c r="J19" s="1196" t="s">
        <v>161</v>
      </c>
      <c r="K19" s="202"/>
      <c r="Q19" s="457"/>
      <c r="T19" s="32"/>
      <c r="Y19" s="29"/>
      <c r="Z19" s="29"/>
      <c r="AA19" s="29"/>
      <c r="AB19" s="9"/>
      <c r="AE19" s="1210"/>
      <c r="AG19" s="1210"/>
      <c r="AH19" s="1210"/>
      <c r="AJ19" s="32"/>
      <c r="AK19" s="111"/>
    </row>
    <row r="20" spans="2:55" ht="14.4">
      <c r="E20" s="2" t="s">
        <v>629</v>
      </c>
      <c r="F20" s="1059">
        <f t="shared" ref="F20:F26" si="11">($R$10*V11)/(AD11+AE11)</f>
        <v>9.5077407208397489</v>
      </c>
      <c r="G20" s="1059">
        <f t="shared" ref="G20:G26" si="12">($R$25*V26)/(AE26+AF26)</f>
        <v>12.79514584523208</v>
      </c>
      <c r="H20" s="1059">
        <f t="shared" ref="H20:H26" si="13">($R$40*V41)/(AE41+AF41)</f>
        <v>13.269160384195962</v>
      </c>
      <c r="I20" s="1059">
        <f t="shared" ref="I20:I26" si="14">($R$55*V56)/(AE56+AF56)</f>
        <v>13.702052184856427</v>
      </c>
      <c r="J20" s="1059">
        <f t="shared" ref="J20:J26" si="15">($R$70*V71)/(AE71+AF71)</f>
        <v>14.1453291544275</v>
      </c>
      <c r="K20" s="202"/>
      <c r="Q20" s="457"/>
      <c r="T20" s="32"/>
      <c r="Y20" s="29"/>
      <c r="Z20" s="29"/>
      <c r="AA20" s="29"/>
      <c r="AB20" s="9"/>
      <c r="AE20" s="1210"/>
      <c r="AG20" s="1210"/>
      <c r="AH20" s="1210"/>
    </row>
    <row r="21" spans="2:55" ht="14.4" customHeight="1">
      <c r="E21" s="2" t="s">
        <v>633</v>
      </c>
      <c r="F21" s="1059">
        <f t="shared" si="11"/>
        <v>12.266884806396435</v>
      </c>
      <c r="G21" s="1059">
        <f t="shared" si="12"/>
        <v>14.85488034672183</v>
      </c>
      <c r="H21" s="1059">
        <f t="shared" si="13"/>
        <v>15.163152780401431</v>
      </c>
      <c r="I21" s="1059">
        <f t="shared" si="14"/>
        <v>15.436337958163399</v>
      </c>
      <c r="J21" s="1059">
        <f t="shared" si="15"/>
        <v>15.708181949589203</v>
      </c>
      <c r="K21" s="202"/>
      <c r="AI21" s="111"/>
      <c r="AK21" s="32"/>
      <c r="AM21" s="32"/>
      <c r="AO21" s="40"/>
      <c r="AY21" s="1160"/>
      <c r="BB21" s="32"/>
    </row>
    <row r="22" spans="2:55" ht="25.8">
      <c r="E22" s="2" t="s">
        <v>637</v>
      </c>
      <c r="F22" s="1059">
        <f t="shared" si="11"/>
        <v>5.1940547945522662</v>
      </c>
      <c r="G22" s="1059">
        <f t="shared" si="12"/>
        <v>6.2568770545191343</v>
      </c>
      <c r="H22" s="1059">
        <f t="shared" si="13"/>
        <v>6.2751298890422555</v>
      </c>
      <c r="I22" s="1059">
        <f t="shared" si="14"/>
        <v>6.2907802562195849</v>
      </c>
      <c r="J22" s="1059">
        <f t="shared" si="15"/>
        <v>6.3058871159686003</v>
      </c>
      <c r="K22" s="202"/>
      <c r="M22" s="1161" t="s">
        <v>76</v>
      </c>
      <c r="N22" s="1161"/>
      <c r="O22" s="1161"/>
      <c r="P22" s="1161"/>
      <c r="Q22" s="1161"/>
      <c r="R22" s="1161"/>
      <c r="S22" s="1161"/>
      <c r="T22" s="1161"/>
      <c r="U22" s="1161"/>
      <c r="V22" s="1161"/>
      <c r="W22" s="1161"/>
      <c r="X22" s="1161"/>
      <c r="Y22" s="1161"/>
      <c r="Z22" s="1161"/>
      <c r="AA22" s="1161"/>
      <c r="AB22" s="1161"/>
      <c r="AC22" s="1161"/>
      <c r="AD22" s="1161"/>
      <c r="AE22" s="1161"/>
      <c r="AF22" s="1161"/>
      <c r="AG22" s="1161"/>
      <c r="AH22" s="1161"/>
      <c r="AI22" s="1161"/>
      <c r="AJ22" s="1161"/>
      <c r="AK22" s="1161"/>
      <c r="AM22" s="32"/>
      <c r="AN22" s="32"/>
      <c r="AO22" s="32"/>
      <c r="AP22" s="32"/>
      <c r="AW22" s="1160"/>
    </row>
    <row r="23" spans="2:55" ht="14.4" customHeight="1">
      <c r="E23" s="2" t="s">
        <v>639</v>
      </c>
      <c r="F23" s="1059">
        <f t="shared" si="11"/>
        <v>14.543072478097068</v>
      </c>
      <c r="G23" s="1059">
        <f t="shared" si="12"/>
        <v>14.768585707006288</v>
      </c>
      <c r="H23" s="1059">
        <f t="shared" si="13"/>
        <v>15.084997390128061</v>
      </c>
      <c r="I23" s="1059">
        <f t="shared" si="14"/>
        <v>15.365743997817239</v>
      </c>
      <c r="J23" s="1059">
        <f t="shared" si="15"/>
        <v>15.64543802907094</v>
      </c>
      <c r="K23" s="202"/>
      <c r="N23" s="32"/>
      <c r="O23" s="32"/>
      <c r="AN23" s="40"/>
      <c r="AR23" s="6"/>
      <c r="AZ23" s="24"/>
    </row>
    <row r="24" spans="2:55" ht="14.4" customHeight="1">
      <c r="E24" s="2" t="s">
        <v>641</v>
      </c>
      <c r="F24" s="1059">
        <f t="shared" si="11"/>
        <v>1.275453253274333</v>
      </c>
      <c r="G24" s="1059">
        <f t="shared" si="12"/>
        <v>5.249906315301196</v>
      </c>
      <c r="H24" s="1059">
        <f t="shared" si="13"/>
        <v>5.3766814928856306</v>
      </c>
      <c r="I24" s="1059">
        <f t="shared" si="14"/>
        <v>5.4897342919774683</v>
      </c>
      <c r="J24" s="1059">
        <f t="shared" si="15"/>
        <v>5.6028976675710105</v>
      </c>
      <c r="K24" s="202"/>
      <c r="Q24" s="1193" t="s">
        <v>576</v>
      </c>
      <c r="R24" s="1194"/>
      <c r="T24" s="93" t="s">
        <v>603</v>
      </c>
      <c r="U24" s="1182" t="s">
        <v>604</v>
      </c>
      <c r="V24" s="1182"/>
      <c r="W24" s="1182" t="s">
        <v>605</v>
      </c>
      <c r="X24" s="1182"/>
      <c r="Y24" s="1182" t="s">
        <v>606</v>
      </c>
      <c r="Z24" s="1182"/>
      <c r="AA24" s="104"/>
      <c r="AB24" s="1182" t="s">
        <v>607</v>
      </c>
      <c r="AC24" s="1182"/>
      <c r="AD24" s="1182" t="s">
        <v>608</v>
      </c>
      <c r="AE24" s="1182"/>
      <c r="AF24" s="1182" t="s">
        <v>609</v>
      </c>
      <c r="AG24" s="1182"/>
      <c r="AH24" s="1182"/>
      <c r="AJ24" s="1193" t="s">
        <v>482</v>
      </c>
      <c r="AK24" s="1194"/>
      <c r="AN24" s="40"/>
      <c r="AO24" s="40"/>
      <c r="AR24" s="6"/>
      <c r="AZ24" s="24"/>
    </row>
    <row r="25" spans="2:55" ht="14.4" customHeight="1">
      <c r="E25" s="2" t="s">
        <v>643</v>
      </c>
      <c r="F25" s="1059">
        <f t="shared" si="11"/>
        <v>4.8183429336049439</v>
      </c>
      <c r="G25" s="1059">
        <f t="shared" si="12"/>
        <v>6.2000025583421561</v>
      </c>
      <c r="H25" s="1059">
        <f t="shared" si="13"/>
        <v>6.2253785256030705</v>
      </c>
      <c r="I25" s="1059">
        <f t="shared" si="14"/>
        <v>6.2471838395428136</v>
      </c>
      <c r="J25" s="1059">
        <f t="shared" si="15"/>
        <v>6.2682735547788662</v>
      </c>
      <c r="M25" s="1218" t="s">
        <v>612</v>
      </c>
      <c r="N25" s="1157"/>
      <c r="O25" s="343"/>
      <c r="Q25" s="221" t="s">
        <v>613</v>
      </c>
      <c r="R25" s="222">
        <f>'BASES Model'!D16</f>
        <v>190238</v>
      </c>
      <c r="T25" s="632" t="s">
        <v>614</v>
      </c>
      <c r="U25" s="633" t="s">
        <v>276</v>
      </c>
      <c r="V25" s="634" t="s">
        <v>615</v>
      </c>
      <c r="W25" s="314" t="s">
        <v>616</v>
      </c>
      <c r="X25" s="318" t="s">
        <v>617</v>
      </c>
      <c r="Y25" s="316" t="s">
        <v>618</v>
      </c>
      <c r="Z25" s="316" t="s">
        <v>619</v>
      </c>
      <c r="AA25" s="314" t="s">
        <v>620</v>
      </c>
      <c r="AB25" s="315" t="s">
        <v>621</v>
      </c>
      <c r="AC25" s="317" t="s">
        <v>622</v>
      </c>
      <c r="AD25" s="316" t="s">
        <v>623</v>
      </c>
      <c r="AE25" s="316" t="s">
        <v>624</v>
      </c>
      <c r="AF25" s="315" t="s">
        <v>625</v>
      </c>
      <c r="AG25" s="317" t="s">
        <v>130</v>
      </c>
      <c r="AH25" s="318" t="s">
        <v>183</v>
      </c>
      <c r="AJ25" s="44" t="s">
        <v>626</v>
      </c>
      <c r="AK25" s="84">
        <f>R29*$C$11</f>
        <v>3963.2916666666665</v>
      </c>
      <c r="AN25" s="40"/>
      <c r="AO25" s="40"/>
    </row>
    <row r="26" spans="2:55" ht="14.4" customHeight="1">
      <c r="E26" s="2" t="s">
        <v>645</v>
      </c>
      <c r="F26" s="1059">
        <f t="shared" si="11"/>
        <v>4.641028093658953</v>
      </c>
      <c r="G26" s="1059">
        <f t="shared" si="12"/>
        <v>6.0622729431152003</v>
      </c>
      <c r="H26" s="1059">
        <f t="shared" si="13"/>
        <v>6.1044139651051497</v>
      </c>
      <c r="I26" s="1059">
        <f t="shared" si="14"/>
        <v>6.1408174605708972</v>
      </c>
      <c r="J26" s="1059">
        <f t="shared" si="15"/>
        <v>6.1761965303927262</v>
      </c>
      <c r="M26" s="49" t="s">
        <v>600</v>
      </c>
      <c r="N26" s="309">
        <f>AH33</f>
        <v>119007.86803908748</v>
      </c>
      <c r="O26" s="34"/>
      <c r="Q26" s="44" t="s">
        <v>628</v>
      </c>
      <c r="R26" s="84">
        <f>((R25*2)+(R25*4)+(R25*0.5))/6</f>
        <v>206091.16666666666</v>
      </c>
      <c r="T26" s="49" t="s">
        <v>629</v>
      </c>
      <c r="U26" s="583">
        <f>'Bill of Materials'!G27</f>
        <v>0.59510000000000007</v>
      </c>
      <c r="V26" s="628">
        <f>'Bill of Materials'!$J$6</f>
        <v>0.5</v>
      </c>
      <c r="W26" s="40">
        <f t="shared" ref="W26:W32" si="16">V26*$R$29</f>
        <v>1981.6458333333333</v>
      </c>
      <c r="X26" s="13">
        <f t="shared" ref="X26:X32" si="17">V26*R$30</f>
        <v>3297.6579977967231</v>
      </c>
      <c r="Y26" s="29">
        <f>'Bill of Materials'!$L$6/7</f>
        <v>0.5714285714285714</v>
      </c>
      <c r="Z26" s="202">
        <f>((Y26*1.2)-(Y26*0.8))/6</f>
        <v>3.8095238095238078E-2</v>
      </c>
      <c r="AA26" s="281">
        <f>SQRT(Y26*X26^2+W26^2*Z26^2)</f>
        <v>2493.9379533032979</v>
      </c>
      <c r="AB26" s="304">
        <f t="shared" ref="AB26:AB32" si="18">SQRT((2*W26*52*$C$10)/(U26*$C$9))</f>
        <v>6795.2287646857831</v>
      </c>
      <c r="AC26" s="84">
        <f t="shared" ref="AC26:AC32" si="19">W26*Y26+AE26</f>
        <v>6544.4398023754666</v>
      </c>
      <c r="AD26" s="40">
        <f t="shared" ref="AD26:AD32" si="20">AB26/2</f>
        <v>3397.6143823428915</v>
      </c>
      <c r="AE26" s="40">
        <f t="shared" ref="AE26:AE32" si="21">AA26*$C$8</f>
        <v>5412.0707547564189</v>
      </c>
      <c r="AF26" s="305">
        <f t="shared" ref="AF26:AF32" si="22">AD26*U26</f>
        <v>2021.920318932255</v>
      </c>
      <c r="AG26" s="123">
        <f t="shared" ref="AG26:AG32" si="23">AE26*U26</f>
        <v>3220.7233061555453</v>
      </c>
      <c r="AH26" s="123">
        <f t="shared" ref="AH26:AH32" si="24">AF26+AG26</f>
        <v>5242.6436250878005</v>
      </c>
      <c r="AJ26" s="44" t="s">
        <v>630</v>
      </c>
      <c r="AK26" s="307">
        <f>(R32+R33)/2</f>
        <v>4.9776444845007575</v>
      </c>
      <c r="AN26" s="40"/>
      <c r="AO26" s="40"/>
      <c r="AU26" s="33"/>
      <c r="AV26" s="1295"/>
      <c r="AW26" s="1295"/>
    </row>
    <row r="27" spans="2:55" ht="14.4" customHeight="1">
      <c r="J27" s="202"/>
      <c r="M27" s="44" t="s">
        <v>602</v>
      </c>
      <c r="N27" s="123">
        <f>AK27</f>
        <v>19727.856905051147</v>
      </c>
      <c r="O27" s="34"/>
      <c r="Q27" s="51" t="s">
        <v>632</v>
      </c>
      <c r="R27" s="306">
        <f>((R25*2)-(R25*0.5))/6</f>
        <v>47559.5</v>
      </c>
      <c r="T27" s="44" t="s">
        <v>633</v>
      </c>
      <c r="U27" s="301">
        <f>'Bill of Materials'!G28</f>
        <v>0.57200000000000006</v>
      </c>
      <c r="V27" s="629">
        <f>'Bill of Materials'!$J$7</f>
        <v>2</v>
      </c>
      <c r="W27" s="40">
        <f t="shared" si="16"/>
        <v>7926.583333333333</v>
      </c>
      <c r="X27" s="13">
        <f t="shared" si="17"/>
        <v>13190.631991186892</v>
      </c>
      <c r="Y27" s="29">
        <f>'Bill of Materials'!$L$7/7</f>
        <v>0.5714285714285714</v>
      </c>
      <c r="Z27" s="202">
        <f t="shared" ref="Z27:Z32" si="25">((Y27*1.2)-(Y27*0.8))/6</f>
        <v>3.8095238095238078E-2</v>
      </c>
      <c r="AA27" s="281">
        <f t="shared" ref="AA27:AA32" si="26">SQRT(Y27*X27^2+W27^2*Z27^2)</f>
        <v>9975.7518132131918</v>
      </c>
      <c r="AB27" s="304">
        <f t="shared" si="18"/>
        <v>13862.164187441871</v>
      </c>
      <c r="AC27" s="84">
        <f t="shared" si="19"/>
        <v>26177.759209501866</v>
      </c>
      <c r="AD27" s="40">
        <f t="shared" si="20"/>
        <v>6931.0820937209355</v>
      </c>
      <c r="AE27" s="40">
        <f t="shared" si="21"/>
        <v>21648.283019025675</v>
      </c>
      <c r="AF27" s="305">
        <f t="shared" si="22"/>
        <v>3964.5789576083757</v>
      </c>
      <c r="AG27" s="123">
        <f t="shared" si="23"/>
        <v>12382.817886882687</v>
      </c>
      <c r="AH27" s="123">
        <f t="shared" si="24"/>
        <v>16347.396844491062</v>
      </c>
      <c r="AJ27" s="219" t="s">
        <v>634</v>
      </c>
      <c r="AK27" s="308">
        <f>AK25*AK26</f>
        <v>19727.856905051147</v>
      </c>
      <c r="AN27" s="40"/>
      <c r="AO27" s="40"/>
      <c r="AU27" s="32"/>
      <c r="AV27" s="32"/>
      <c r="AW27" s="32"/>
    </row>
    <row r="28" spans="2:55" ht="14.4" customHeight="1">
      <c r="M28" s="51" t="s">
        <v>611</v>
      </c>
      <c r="N28" s="124">
        <f>AK33</f>
        <v>114589.55047772347</v>
      </c>
      <c r="O28" s="34"/>
      <c r="Q28" s="192" t="s">
        <v>636</v>
      </c>
      <c r="R28" s="223">
        <f>R25/52</f>
        <v>3658.4230769230771</v>
      </c>
      <c r="T28" s="44" t="s">
        <v>637</v>
      </c>
      <c r="U28" s="301">
        <f>'Bill of Materials'!G29</f>
        <v>0.13200000000000001</v>
      </c>
      <c r="V28" s="629">
        <f>'Bill of Materials'!$J$9</f>
        <v>4</v>
      </c>
      <c r="W28" s="40">
        <f t="shared" si="16"/>
        <v>15853.166666666666</v>
      </c>
      <c r="X28" s="13">
        <f t="shared" si="17"/>
        <v>26381.263982373785</v>
      </c>
      <c r="Y28" s="29">
        <f>'Bill of Materials'!$L$9/7</f>
        <v>4.2857142857142856</v>
      </c>
      <c r="Z28" s="202">
        <f t="shared" si="25"/>
        <v>0.28571428571428559</v>
      </c>
      <c r="AA28" s="281">
        <f t="shared" si="26"/>
        <v>54801.91050000173</v>
      </c>
      <c r="AB28" s="304">
        <f t="shared" si="18"/>
        <v>40809.106397753487</v>
      </c>
      <c r="AC28" s="84">
        <f t="shared" si="19"/>
        <v>186867.24150644688</v>
      </c>
      <c r="AD28" s="40">
        <f t="shared" si="20"/>
        <v>20404.553198876743</v>
      </c>
      <c r="AE28" s="40">
        <f t="shared" si="21"/>
        <v>118925.09864930403</v>
      </c>
      <c r="AF28" s="305">
        <f t="shared" si="22"/>
        <v>2693.4010222517304</v>
      </c>
      <c r="AG28" s="123">
        <f t="shared" si="23"/>
        <v>15698.113021708132</v>
      </c>
      <c r="AH28" s="123">
        <f t="shared" si="24"/>
        <v>18391.514043959862</v>
      </c>
      <c r="AN28" s="40"/>
      <c r="AO28" s="40"/>
      <c r="AV28" s="29"/>
      <c r="AW28" s="202"/>
    </row>
    <row r="29" spans="2:55" ht="14.4" customHeight="1">
      <c r="E29" s="838" t="s">
        <v>75</v>
      </c>
      <c r="F29" s="598" t="s">
        <v>650</v>
      </c>
      <c r="G29" s="598" t="s">
        <v>651</v>
      </c>
      <c r="H29" s="598" t="s">
        <v>652</v>
      </c>
      <c r="I29" s="599" t="s">
        <v>653</v>
      </c>
      <c r="M29" s="310" t="s">
        <v>598</v>
      </c>
      <c r="N29" s="311">
        <f>N26+N27+N28</f>
        <v>253325.27542186211</v>
      </c>
      <c r="O29" s="111"/>
      <c r="Q29" s="44" t="s">
        <v>628</v>
      </c>
      <c r="R29" s="84">
        <f>R26/52</f>
        <v>3963.2916666666665</v>
      </c>
      <c r="T29" s="44" t="s">
        <v>639</v>
      </c>
      <c r="U29" s="301">
        <f>'Bill of Materials'!G30</f>
        <v>1.2320000000000002</v>
      </c>
      <c r="V29" s="629">
        <f>'Bill of Materials'!$J$8</f>
        <v>4</v>
      </c>
      <c r="W29" s="40">
        <f t="shared" si="16"/>
        <v>15853.166666666666</v>
      </c>
      <c r="X29" s="13">
        <f t="shared" si="17"/>
        <v>26381.263982373785</v>
      </c>
      <c r="Y29" s="29">
        <f>'Bill of Materials'!$L$8/7</f>
        <v>0.5714285714285714</v>
      </c>
      <c r="Z29" s="202">
        <f t="shared" si="25"/>
        <v>3.8095238095238078E-2</v>
      </c>
      <c r="AA29" s="281">
        <f t="shared" si="26"/>
        <v>19951.503626426384</v>
      </c>
      <c r="AB29" s="304">
        <f t="shared" si="18"/>
        <v>13357.915650800858</v>
      </c>
      <c r="AC29" s="84">
        <f t="shared" si="19"/>
        <v>52355.518419003733</v>
      </c>
      <c r="AD29" s="40">
        <f t="shared" si="20"/>
        <v>6678.9578254004291</v>
      </c>
      <c r="AE29" s="40">
        <f t="shared" si="21"/>
        <v>43296.566038051351</v>
      </c>
      <c r="AF29" s="305">
        <f t="shared" si="22"/>
        <v>8228.4760408933307</v>
      </c>
      <c r="AG29" s="123">
        <f t="shared" si="23"/>
        <v>53341.369358879274</v>
      </c>
      <c r="AH29" s="123">
        <f t="shared" si="24"/>
        <v>61569.845399772603</v>
      </c>
      <c r="AJ29" s="1193" t="s">
        <v>484</v>
      </c>
      <c r="AK29" s="1194"/>
      <c r="AN29" s="40"/>
      <c r="AO29" s="40"/>
      <c r="AV29" s="29"/>
      <c r="AW29" s="202"/>
    </row>
    <row r="30" spans="2:55" ht="14.4" customHeight="1">
      <c r="E30" s="230" t="s">
        <v>654</v>
      </c>
      <c r="F30" s="34">
        <f>AF18</f>
        <v>15254.047270667095</v>
      </c>
      <c r="G30" s="34">
        <f>AK12</f>
        <v>12150.674483333334</v>
      </c>
      <c r="H30" s="34">
        <f>AK15*R18</f>
        <v>8951.7611375000015</v>
      </c>
      <c r="I30" s="123">
        <f>SUM(F30:H30)</f>
        <v>36356.482891500433</v>
      </c>
      <c r="J30" s="6"/>
      <c r="M30" s="321" t="s">
        <v>631</v>
      </c>
      <c r="N30" s="322">
        <f>SUM(AD26:AE32)</f>
        <v>341353.06924927788</v>
      </c>
      <c r="O30" s="40"/>
      <c r="Q30" s="51" t="s">
        <v>632</v>
      </c>
      <c r="R30" s="306">
        <f>R27/SQRT(52)</f>
        <v>6595.3159955934461</v>
      </c>
      <c r="T30" s="44" t="s">
        <v>641</v>
      </c>
      <c r="U30" s="301">
        <f>'Bill of Materials'!G31</f>
        <v>6.1600000000000002E-2</v>
      </c>
      <c r="V30" s="630">
        <f>'Bill of Materials'!$J$10</f>
        <v>0.02</v>
      </c>
      <c r="W30" s="40">
        <f t="shared" si="16"/>
        <v>79.265833333333333</v>
      </c>
      <c r="X30" s="13">
        <f t="shared" si="17"/>
        <v>131.90631991186893</v>
      </c>
      <c r="Y30" s="29">
        <f>'Bill of Materials'!$L$10/7</f>
        <v>4.2857142857142856</v>
      </c>
      <c r="Z30" s="202">
        <f t="shared" si="25"/>
        <v>0.28571428571428559</v>
      </c>
      <c r="AA30" s="281">
        <f t="shared" si="26"/>
        <v>274.00955250000868</v>
      </c>
      <c r="AB30" s="304">
        <f t="shared" si="18"/>
        <v>4224.1438248941113</v>
      </c>
      <c r="AC30" s="84">
        <f t="shared" si="19"/>
        <v>934.33620753223443</v>
      </c>
      <c r="AD30" s="40">
        <f t="shared" si="20"/>
        <v>2112.0719124470556</v>
      </c>
      <c r="AE30" s="40">
        <f t="shared" si="21"/>
        <v>594.62549324652014</v>
      </c>
      <c r="AF30" s="305">
        <f t="shared" si="22"/>
        <v>130.10362980673864</v>
      </c>
      <c r="AG30" s="123">
        <f t="shared" si="23"/>
        <v>36.62893038398564</v>
      </c>
      <c r="AH30" s="123">
        <f t="shared" si="24"/>
        <v>166.73256019072429</v>
      </c>
      <c r="AJ30" s="44" t="s">
        <v>623</v>
      </c>
      <c r="AK30" s="84">
        <f>R29/2</f>
        <v>1981.6458333333333</v>
      </c>
      <c r="AV30" s="29"/>
      <c r="AW30" s="202"/>
    </row>
    <row r="31" spans="2:55" ht="14.4" customHeight="1">
      <c r="E31" s="230" t="s">
        <v>655</v>
      </c>
      <c r="F31" s="34">
        <f>AG18</f>
        <v>53879.023473134475</v>
      </c>
      <c r="G31" s="34"/>
      <c r="H31" s="34">
        <f>AK16*R18</f>
        <v>64654.071090166712</v>
      </c>
      <c r="I31" s="123">
        <f>SUM(F31:H31)</f>
        <v>118533.09456330119</v>
      </c>
      <c r="J31" s="6"/>
      <c r="M31" s="10" t="s">
        <v>635</v>
      </c>
      <c r="N31" s="282">
        <f>AK25</f>
        <v>3963.2916666666665</v>
      </c>
      <c r="O31" s="40"/>
      <c r="Q31" s="1193" t="s">
        <v>642</v>
      </c>
      <c r="R31" s="1194"/>
      <c r="T31" s="44" t="s">
        <v>643</v>
      </c>
      <c r="U31" s="301">
        <f>'Bill of Materials'!G32</f>
        <v>0.13200000000000001</v>
      </c>
      <c r="V31" s="629">
        <f>'Bill of Materials'!$J$12</f>
        <v>2</v>
      </c>
      <c r="W31" s="40">
        <f t="shared" si="16"/>
        <v>7926.583333333333</v>
      </c>
      <c r="X31" s="13">
        <f t="shared" si="17"/>
        <v>13190.631991186892</v>
      </c>
      <c r="Y31" s="29">
        <f>'Bill of Materials'!$L$12/7</f>
        <v>4.2857142857142856</v>
      </c>
      <c r="Z31" s="202">
        <f t="shared" si="25"/>
        <v>0.28571428571428559</v>
      </c>
      <c r="AA31" s="281">
        <f t="shared" si="26"/>
        <v>27400.955250000865</v>
      </c>
      <c r="AB31" s="304">
        <f t="shared" si="18"/>
        <v>28856.395868014813</v>
      </c>
      <c r="AC31" s="84">
        <f t="shared" si="19"/>
        <v>93433.62075322344</v>
      </c>
      <c r="AD31" s="40">
        <f t="shared" si="20"/>
        <v>14428.197934007407</v>
      </c>
      <c r="AE31" s="40">
        <f t="shared" si="21"/>
        <v>59462.549324652013</v>
      </c>
      <c r="AF31" s="305">
        <f t="shared" si="22"/>
        <v>1904.5221272889778</v>
      </c>
      <c r="AG31" s="123">
        <f t="shared" si="23"/>
        <v>7849.0565108540659</v>
      </c>
      <c r="AH31" s="123">
        <f t="shared" si="24"/>
        <v>9753.5786381430444</v>
      </c>
      <c r="AJ31" s="44" t="s">
        <v>624</v>
      </c>
      <c r="AK31" s="84">
        <f>$C$8*R30*SQRT($C$11)</f>
        <v>14312.431779166871</v>
      </c>
      <c r="AV31" s="29"/>
      <c r="AW31" s="202"/>
    </row>
    <row r="32" spans="2:55" ht="14.4" customHeight="1">
      <c r="E32" s="1002" t="s">
        <v>653</v>
      </c>
      <c r="F32" s="950">
        <f>SUM(F30:F31)</f>
        <v>69133.070743801567</v>
      </c>
      <c r="G32" s="950">
        <f t="shared" ref="G32:H32" si="27">SUM(G30:G31)</f>
        <v>12150.674483333334</v>
      </c>
      <c r="H32" s="950">
        <f t="shared" si="27"/>
        <v>73605.832227666717</v>
      </c>
      <c r="I32" s="951">
        <f>SUM(F32:H32)</f>
        <v>154889.57745480162</v>
      </c>
      <c r="M32" s="15" t="s">
        <v>638</v>
      </c>
      <c r="N32" s="283">
        <f>AK32</f>
        <v>16294.077612500205</v>
      </c>
      <c r="O32" s="319"/>
      <c r="Q32" s="545" t="s">
        <v>644</v>
      </c>
      <c r="R32" s="307">
        <f>COGS!$R$33</f>
        <v>2.9227000000000003</v>
      </c>
      <c r="T32" s="51" t="s">
        <v>645</v>
      </c>
      <c r="U32" s="302">
        <f>'Bill of Materials'!G33</f>
        <v>0.19800000000000001</v>
      </c>
      <c r="V32" s="631">
        <f>'Bill of Materials'!$J$13</f>
        <v>1</v>
      </c>
      <c r="W32" s="280">
        <f t="shared" si="16"/>
        <v>3963.2916666666665</v>
      </c>
      <c r="X32" s="17">
        <f t="shared" si="17"/>
        <v>6595.3159955934461</v>
      </c>
      <c r="Y32" s="231">
        <f>'Bill of Materials'!$L$13/7</f>
        <v>4.2857142857142856</v>
      </c>
      <c r="Z32" s="224">
        <f t="shared" si="25"/>
        <v>0.28571428571428559</v>
      </c>
      <c r="AA32" s="281">
        <f t="shared" si="26"/>
        <v>13700.477625000432</v>
      </c>
      <c r="AB32" s="304">
        <f t="shared" si="18"/>
        <v>16660.247922240756</v>
      </c>
      <c r="AC32" s="303">
        <f t="shared" si="19"/>
        <v>46716.81037661172</v>
      </c>
      <c r="AD32" s="81">
        <f t="shared" si="20"/>
        <v>8330.1239611203782</v>
      </c>
      <c r="AE32" s="40">
        <f t="shared" si="21"/>
        <v>29731.274662326006</v>
      </c>
      <c r="AF32" s="305">
        <f t="shared" si="22"/>
        <v>1649.3645443018349</v>
      </c>
      <c r="AG32" s="123">
        <f t="shared" si="23"/>
        <v>5886.7923831405496</v>
      </c>
      <c r="AH32" s="123">
        <f t="shared" si="24"/>
        <v>7536.1569274423846</v>
      </c>
      <c r="AJ32" s="44" t="s">
        <v>646</v>
      </c>
      <c r="AK32" s="84">
        <f>AK30+AK31</f>
        <v>16294.077612500205</v>
      </c>
      <c r="AV32" s="29"/>
      <c r="AW32" s="202"/>
    </row>
    <row r="33" spans="5:49" ht="14.4">
      <c r="M33" s="194" t="s">
        <v>640</v>
      </c>
      <c r="N33" s="324">
        <f>(N29/R33)/R29</f>
        <v>9.0888148049632171</v>
      </c>
      <c r="Q33" s="546" t="s">
        <v>647</v>
      </c>
      <c r="R33" s="548">
        <f>COGS!$R$30</f>
        <v>7.0325889690015142</v>
      </c>
      <c r="T33" s="32"/>
      <c r="Y33" s="29"/>
      <c r="Z33" s="29"/>
      <c r="AA33" s="455"/>
      <c r="AB33" s="456"/>
      <c r="AE33" s="214"/>
      <c r="AF33" s="308">
        <f>SUM(AF26:AF32)</f>
        <v>20592.366641083245</v>
      </c>
      <c r="AG33" s="308">
        <f>SUM(AG26:AG32)</f>
        <v>98415.501398004228</v>
      </c>
      <c r="AH33" s="308">
        <f>SUM(AH26:AH32)</f>
        <v>119007.86803908748</v>
      </c>
      <c r="AJ33" s="219" t="s">
        <v>648</v>
      </c>
      <c r="AK33" s="308">
        <f>AK32*R33</f>
        <v>114589.55047772347</v>
      </c>
      <c r="AV33" s="29"/>
      <c r="AW33" s="202"/>
    </row>
    <row r="34" spans="5:49" ht="14.4">
      <c r="AV34" s="29"/>
      <c r="AW34" s="202"/>
    </row>
    <row r="35" spans="5:49" ht="30" customHeight="1">
      <c r="E35" s="838" t="s">
        <v>76</v>
      </c>
      <c r="F35" s="598" t="s">
        <v>650</v>
      </c>
      <c r="G35" s="598" t="s">
        <v>651</v>
      </c>
      <c r="H35" s="598" t="s">
        <v>652</v>
      </c>
      <c r="I35" s="599" t="s">
        <v>653</v>
      </c>
      <c r="J35" s="29"/>
      <c r="AV35" s="29"/>
      <c r="AW35" s="202"/>
    </row>
    <row r="36" spans="5:49" ht="14.4" customHeight="1">
      <c r="E36" s="230" t="s">
        <v>654</v>
      </c>
      <c r="F36" s="34">
        <f>AF33</f>
        <v>20592.366641083245</v>
      </c>
      <c r="G36" s="34">
        <f>AK27</f>
        <v>19727.856905051147</v>
      </c>
      <c r="H36" s="34">
        <f>AK30*R33</f>
        <v>13936.100627967813</v>
      </c>
      <c r="I36" s="123">
        <f>SUM(F36:H36)</f>
        <v>54256.324174102207</v>
      </c>
      <c r="J36" s="6"/>
      <c r="M36" s="1161" t="s">
        <v>77</v>
      </c>
      <c r="N36" s="1161"/>
      <c r="O36" s="1161"/>
      <c r="P36" s="1161"/>
      <c r="Q36" s="1161"/>
      <c r="R36" s="1161"/>
      <c r="S36" s="1161"/>
      <c r="T36" s="1161"/>
      <c r="U36" s="1161"/>
      <c r="V36" s="1161"/>
      <c r="W36" s="1161"/>
      <c r="X36" s="1161"/>
      <c r="Y36" s="1161"/>
      <c r="Z36" s="1161"/>
      <c r="AA36" s="1161"/>
      <c r="AB36" s="1161"/>
      <c r="AC36" s="1161"/>
      <c r="AD36" s="1161"/>
      <c r="AE36" s="1161"/>
      <c r="AF36" s="1161"/>
      <c r="AG36" s="1161"/>
      <c r="AH36" s="1161"/>
      <c r="AI36" s="1161"/>
      <c r="AJ36" s="1161"/>
      <c r="AK36" s="1161"/>
      <c r="AM36" s="32"/>
      <c r="AN36" s="32"/>
      <c r="AO36" s="666"/>
    </row>
    <row r="37" spans="5:49" ht="14.4">
      <c r="E37" s="230" t="s">
        <v>655</v>
      </c>
      <c r="F37" s="34">
        <f>AG33</f>
        <v>98415.501398004228</v>
      </c>
      <c r="G37" s="34"/>
      <c r="H37" s="34">
        <f>AK31*R33</f>
        <v>100653.44984975565</v>
      </c>
      <c r="I37" s="123">
        <f>SUM(F37:H37)</f>
        <v>199068.95124775986</v>
      </c>
      <c r="AJ37" s="32"/>
      <c r="AM37" s="32"/>
      <c r="AN37" s="32"/>
      <c r="AO37" s="32"/>
      <c r="AP37" s="32"/>
    </row>
    <row r="38" spans="5:49" ht="14.4" customHeight="1">
      <c r="E38" s="1002" t="s">
        <v>653</v>
      </c>
      <c r="F38" s="950">
        <f>SUM(F36:F37)</f>
        <v>119007.86803908748</v>
      </c>
      <c r="G38" s="950">
        <f>SUM(G36:G37)</f>
        <v>19727.856905051147</v>
      </c>
      <c r="H38" s="950">
        <f>SUM(H36:H37)</f>
        <v>114589.55047772346</v>
      </c>
      <c r="I38" s="951">
        <f>SUM(F38:H38)</f>
        <v>253325.27542186208</v>
      </c>
      <c r="N38" s="32"/>
      <c r="O38" s="32"/>
      <c r="AN38" s="40"/>
    </row>
    <row r="39" spans="5:49" ht="14.4" customHeight="1">
      <c r="Q39" s="1193" t="s">
        <v>576</v>
      </c>
      <c r="R39" s="1194"/>
      <c r="T39" s="93" t="s">
        <v>603</v>
      </c>
      <c r="U39" s="1154" t="s">
        <v>604</v>
      </c>
      <c r="V39" s="1155"/>
      <c r="W39" s="1154" t="s">
        <v>605</v>
      </c>
      <c r="X39" s="1155"/>
      <c r="Y39" s="1154" t="s">
        <v>606</v>
      </c>
      <c r="Z39" s="1155"/>
      <c r="AA39" s="104"/>
      <c r="AB39" s="1154" t="s">
        <v>607</v>
      </c>
      <c r="AC39" s="1155"/>
      <c r="AD39" s="1154" t="s">
        <v>608</v>
      </c>
      <c r="AE39" s="1155"/>
      <c r="AF39" s="1154" t="s">
        <v>609</v>
      </c>
      <c r="AG39" s="1156"/>
      <c r="AH39" s="1155"/>
      <c r="AJ39" s="1193" t="s">
        <v>482</v>
      </c>
      <c r="AK39" s="1194"/>
      <c r="AN39" s="40"/>
      <c r="AO39" s="40"/>
    </row>
    <row r="40" spans="5:49" ht="14.4" customHeight="1">
      <c r="M40" s="1218" t="s">
        <v>612</v>
      </c>
      <c r="N40" s="1157"/>
      <c r="O40" s="343"/>
      <c r="Q40" s="221" t="s">
        <v>613</v>
      </c>
      <c r="R40" s="222">
        <f>'BASES Model'!E16</f>
        <v>252116</v>
      </c>
      <c r="T40" s="632" t="s">
        <v>614</v>
      </c>
      <c r="U40" s="633" t="s">
        <v>276</v>
      </c>
      <c r="V40" s="634" t="s">
        <v>615</v>
      </c>
      <c r="W40" s="314" t="s">
        <v>616</v>
      </c>
      <c r="X40" s="318" t="s">
        <v>617</v>
      </c>
      <c r="Y40" s="316" t="s">
        <v>618</v>
      </c>
      <c r="Z40" s="316" t="s">
        <v>619</v>
      </c>
      <c r="AA40" s="314" t="s">
        <v>620</v>
      </c>
      <c r="AB40" s="315" t="s">
        <v>621</v>
      </c>
      <c r="AC40" s="317" t="s">
        <v>622</v>
      </c>
      <c r="AD40" s="316" t="s">
        <v>623</v>
      </c>
      <c r="AE40" s="316" t="s">
        <v>624</v>
      </c>
      <c r="AF40" s="315" t="s">
        <v>625</v>
      </c>
      <c r="AG40" s="317" t="s">
        <v>130</v>
      </c>
      <c r="AH40" s="318" t="s">
        <v>183</v>
      </c>
      <c r="AJ40" s="44" t="s">
        <v>626</v>
      </c>
      <c r="AK40" s="84">
        <f>R44*$C$11</f>
        <v>5252.416666666667</v>
      </c>
      <c r="AN40" s="40"/>
      <c r="AO40" s="40"/>
    </row>
    <row r="41" spans="5:49" ht="14.4" customHeight="1">
      <c r="E41" s="838" t="s">
        <v>77</v>
      </c>
      <c r="F41" s="598" t="s">
        <v>650</v>
      </c>
      <c r="G41" s="598" t="s">
        <v>651</v>
      </c>
      <c r="H41" s="598" t="s">
        <v>652</v>
      </c>
      <c r="I41" s="599" t="s">
        <v>653</v>
      </c>
      <c r="M41" s="49" t="s">
        <v>600</v>
      </c>
      <c r="N41" s="309">
        <f>AH48</f>
        <v>154132.71748722729</v>
      </c>
      <c r="O41" s="34"/>
      <c r="Q41" s="44" t="s">
        <v>628</v>
      </c>
      <c r="R41" s="84">
        <f>((R40*2)+(R40*4)+(R40*0.5))/6</f>
        <v>273125.66666666669</v>
      </c>
      <c r="T41" s="49" t="s">
        <v>629</v>
      </c>
      <c r="U41" s="583">
        <f>'Bill of Materials'!H27</f>
        <v>0.59510000000000007</v>
      </c>
      <c r="V41" s="628">
        <f>'Bill of Materials'!$J$6</f>
        <v>0.5</v>
      </c>
      <c r="W41" s="635">
        <f t="shared" ref="W41:W47" si="28">V41*$R$44</f>
        <v>2626.2083333333335</v>
      </c>
      <c r="X41" s="320">
        <f t="shared" ref="X41:X47" si="29">V41*R$45</f>
        <v>4370.2748334849957</v>
      </c>
      <c r="Y41" s="29">
        <f>'Bill of Materials'!$L$6/7</f>
        <v>0.5714285714285714</v>
      </c>
      <c r="Z41" s="202">
        <f>((Y41*1.2)-(Y41*0.8))/6</f>
        <v>3.8095238095238078E-2</v>
      </c>
      <c r="AA41" s="281">
        <f>SQRT(Y41*X41^2+W41^2*Z41^2)</f>
        <v>3305.1317877343868</v>
      </c>
      <c r="AB41" s="304">
        <f t="shared" ref="AB41:AB47" si="30">SQRT((2*W41*52*$C$10)/(U41*$C$9))</f>
        <v>7822.6815365131133</v>
      </c>
      <c r="AC41" s="84">
        <f t="shared" ref="AC41:AC47" si="31">W41*Y41+AE41</f>
        <v>8673.1251654017251</v>
      </c>
      <c r="AD41" s="40">
        <f t="shared" ref="AD41:AD47" si="32">AB41/2</f>
        <v>3911.3407682565567</v>
      </c>
      <c r="AE41" s="40">
        <f t="shared" ref="AE41:AE47" si="33">AA41*$C$8</f>
        <v>7172.434689211248</v>
      </c>
      <c r="AF41" s="305">
        <f t="shared" ref="AF41:AF47" si="34">AD41*U41</f>
        <v>2327.6388911894774</v>
      </c>
      <c r="AG41" s="123">
        <f t="shared" ref="AG41:AG47" si="35">AE41*U41</f>
        <v>4268.3158835496142</v>
      </c>
      <c r="AH41" s="123">
        <f t="shared" ref="AH41:AH47" si="36">AF41+AG41</f>
        <v>6595.9547747390916</v>
      </c>
      <c r="AJ41" s="44" t="s">
        <v>630</v>
      </c>
      <c r="AK41" s="307">
        <f>(R47+R48)/2</f>
        <v>4.8481694162409497</v>
      </c>
      <c r="AN41" s="40"/>
      <c r="AO41" s="40"/>
    </row>
    <row r="42" spans="5:49" ht="14.4" customHeight="1">
      <c r="E42" s="230" t="s">
        <v>654</v>
      </c>
      <c r="F42" s="34">
        <f>AF48</f>
        <v>23705.975456406766</v>
      </c>
      <c r="G42" s="34">
        <f>AK42</f>
        <v>25464.605844687569</v>
      </c>
      <c r="H42" s="34">
        <f>AK45*R48</f>
        <v>17788.986748854233</v>
      </c>
      <c r="I42" s="123">
        <f>SUM(F42:H42)</f>
        <v>66959.568049948575</v>
      </c>
      <c r="M42" s="44" t="s">
        <v>602</v>
      </c>
      <c r="N42" s="123">
        <f>AK42</f>
        <v>25464.605844687569</v>
      </c>
      <c r="O42" s="34"/>
      <c r="Q42" s="51" t="s">
        <v>632</v>
      </c>
      <c r="R42" s="306">
        <f>((R40*2)-(R40*0.5))/6</f>
        <v>63029</v>
      </c>
      <c r="T42" s="44" t="s">
        <v>633</v>
      </c>
      <c r="U42" s="301">
        <f>'Bill of Materials'!H28</f>
        <v>0.57200000000000006</v>
      </c>
      <c r="V42" s="629">
        <f>'Bill of Materials'!$J$7</f>
        <v>2</v>
      </c>
      <c r="W42" s="40">
        <f t="shared" si="28"/>
        <v>10504.833333333334</v>
      </c>
      <c r="X42" s="13">
        <f t="shared" si="29"/>
        <v>17481.099333939983</v>
      </c>
      <c r="Y42" s="29">
        <f>'Bill of Materials'!$L$7/7</f>
        <v>0.5714285714285714</v>
      </c>
      <c r="Z42" s="202">
        <f t="shared" ref="Z42:Z47" si="37">((Y42*1.2)-(Y42*0.8))/6</f>
        <v>3.8095238095238078E-2</v>
      </c>
      <c r="AA42" s="281">
        <f t="shared" ref="AA42:AA47" si="38">SQRT(Y42*X42^2+W42^2*Z42^2)</f>
        <v>13220.527150937547</v>
      </c>
      <c r="AB42" s="304">
        <f t="shared" si="30"/>
        <v>15958.152344887119</v>
      </c>
      <c r="AC42" s="84">
        <f t="shared" si="31"/>
        <v>34692.5006616069</v>
      </c>
      <c r="AD42" s="40">
        <f t="shared" si="32"/>
        <v>7979.0761724435597</v>
      </c>
      <c r="AE42" s="40">
        <f t="shared" si="33"/>
        <v>28689.738756844992</v>
      </c>
      <c r="AF42" s="305">
        <f t="shared" si="34"/>
        <v>4564.0315706377169</v>
      </c>
      <c r="AG42" s="123">
        <f t="shared" si="35"/>
        <v>16410.530568915336</v>
      </c>
      <c r="AH42" s="123">
        <f t="shared" si="36"/>
        <v>20974.562139553054</v>
      </c>
      <c r="AJ42" s="219" t="s">
        <v>634</v>
      </c>
      <c r="AK42" s="308">
        <f>AK40*AK41</f>
        <v>25464.605844687569</v>
      </c>
      <c r="AN42" s="40"/>
      <c r="AO42" s="40"/>
    </row>
    <row r="43" spans="5:49" ht="14.4" customHeight="1">
      <c r="E43" s="230" t="s">
        <v>655</v>
      </c>
      <c r="F43" s="34">
        <f>AG48</f>
        <v>130426.74203082055</v>
      </c>
      <c r="G43" s="34"/>
      <c r="H43" s="34">
        <f>AK46*R48</f>
        <v>128480.90964630646</v>
      </c>
      <c r="I43" s="123">
        <f>SUM(F43:H43)</f>
        <v>258907.651677127</v>
      </c>
      <c r="M43" s="51" t="s">
        <v>611</v>
      </c>
      <c r="N43" s="124">
        <f>AK48</f>
        <v>146269.8963951607</v>
      </c>
      <c r="O43" s="34"/>
      <c r="Q43" s="192" t="s">
        <v>636</v>
      </c>
      <c r="R43" s="223">
        <f>R40/52</f>
        <v>4848.3846153846152</v>
      </c>
      <c r="T43" s="44" t="s">
        <v>637</v>
      </c>
      <c r="U43" s="301">
        <f>'Bill of Materials'!H29</f>
        <v>0.13200000000000001</v>
      </c>
      <c r="V43" s="629">
        <f>'Bill of Materials'!$J$9</f>
        <v>4</v>
      </c>
      <c r="W43" s="40">
        <f t="shared" si="28"/>
        <v>21009.666666666668</v>
      </c>
      <c r="X43" s="13">
        <f t="shared" si="29"/>
        <v>34962.198667879966</v>
      </c>
      <c r="Y43" s="29">
        <f>'Bill of Materials'!$L$9/7</f>
        <v>4.2857142857142856</v>
      </c>
      <c r="Z43" s="202">
        <f t="shared" si="37"/>
        <v>0.28571428571428559</v>
      </c>
      <c r="AA43" s="281">
        <f t="shared" si="38"/>
        <v>72627.122171271971</v>
      </c>
      <c r="AB43" s="304">
        <f t="shared" si="30"/>
        <v>46979.528459490677</v>
      </c>
      <c r="AC43" s="84">
        <f t="shared" si="31"/>
        <v>247648.84754696416</v>
      </c>
      <c r="AD43" s="40">
        <f t="shared" si="32"/>
        <v>23489.764229745339</v>
      </c>
      <c r="AE43" s="40">
        <f t="shared" si="33"/>
        <v>157607.41897553558</v>
      </c>
      <c r="AF43" s="305">
        <f t="shared" si="34"/>
        <v>3100.6488783263849</v>
      </c>
      <c r="AG43" s="123">
        <f t="shared" si="35"/>
        <v>20804.179304770696</v>
      </c>
      <c r="AH43" s="123">
        <f t="shared" si="36"/>
        <v>23904.828183097081</v>
      </c>
      <c r="AN43" s="40"/>
      <c r="AO43" s="40"/>
    </row>
    <row r="44" spans="5:49" ht="14.4" customHeight="1">
      <c r="E44" s="1002" t="s">
        <v>653</v>
      </c>
      <c r="F44" s="950">
        <f>SUM(F42:F43)</f>
        <v>154132.71748722732</v>
      </c>
      <c r="G44" s="950">
        <f>SUM(G42:G43)</f>
        <v>25464.605844687569</v>
      </c>
      <c r="H44" s="950">
        <f>SUM(H42:H43)</f>
        <v>146269.8963951607</v>
      </c>
      <c r="I44" s="951">
        <f>SUM(F44:H44)</f>
        <v>325867.2197270756</v>
      </c>
      <c r="M44" s="310" t="s">
        <v>598</v>
      </c>
      <c r="N44" s="311">
        <f>N41+N42+N43</f>
        <v>325867.21972707554</v>
      </c>
      <c r="O44" s="111"/>
      <c r="Q44" s="44" t="s">
        <v>628</v>
      </c>
      <c r="R44" s="84">
        <f>R41/52</f>
        <v>5252.416666666667</v>
      </c>
      <c r="T44" s="44" t="s">
        <v>639</v>
      </c>
      <c r="U44" s="301">
        <f>'Bill of Materials'!H30</f>
        <v>1.2320000000000002</v>
      </c>
      <c r="V44" s="629">
        <f>'Bill of Materials'!$J$8</f>
        <v>4</v>
      </c>
      <c r="W44" s="40">
        <f t="shared" si="28"/>
        <v>21009.666666666668</v>
      </c>
      <c r="X44" s="13">
        <f t="shared" si="29"/>
        <v>34962.198667879966</v>
      </c>
      <c r="Y44" s="29">
        <f>'Bill of Materials'!$L$8/7</f>
        <v>0.5714285714285714</v>
      </c>
      <c r="Z44" s="202">
        <f t="shared" si="37"/>
        <v>3.8095238095238078E-2</v>
      </c>
      <c r="AA44" s="281">
        <f t="shared" si="38"/>
        <v>26441.054301875094</v>
      </c>
      <c r="AB44" s="304">
        <f t="shared" si="30"/>
        <v>15377.660377067725</v>
      </c>
      <c r="AC44" s="84">
        <f t="shared" si="31"/>
        <v>69385.001323213801</v>
      </c>
      <c r="AD44" s="40">
        <f t="shared" si="32"/>
        <v>7688.8301885338624</v>
      </c>
      <c r="AE44" s="40">
        <f t="shared" si="33"/>
        <v>57379.477513689984</v>
      </c>
      <c r="AF44" s="305">
        <f t="shared" si="34"/>
        <v>9472.6387922737194</v>
      </c>
      <c r="AG44" s="123">
        <f t="shared" si="35"/>
        <v>70691.516296866073</v>
      </c>
      <c r="AH44" s="123">
        <f t="shared" si="36"/>
        <v>80164.155089139793</v>
      </c>
      <c r="AJ44" s="1193" t="s">
        <v>484</v>
      </c>
      <c r="AK44" s="1194"/>
      <c r="AN44" s="40"/>
      <c r="AO44" s="40"/>
    </row>
    <row r="45" spans="5:49" ht="14.4" customHeight="1">
      <c r="M45" s="321" t="s">
        <v>631</v>
      </c>
      <c r="N45" s="322">
        <f>SUM(AD41:AE47)</f>
        <v>441542.53188011219</v>
      </c>
      <c r="O45" s="40"/>
      <c r="Q45" s="51" t="s">
        <v>632</v>
      </c>
      <c r="R45" s="306">
        <f>R42/SQRT(52)</f>
        <v>8740.5496669699914</v>
      </c>
      <c r="T45" s="44" t="s">
        <v>641</v>
      </c>
      <c r="U45" s="301">
        <f>'Bill of Materials'!H31</f>
        <v>6.1600000000000002E-2</v>
      </c>
      <c r="V45" s="630">
        <f>'Bill of Materials'!$J$10</f>
        <v>0.02</v>
      </c>
      <c r="W45" s="40">
        <f t="shared" si="28"/>
        <v>105.04833333333335</v>
      </c>
      <c r="X45" s="13">
        <f t="shared" si="29"/>
        <v>174.81099333939983</v>
      </c>
      <c r="Y45" s="29">
        <f>'Bill of Materials'!$L$10/7</f>
        <v>4.2857142857142856</v>
      </c>
      <c r="Z45" s="202">
        <f t="shared" si="37"/>
        <v>0.28571428571428559</v>
      </c>
      <c r="AA45" s="281">
        <f t="shared" si="38"/>
        <v>363.13561085635985</v>
      </c>
      <c r="AB45" s="304">
        <f t="shared" si="30"/>
        <v>4862.843187605773</v>
      </c>
      <c r="AC45" s="84">
        <f t="shared" si="31"/>
        <v>1238.2442377348207</v>
      </c>
      <c r="AD45" s="40">
        <f t="shared" si="32"/>
        <v>2431.4215938028865</v>
      </c>
      <c r="AE45" s="40">
        <f t="shared" si="33"/>
        <v>788.03709487767787</v>
      </c>
      <c r="AF45" s="305">
        <f t="shared" si="34"/>
        <v>149.77557017825782</v>
      </c>
      <c r="AG45" s="123">
        <f t="shared" si="35"/>
        <v>48.543085044464959</v>
      </c>
      <c r="AH45" s="123">
        <f t="shared" si="36"/>
        <v>198.31865522272278</v>
      </c>
      <c r="AJ45" s="44" t="s">
        <v>623</v>
      </c>
      <c r="AK45" s="84">
        <f>R44/2</f>
        <v>2626.2083333333335</v>
      </c>
      <c r="AN45" s="40"/>
      <c r="AO45" s="40"/>
    </row>
    <row r="46" spans="5:49" ht="14.4" customHeight="1">
      <c r="M46" s="10" t="s">
        <v>635</v>
      </c>
      <c r="N46" s="282">
        <f>AK40</f>
        <v>5252.416666666667</v>
      </c>
      <c r="O46" s="40"/>
      <c r="Q46" s="1193" t="s">
        <v>642</v>
      </c>
      <c r="R46" s="1194"/>
      <c r="T46" s="44" t="s">
        <v>643</v>
      </c>
      <c r="U46" s="301">
        <f>'Bill of Materials'!H32</f>
        <v>0.13200000000000001</v>
      </c>
      <c r="V46" s="629">
        <f>'Bill of Materials'!$J$12</f>
        <v>2</v>
      </c>
      <c r="W46" s="40">
        <f t="shared" si="28"/>
        <v>10504.833333333334</v>
      </c>
      <c r="X46" s="13">
        <f t="shared" si="29"/>
        <v>17481.099333939983</v>
      </c>
      <c r="Y46" s="29">
        <f>'Bill of Materials'!$L$12/7</f>
        <v>4.2857142857142856</v>
      </c>
      <c r="Z46" s="202">
        <f t="shared" si="37"/>
        <v>0.28571428571428559</v>
      </c>
      <c r="AA46" s="281">
        <f t="shared" si="38"/>
        <v>36313.561085635985</v>
      </c>
      <c r="AB46" s="304">
        <f t="shared" si="30"/>
        <v>33219.543150652258</v>
      </c>
      <c r="AC46" s="84">
        <f t="shared" si="31"/>
        <v>123824.42377348208</v>
      </c>
      <c r="AD46" s="40">
        <f t="shared" si="32"/>
        <v>16609.771575326129</v>
      </c>
      <c r="AE46" s="40">
        <f t="shared" si="33"/>
        <v>78803.709487767788</v>
      </c>
      <c r="AF46" s="305">
        <f t="shared" si="34"/>
        <v>2192.489847943049</v>
      </c>
      <c r="AG46" s="123">
        <f t="shared" si="35"/>
        <v>10402.089652385348</v>
      </c>
      <c r="AH46" s="123">
        <f t="shared" si="36"/>
        <v>12594.579500328397</v>
      </c>
      <c r="AJ46" s="44" t="s">
        <v>624</v>
      </c>
      <c r="AK46" s="84">
        <f>$C$8*R45*SQRT($C$11)</f>
        <v>18967.782727091511</v>
      </c>
    </row>
    <row r="47" spans="5:49" ht="14.4" customHeight="1">
      <c r="E47" s="838" t="s">
        <v>78</v>
      </c>
      <c r="F47" s="598" t="s">
        <v>650</v>
      </c>
      <c r="G47" s="598" t="s">
        <v>651</v>
      </c>
      <c r="H47" s="598" t="s">
        <v>652</v>
      </c>
      <c r="I47" s="599" t="s">
        <v>653</v>
      </c>
      <c r="M47" s="15" t="s">
        <v>638</v>
      </c>
      <c r="N47" s="283">
        <f>AK47</f>
        <v>21593.991060424843</v>
      </c>
      <c r="O47" s="319"/>
      <c r="Q47" s="545" t="s">
        <v>644</v>
      </c>
      <c r="R47" s="307">
        <f>COGS!$R$50</f>
        <v>2.9227000000000003</v>
      </c>
      <c r="T47" s="51" t="s">
        <v>645</v>
      </c>
      <c r="U47" s="302">
        <f>'Bill of Materials'!H33</f>
        <v>0.19800000000000001</v>
      </c>
      <c r="V47" s="631">
        <f>'Bill of Materials'!$J$13</f>
        <v>1</v>
      </c>
      <c r="W47" s="280">
        <f t="shared" si="28"/>
        <v>5252.416666666667</v>
      </c>
      <c r="X47" s="17">
        <f t="shared" si="29"/>
        <v>8740.5496669699914</v>
      </c>
      <c r="Y47" s="231">
        <f>'Bill of Materials'!$L$13/7</f>
        <v>4.2857142857142856</v>
      </c>
      <c r="Z47" s="224">
        <f t="shared" si="37"/>
        <v>0.28571428571428559</v>
      </c>
      <c r="AA47" s="281">
        <f t="shared" si="38"/>
        <v>18156.780542817993</v>
      </c>
      <c r="AB47" s="304">
        <f t="shared" si="30"/>
        <v>19179.31218038547</v>
      </c>
      <c r="AC47" s="303">
        <f t="shared" si="31"/>
        <v>61912.211886741039</v>
      </c>
      <c r="AD47" s="81">
        <f t="shared" si="32"/>
        <v>9589.6560901927351</v>
      </c>
      <c r="AE47" s="40">
        <f t="shared" si="33"/>
        <v>39401.854743883894</v>
      </c>
      <c r="AF47" s="305">
        <f t="shared" si="34"/>
        <v>1898.7519058581615</v>
      </c>
      <c r="AG47" s="123">
        <f t="shared" si="35"/>
        <v>7801.567239289011</v>
      </c>
      <c r="AH47" s="123">
        <f t="shared" si="36"/>
        <v>9700.3191451471721</v>
      </c>
      <c r="AJ47" s="44" t="s">
        <v>646</v>
      </c>
      <c r="AK47" s="84">
        <f>AK45+AK46</f>
        <v>21593.991060424843</v>
      </c>
    </row>
    <row r="48" spans="5:49" ht="14.4" customHeight="1">
      <c r="E48" s="230" t="s">
        <v>654</v>
      </c>
      <c r="F48" s="34">
        <f>AF63</f>
        <v>27215.250824891235</v>
      </c>
      <c r="G48" s="34">
        <f>AK57</f>
        <v>32884.423245878905</v>
      </c>
      <c r="H48" s="34">
        <f>AK60*R63</f>
        <v>22768.106091712238</v>
      </c>
      <c r="I48" s="123">
        <f>SUM(F48:H48)</f>
        <v>82867.780162482377</v>
      </c>
      <c r="M48" s="194" t="s">
        <v>640</v>
      </c>
      <c r="N48" s="324">
        <f>(N44/R48)/R44</f>
        <v>9.1592406112749583</v>
      </c>
      <c r="Q48" s="546" t="s">
        <v>647</v>
      </c>
      <c r="R48" s="548">
        <f>COGS!$R$47</f>
        <v>6.7736388324818986</v>
      </c>
      <c r="T48" s="32"/>
      <c r="Y48" s="29"/>
      <c r="Z48" s="29"/>
      <c r="AA48" s="455"/>
      <c r="AB48" s="456"/>
      <c r="AE48" s="214"/>
      <c r="AF48" s="308">
        <f>SUM(AF41:AF47)</f>
        <v>23705.975456406766</v>
      </c>
      <c r="AG48" s="308">
        <f>SUM(AG41:AG47)</f>
        <v>130426.74203082055</v>
      </c>
      <c r="AH48" s="308">
        <f>SUM(AH41:AH47)</f>
        <v>154132.71748722729</v>
      </c>
      <c r="AJ48" s="219" t="s">
        <v>648</v>
      </c>
      <c r="AK48" s="308">
        <f>AK47*R48</f>
        <v>146269.8963951607</v>
      </c>
    </row>
    <row r="49" spans="5:42" ht="30" customHeight="1">
      <c r="E49" s="230" t="s">
        <v>655</v>
      </c>
      <c r="F49" s="34">
        <f>AG63</f>
        <v>171899.91729588434</v>
      </c>
      <c r="G49" s="34"/>
      <c r="H49" s="34">
        <f>AK61*R63</f>
        <v>164442.58590361886</v>
      </c>
      <c r="I49" s="123">
        <f>SUM(F49:H49)</f>
        <v>336342.50319950317</v>
      </c>
    </row>
    <row r="50" spans="5:42" ht="14.4">
      <c r="E50" s="1002" t="s">
        <v>653</v>
      </c>
      <c r="F50" s="950">
        <f>SUM(F48:F49)</f>
        <v>199115.16812077558</v>
      </c>
      <c r="G50" s="950">
        <f>SUM(G48:G49)</f>
        <v>32884.423245878905</v>
      </c>
      <c r="H50" s="950">
        <f>SUM(H48:H49)</f>
        <v>187210.69199533109</v>
      </c>
      <c r="I50" s="951">
        <f>SUM(F50:H50)</f>
        <v>419210.28336198558</v>
      </c>
    </row>
    <row r="51" spans="5:42" ht="14.4" customHeight="1">
      <c r="E51" s="32"/>
      <c r="AM51" s="32"/>
      <c r="AO51" s="40"/>
    </row>
    <row r="52" spans="5:42" ht="25.8">
      <c r="M52" s="1161" t="s">
        <v>78</v>
      </c>
      <c r="N52" s="1161"/>
      <c r="O52" s="1161"/>
      <c r="P52" s="1161"/>
      <c r="Q52" s="1161"/>
      <c r="R52" s="1161"/>
      <c r="S52" s="1161"/>
      <c r="T52" s="1161"/>
      <c r="U52" s="1161"/>
      <c r="V52" s="1161"/>
      <c r="W52" s="1161"/>
      <c r="X52" s="1161"/>
      <c r="Y52" s="1161"/>
      <c r="Z52" s="1161"/>
      <c r="AA52" s="1161"/>
      <c r="AB52" s="1161"/>
      <c r="AC52" s="1161"/>
      <c r="AD52" s="1161"/>
      <c r="AE52" s="1161"/>
      <c r="AF52" s="1161"/>
      <c r="AG52" s="1161"/>
      <c r="AH52" s="1161"/>
      <c r="AI52" s="1161"/>
      <c r="AJ52" s="1161"/>
      <c r="AK52" s="1161"/>
      <c r="AM52" s="32"/>
      <c r="AN52" s="32"/>
      <c r="AO52" s="32"/>
      <c r="AP52" s="32"/>
    </row>
    <row r="53" spans="5:42" ht="14.4" customHeight="1">
      <c r="E53" s="838" t="s">
        <v>79</v>
      </c>
      <c r="F53" s="598" t="s">
        <v>650</v>
      </c>
      <c r="G53" s="598" t="s">
        <v>651</v>
      </c>
      <c r="H53" s="598" t="s">
        <v>652</v>
      </c>
      <c r="I53" s="599" t="s">
        <v>653</v>
      </c>
      <c r="N53" s="32"/>
      <c r="O53" s="32"/>
      <c r="AN53" s="40"/>
    </row>
    <row r="54" spans="5:42" ht="14.4" customHeight="1">
      <c r="E54" s="230" t="s">
        <v>654</v>
      </c>
      <c r="F54" s="34">
        <f>AF78</f>
        <v>31726.63514547536</v>
      </c>
      <c r="G54" s="34">
        <f>AK72</f>
        <v>43320.741223463388</v>
      </c>
      <c r="H54" s="34">
        <f>AK75*R78</f>
        <v>29572.543092213389</v>
      </c>
      <c r="I54" s="123">
        <f>SUM(F54:H54)</f>
        <v>104619.91946115214</v>
      </c>
      <c r="Q54" s="1193" t="s">
        <v>576</v>
      </c>
      <c r="R54" s="1194"/>
      <c r="T54" s="93" t="s">
        <v>603</v>
      </c>
      <c r="U54" s="1154" t="s">
        <v>604</v>
      </c>
      <c r="V54" s="1155"/>
      <c r="W54" s="1154" t="s">
        <v>605</v>
      </c>
      <c r="X54" s="1155"/>
      <c r="Y54" s="1154" t="s">
        <v>606</v>
      </c>
      <c r="Z54" s="1155"/>
      <c r="AA54" s="104"/>
      <c r="AB54" s="1154" t="s">
        <v>607</v>
      </c>
      <c r="AC54" s="1155"/>
      <c r="AD54" s="1154" t="s">
        <v>608</v>
      </c>
      <c r="AE54" s="1155"/>
      <c r="AF54" s="1154" t="s">
        <v>609</v>
      </c>
      <c r="AG54" s="1156"/>
      <c r="AH54" s="1155"/>
      <c r="AJ54" s="1193" t="s">
        <v>482</v>
      </c>
      <c r="AK54" s="1194"/>
      <c r="AN54" s="40"/>
      <c r="AO54" s="40"/>
    </row>
    <row r="55" spans="5:42" ht="14.4" customHeight="1">
      <c r="E55" s="230" t="s">
        <v>655</v>
      </c>
      <c r="F55" s="34">
        <f>AG78</f>
        <v>233614.0796807576</v>
      </c>
      <c r="G55" s="34"/>
      <c r="H55" s="34">
        <f>AK76*R78</f>
        <v>213587.61410550235</v>
      </c>
      <c r="I55" s="123">
        <f>SUM(F55:H55)</f>
        <v>447201.69378625997</v>
      </c>
      <c r="M55" s="1218" t="s">
        <v>612</v>
      </c>
      <c r="N55" s="1157"/>
      <c r="O55" s="343"/>
      <c r="Q55" s="221" t="s">
        <v>613</v>
      </c>
      <c r="R55" s="222">
        <f>'BASES Model'!F16</f>
        <v>332284</v>
      </c>
      <c r="T55" s="632" t="s">
        <v>614</v>
      </c>
      <c r="U55" s="633" t="s">
        <v>276</v>
      </c>
      <c r="V55" s="634" t="s">
        <v>615</v>
      </c>
      <c r="W55" s="314" t="s">
        <v>616</v>
      </c>
      <c r="X55" s="318" t="s">
        <v>617</v>
      </c>
      <c r="Y55" s="316" t="s">
        <v>618</v>
      </c>
      <c r="Z55" s="316" t="s">
        <v>619</v>
      </c>
      <c r="AA55" s="314" t="s">
        <v>620</v>
      </c>
      <c r="AB55" s="315" t="s">
        <v>621</v>
      </c>
      <c r="AC55" s="317" t="s">
        <v>622</v>
      </c>
      <c r="AD55" s="316" t="s">
        <v>623</v>
      </c>
      <c r="AE55" s="316" t="s">
        <v>624</v>
      </c>
      <c r="AF55" s="315" t="s">
        <v>625</v>
      </c>
      <c r="AG55" s="317" t="s">
        <v>130</v>
      </c>
      <c r="AH55" s="318" t="s">
        <v>183</v>
      </c>
      <c r="AJ55" s="44" t="s">
        <v>626</v>
      </c>
      <c r="AK55" s="84">
        <f>R59*$C$11</f>
        <v>6922.583333333333</v>
      </c>
      <c r="AN55" s="40"/>
      <c r="AO55" s="40"/>
    </row>
    <row r="56" spans="5:42" ht="14.4" customHeight="1">
      <c r="E56" s="1002" t="s">
        <v>653</v>
      </c>
      <c r="F56" s="950">
        <f>SUM(F54:F55)</f>
        <v>265340.71482623299</v>
      </c>
      <c r="G56" s="950">
        <f>SUM(G54:G55)</f>
        <v>43320.741223463388</v>
      </c>
      <c r="H56" s="950">
        <f>SUM(H54:H55)</f>
        <v>243160.15719771574</v>
      </c>
      <c r="I56" s="951">
        <f>SUM(F56:H56)</f>
        <v>551821.61324741214</v>
      </c>
      <c r="M56" s="49" t="s">
        <v>600</v>
      </c>
      <c r="N56" s="309">
        <f>AH63</f>
        <v>199115.16812077558</v>
      </c>
      <c r="O56" s="34"/>
      <c r="Q56" s="44" t="s">
        <v>628</v>
      </c>
      <c r="R56" s="84">
        <f>((R55*2)+(R55*4)+(R55*0.5))/6</f>
        <v>359974.33333333331</v>
      </c>
      <c r="T56" s="49" t="s">
        <v>629</v>
      </c>
      <c r="U56" s="583">
        <f>'Bill of Materials'!I27</f>
        <v>0.59510000000000007</v>
      </c>
      <c r="V56" s="628">
        <f>'Bill of Materials'!$J$6</f>
        <v>0.5</v>
      </c>
      <c r="W56" s="635">
        <f t="shared" ref="W56:W62" si="39">V56*$R$59</f>
        <v>3461.2916666666665</v>
      </c>
      <c r="X56" s="320">
        <f t="shared" ref="X56:X62" si="40">V56*R$60</f>
        <v>5759.9375000782511</v>
      </c>
      <c r="Y56" s="29">
        <f>'Bill of Materials'!$L$6/7</f>
        <v>0.5714285714285714</v>
      </c>
      <c r="Z56" s="202">
        <f>((Y56*1.2)-(Y56*0.8))/6</f>
        <v>3.8095238095238078E-2</v>
      </c>
      <c r="AA56" s="281">
        <f>SQRT(Y56*X56^2+W56^2*Z56^2)</f>
        <v>4356.0996166666655</v>
      </c>
      <c r="AB56" s="304">
        <f t="shared" ref="AB56:AB62" si="41">SQRT((2*W56*52*$C$10)/(U56*$C$9))</f>
        <v>8980.6994245373971</v>
      </c>
      <c r="AC56" s="84">
        <f t="shared" ref="AC56:AC62" si="42">W56*Y56+AE56</f>
        <v>11431.010814309075</v>
      </c>
      <c r="AD56" s="40">
        <f t="shared" ref="AD56:AD62" si="43">AB56/2</f>
        <v>4490.3497122686986</v>
      </c>
      <c r="AE56" s="40">
        <f t="shared" ref="AE56:AE62" si="44">AA56*$C$8</f>
        <v>9453.1298619281224</v>
      </c>
      <c r="AF56" s="305">
        <f t="shared" ref="AF56:AF62" si="45">AD56*U56</f>
        <v>2672.2071137711027</v>
      </c>
      <c r="AG56" s="123">
        <f t="shared" ref="AG56:AG62" si="46">AE56*U56</f>
        <v>5625.5575808334261</v>
      </c>
      <c r="AH56" s="123">
        <f t="shared" ref="AH56:AH62" si="47">AF56+AG56</f>
        <v>8297.7646946045279</v>
      </c>
      <c r="AJ56" s="44" t="s">
        <v>630</v>
      </c>
      <c r="AK56" s="307">
        <f>(R62+R63)/2</f>
        <v>4.7503109262022472</v>
      </c>
      <c r="AN56" s="40"/>
      <c r="AO56" s="40"/>
    </row>
    <row r="57" spans="5:42" ht="14.4" customHeight="1">
      <c r="M57" s="44" t="s">
        <v>602</v>
      </c>
      <c r="N57" s="123">
        <f>AK57</f>
        <v>32884.423245878905</v>
      </c>
      <c r="O57" s="34"/>
      <c r="Q57" s="51" t="s">
        <v>632</v>
      </c>
      <c r="R57" s="306">
        <f>((R55*2)-(R55*0.5))/6</f>
        <v>83071</v>
      </c>
      <c r="T57" s="44" t="s">
        <v>633</v>
      </c>
      <c r="U57" s="301">
        <f>'Bill of Materials'!I28</f>
        <v>0.57200000000000006</v>
      </c>
      <c r="V57" s="629">
        <f>'Bill of Materials'!$J$7</f>
        <v>2</v>
      </c>
      <c r="W57" s="40">
        <f t="shared" si="39"/>
        <v>13845.166666666666</v>
      </c>
      <c r="X57" s="13">
        <f t="shared" si="40"/>
        <v>23039.750000313004</v>
      </c>
      <c r="Y57" s="29">
        <f>'Bill of Materials'!$L$7/7</f>
        <v>0.5714285714285714</v>
      </c>
      <c r="Z57" s="202">
        <f t="shared" ref="Z57:Z62" si="48">((Y57*1.2)-(Y57*0.8))/6</f>
        <v>3.8095238095238078E-2</v>
      </c>
      <c r="AA57" s="281">
        <f t="shared" ref="AA57:AA62" si="49">SQRT(Y57*X57^2+W57^2*Z57^2)</f>
        <v>17424.398466666662</v>
      </c>
      <c r="AB57" s="304">
        <f t="shared" si="41"/>
        <v>18320.491370058939</v>
      </c>
      <c r="AC57" s="84">
        <f t="shared" si="42"/>
        <v>45724.043257236299</v>
      </c>
      <c r="AD57" s="40">
        <f t="shared" si="43"/>
        <v>9160.2456850294693</v>
      </c>
      <c r="AE57" s="40">
        <f t="shared" si="44"/>
        <v>37812.51944771249</v>
      </c>
      <c r="AF57" s="305">
        <f t="shared" si="45"/>
        <v>5239.6605318368574</v>
      </c>
      <c r="AG57" s="123">
        <f t="shared" si="46"/>
        <v>21628.761124091547</v>
      </c>
      <c r="AH57" s="123">
        <f t="shared" si="47"/>
        <v>26868.421655928403</v>
      </c>
      <c r="AJ57" s="219" t="s">
        <v>634</v>
      </c>
      <c r="AK57" s="308">
        <f>AK55*AK56</f>
        <v>32884.423245878905</v>
      </c>
      <c r="AN57" s="40"/>
      <c r="AO57" s="40"/>
    </row>
    <row r="58" spans="5:42" ht="14.4" customHeight="1">
      <c r="M58" s="51" t="s">
        <v>611</v>
      </c>
      <c r="N58" s="124">
        <f>AK63</f>
        <v>187210.69199533112</v>
      </c>
      <c r="O58" s="34"/>
      <c r="Q58" s="192" t="s">
        <v>636</v>
      </c>
      <c r="R58" s="223">
        <f>R55/52</f>
        <v>6390.0769230769229</v>
      </c>
      <c r="T58" s="44" t="s">
        <v>637</v>
      </c>
      <c r="U58" s="301">
        <f>'Bill of Materials'!I29</f>
        <v>0.13200000000000001</v>
      </c>
      <c r="V58" s="629">
        <f>'Bill of Materials'!$J$9</f>
        <v>4</v>
      </c>
      <c r="W58" s="40">
        <f t="shared" si="39"/>
        <v>27690.333333333332</v>
      </c>
      <c r="X58" s="13">
        <f t="shared" si="40"/>
        <v>46079.500000626009</v>
      </c>
      <c r="Y58" s="29">
        <f>'Bill of Materials'!$L$9/7</f>
        <v>4.2857142857142856</v>
      </c>
      <c r="Z58" s="202">
        <f t="shared" si="48"/>
        <v>0.28571428571428559</v>
      </c>
      <c r="AA58" s="281">
        <f t="shared" si="49"/>
        <v>95721.138934295872</v>
      </c>
      <c r="AB58" s="304">
        <f t="shared" si="41"/>
        <v>53934.06624466119</v>
      </c>
      <c r="AC58" s="84">
        <f t="shared" si="42"/>
        <v>326396.37967560743</v>
      </c>
      <c r="AD58" s="40">
        <f t="shared" si="43"/>
        <v>26967.033122330595</v>
      </c>
      <c r="AE58" s="40">
        <f t="shared" si="44"/>
        <v>207723.52253275027</v>
      </c>
      <c r="AF58" s="305">
        <f t="shared" si="45"/>
        <v>3559.6483721476388</v>
      </c>
      <c r="AG58" s="123">
        <f t="shared" si="46"/>
        <v>27419.504974323037</v>
      </c>
      <c r="AH58" s="123">
        <f t="shared" si="47"/>
        <v>30979.153346470677</v>
      </c>
      <c r="AN58" s="40"/>
      <c r="AO58" s="40"/>
    </row>
    <row r="59" spans="5:42" ht="14.4" customHeight="1">
      <c r="M59" s="310" t="s">
        <v>598</v>
      </c>
      <c r="N59" s="311">
        <f>N56+N57+N58</f>
        <v>419210.28336198558</v>
      </c>
      <c r="O59" s="111"/>
      <c r="Q59" s="44" t="s">
        <v>628</v>
      </c>
      <c r="R59" s="84">
        <f>R56/52</f>
        <v>6922.583333333333</v>
      </c>
      <c r="T59" s="44" t="s">
        <v>639</v>
      </c>
      <c r="U59" s="301">
        <f>'Bill of Materials'!I30</f>
        <v>1.2320000000000002</v>
      </c>
      <c r="V59" s="629">
        <f>'Bill of Materials'!$J$8</f>
        <v>4</v>
      </c>
      <c r="W59" s="40">
        <f t="shared" si="39"/>
        <v>27690.333333333332</v>
      </c>
      <c r="X59" s="13">
        <f t="shared" si="40"/>
        <v>46079.500000626009</v>
      </c>
      <c r="Y59" s="29">
        <f>'Bill of Materials'!$L$8/7</f>
        <v>0.5714285714285714</v>
      </c>
      <c r="Z59" s="202">
        <f t="shared" si="48"/>
        <v>3.8095238095238078E-2</v>
      </c>
      <c r="AA59" s="281">
        <f t="shared" si="49"/>
        <v>34848.796933333324</v>
      </c>
      <c r="AB59" s="304">
        <f t="shared" si="41"/>
        <v>17654.067221637324</v>
      </c>
      <c r="AC59" s="84">
        <f t="shared" si="42"/>
        <v>91448.086514472598</v>
      </c>
      <c r="AD59" s="40">
        <f t="shared" si="43"/>
        <v>8827.0336108186621</v>
      </c>
      <c r="AE59" s="40">
        <f t="shared" si="44"/>
        <v>75625.038895424979</v>
      </c>
      <c r="AF59" s="305">
        <f t="shared" si="45"/>
        <v>10874.905408528593</v>
      </c>
      <c r="AG59" s="123">
        <f t="shared" si="46"/>
        <v>93170.047919163597</v>
      </c>
      <c r="AH59" s="123">
        <f t="shared" si="47"/>
        <v>104044.95332769219</v>
      </c>
      <c r="AJ59" s="1193" t="s">
        <v>484</v>
      </c>
      <c r="AK59" s="1194"/>
      <c r="AN59" s="40"/>
      <c r="AO59" s="40"/>
    </row>
    <row r="60" spans="5:42" ht="14.4" customHeight="1">
      <c r="M60" s="321" t="s">
        <v>631</v>
      </c>
      <c r="N60" s="322">
        <f>SUM(AD56:AE62)</f>
        <v>569759.30266015057</v>
      </c>
      <c r="O60" s="40"/>
      <c r="Q60" s="51" t="s">
        <v>632</v>
      </c>
      <c r="R60" s="306">
        <f>R57/SQRT(52)</f>
        <v>11519.875000156502</v>
      </c>
      <c r="T60" s="44" t="s">
        <v>641</v>
      </c>
      <c r="U60" s="301">
        <f>'Bill of Materials'!I31</f>
        <v>6.1600000000000002E-2</v>
      </c>
      <c r="V60" s="630">
        <f>'Bill of Materials'!$J$10</f>
        <v>0.02</v>
      </c>
      <c r="W60" s="40">
        <f t="shared" si="39"/>
        <v>138.45166666666665</v>
      </c>
      <c r="X60" s="13">
        <f t="shared" si="40"/>
        <v>230.39750000313006</v>
      </c>
      <c r="Y60" s="29">
        <f>'Bill of Materials'!$L$10/7</f>
        <v>4.2857142857142856</v>
      </c>
      <c r="Z60" s="202">
        <f t="shared" si="48"/>
        <v>0.28571428571428559</v>
      </c>
      <c r="AA60" s="281">
        <f t="shared" si="49"/>
        <v>478.6056946714794</v>
      </c>
      <c r="AB60" s="304">
        <f t="shared" si="41"/>
        <v>5582.7062386094558</v>
      </c>
      <c r="AC60" s="84">
        <f t="shared" si="42"/>
        <v>1631.9818983780372</v>
      </c>
      <c r="AD60" s="40">
        <f t="shared" si="43"/>
        <v>2791.3531193047279</v>
      </c>
      <c r="AE60" s="40">
        <f t="shared" si="44"/>
        <v>1038.6176126637515</v>
      </c>
      <c r="AF60" s="305">
        <f t="shared" si="45"/>
        <v>171.94735214917125</v>
      </c>
      <c r="AG60" s="123">
        <f t="shared" si="46"/>
        <v>63.978844940087093</v>
      </c>
      <c r="AH60" s="123">
        <f t="shared" si="47"/>
        <v>235.92619708925835</v>
      </c>
      <c r="AJ60" s="44" t="s">
        <v>623</v>
      </c>
      <c r="AK60" s="84">
        <f>R59/2</f>
        <v>3461.2916666666665</v>
      </c>
    </row>
    <row r="61" spans="5:42" ht="14.4" customHeight="1">
      <c r="M61" s="10" t="s">
        <v>635</v>
      </c>
      <c r="N61" s="282">
        <f>AK55</f>
        <v>6922.583333333333</v>
      </c>
      <c r="O61" s="40"/>
      <c r="Q61" s="1193" t="s">
        <v>642</v>
      </c>
      <c r="R61" s="1194"/>
      <c r="T61" s="44" t="s">
        <v>643</v>
      </c>
      <c r="U61" s="301">
        <f>'Bill of Materials'!I32</f>
        <v>0.13200000000000001</v>
      </c>
      <c r="V61" s="629">
        <f>'Bill of Materials'!$J$12</f>
        <v>2</v>
      </c>
      <c r="W61" s="40">
        <f t="shared" si="39"/>
        <v>13845.166666666666</v>
      </c>
      <c r="X61" s="13">
        <f t="shared" si="40"/>
        <v>23039.750000313004</v>
      </c>
      <c r="Y61" s="29">
        <f>'Bill of Materials'!$L$12/7</f>
        <v>4.2857142857142856</v>
      </c>
      <c r="Z61" s="202">
        <f t="shared" si="48"/>
        <v>0.28571428571428559</v>
      </c>
      <c r="AA61" s="281">
        <f t="shared" si="49"/>
        <v>47860.569467147936</v>
      </c>
      <c r="AB61" s="304">
        <f t="shared" si="41"/>
        <v>38137.143978564396</v>
      </c>
      <c r="AC61" s="84">
        <f t="shared" si="42"/>
        <v>163198.18983780371</v>
      </c>
      <c r="AD61" s="40">
        <f t="shared" si="43"/>
        <v>19068.571989282198</v>
      </c>
      <c r="AE61" s="40">
        <f t="shared" si="44"/>
        <v>103861.76126637514</v>
      </c>
      <c r="AF61" s="305">
        <f t="shared" si="45"/>
        <v>2517.0515025852501</v>
      </c>
      <c r="AG61" s="123">
        <f t="shared" si="46"/>
        <v>13709.752487161519</v>
      </c>
      <c r="AH61" s="123">
        <f t="shared" si="47"/>
        <v>16226.803989746768</v>
      </c>
      <c r="AJ61" s="44" t="s">
        <v>624</v>
      </c>
      <c r="AK61" s="84">
        <f>$C$8*R60*SQRT($C$11)</f>
        <v>24999.169888816559</v>
      </c>
    </row>
    <row r="62" spans="5:42" ht="14.4" customHeight="1">
      <c r="M62" s="597" t="s">
        <v>638</v>
      </c>
      <c r="N62" s="282">
        <f>AK62</f>
        <v>28460.461555483227</v>
      </c>
      <c r="O62" s="319"/>
      <c r="Q62" s="545" t="s">
        <v>644</v>
      </c>
      <c r="R62" s="307">
        <f>COGS!$R$67</f>
        <v>2.9227000000000003</v>
      </c>
      <c r="T62" s="51" t="s">
        <v>645</v>
      </c>
      <c r="U62" s="302">
        <f>'Bill of Materials'!I33</f>
        <v>0.19800000000000001</v>
      </c>
      <c r="V62" s="631">
        <f>'Bill of Materials'!$J$13</f>
        <v>1</v>
      </c>
      <c r="W62" s="280">
        <f t="shared" si="39"/>
        <v>6922.583333333333</v>
      </c>
      <c r="X62" s="17">
        <f t="shared" si="40"/>
        <v>11519.875000156502</v>
      </c>
      <c r="Y62" s="231">
        <f>'Bill of Materials'!$L$13/7</f>
        <v>4.2857142857142856</v>
      </c>
      <c r="Z62" s="224">
        <f t="shared" si="48"/>
        <v>0.28571428571428559</v>
      </c>
      <c r="AA62" s="281">
        <f t="shared" si="49"/>
        <v>23930.284733573968</v>
      </c>
      <c r="AB62" s="304">
        <f t="shared" si="41"/>
        <v>22018.49034214767</v>
      </c>
      <c r="AC62" s="303">
        <f t="shared" si="42"/>
        <v>81599.094918901857</v>
      </c>
      <c r="AD62" s="81">
        <f t="shared" si="43"/>
        <v>11009.245171073835</v>
      </c>
      <c r="AE62" s="40">
        <f t="shared" si="44"/>
        <v>51930.880633187568</v>
      </c>
      <c r="AF62" s="305">
        <f t="shared" si="45"/>
        <v>2179.8305438726193</v>
      </c>
      <c r="AG62" s="123">
        <f t="shared" si="46"/>
        <v>10282.31436537114</v>
      </c>
      <c r="AH62" s="123">
        <f t="shared" si="47"/>
        <v>12462.144909243758</v>
      </c>
      <c r="AJ62" s="44" t="s">
        <v>646</v>
      </c>
      <c r="AK62" s="84">
        <f>AK60+AK61</f>
        <v>28460.461555483227</v>
      </c>
    </row>
    <row r="63" spans="5:42" ht="14.4" customHeight="1">
      <c r="M63" s="325" t="s">
        <v>640</v>
      </c>
      <c r="N63" s="324">
        <f>(N59/R63)/R59</f>
        <v>9.2060859536002706</v>
      </c>
      <c r="Q63" s="546" t="s">
        <v>647</v>
      </c>
      <c r="R63" s="548">
        <f>COGS!$R$64</f>
        <v>6.5779218524044936</v>
      </c>
      <c r="T63" s="32"/>
      <c r="Y63" s="29"/>
      <c r="Z63" s="29"/>
      <c r="AA63" s="455"/>
      <c r="AB63" s="456"/>
      <c r="AE63" s="214"/>
      <c r="AF63" s="308">
        <f>SUM(AF56:AF62)</f>
        <v>27215.250824891235</v>
      </c>
      <c r="AG63" s="308">
        <f>SUM(AG56:AG62)</f>
        <v>171899.91729588434</v>
      </c>
      <c r="AH63" s="308">
        <f>SUM(AH56:AH62)</f>
        <v>199115.16812077558</v>
      </c>
      <c r="AJ63" s="219" t="s">
        <v>648</v>
      </c>
      <c r="AK63" s="308">
        <f>AK62*R63</f>
        <v>187210.69199533112</v>
      </c>
    </row>
    <row r="64" spans="5:42" ht="30" customHeight="1"/>
    <row r="65" spans="5:42" ht="14.4"/>
    <row r="66" spans="5:42" ht="14.4" customHeight="1">
      <c r="AM66" s="32"/>
      <c r="AN66" s="32"/>
      <c r="AO66" s="666"/>
    </row>
    <row r="67" spans="5:42" ht="25.8">
      <c r="M67" s="1161" t="s">
        <v>79</v>
      </c>
      <c r="N67" s="662"/>
      <c r="O67" s="662"/>
      <c r="P67" s="662"/>
      <c r="Q67" s="662"/>
      <c r="R67" s="662"/>
      <c r="S67" s="662"/>
      <c r="T67" s="662"/>
      <c r="U67" s="662"/>
      <c r="V67" s="662"/>
      <c r="W67" s="662"/>
      <c r="X67" s="662"/>
      <c r="Y67" s="662"/>
      <c r="Z67" s="662"/>
      <c r="AA67" s="662"/>
      <c r="AB67" s="662"/>
      <c r="AC67" s="662"/>
      <c r="AD67" s="662"/>
      <c r="AE67" s="662"/>
      <c r="AF67" s="662"/>
      <c r="AG67" s="662"/>
      <c r="AH67" s="662"/>
      <c r="AI67" s="662"/>
      <c r="AJ67" s="662"/>
      <c r="AK67" s="662"/>
      <c r="AM67" s="32"/>
      <c r="AN67" s="32"/>
      <c r="AO67" s="32"/>
      <c r="AP67" s="32"/>
    </row>
    <row r="68" spans="5:42" ht="14.4" customHeight="1">
      <c r="E68" s="32"/>
      <c r="N68" s="32"/>
      <c r="O68" s="32"/>
      <c r="AN68" s="40"/>
    </row>
    <row r="69" spans="5:42" ht="14.4" customHeight="1">
      <c r="Q69" s="1193" t="s">
        <v>576</v>
      </c>
      <c r="R69" s="1194"/>
      <c r="T69" s="93" t="s">
        <v>603</v>
      </c>
      <c r="U69" s="1154" t="s">
        <v>604</v>
      </c>
      <c r="V69" s="1155"/>
      <c r="W69" s="1154" t="s">
        <v>605</v>
      </c>
      <c r="X69" s="1155"/>
      <c r="Y69" s="1154" t="s">
        <v>606</v>
      </c>
      <c r="Z69" s="1155"/>
      <c r="AA69" s="104"/>
      <c r="AB69" s="1154" t="s">
        <v>607</v>
      </c>
      <c r="AC69" s="1155"/>
      <c r="AD69" s="1154" t="s">
        <v>608</v>
      </c>
      <c r="AE69" s="1155"/>
      <c r="AF69" s="1154" t="s">
        <v>609</v>
      </c>
      <c r="AG69" s="1156"/>
      <c r="AH69" s="1155"/>
      <c r="AJ69" s="1193" t="s">
        <v>482</v>
      </c>
      <c r="AK69" s="1194"/>
      <c r="AN69" s="40"/>
      <c r="AO69" s="40"/>
    </row>
    <row r="70" spans="5:42" ht="14.4" customHeight="1">
      <c r="M70" s="1218" t="s">
        <v>612</v>
      </c>
      <c r="N70" s="1157"/>
      <c r="O70" s="343"/>
      <c r="Q70" s="221" t="s">
        <v>613</v>
      </c>
      <c r="R70" s="222">
        <f>'BASES Model'!G16</f>
        <v>451578</v>
      </c>
      <c r="T70" s="632" t="s">
        <v>614</v>
      </c>
      <c r="U70" s="633" t="s">
        <v>276</v>
      </c>
      <c r="V70" s="634" t="s">
        <v>615</v>
      </c>
      <c r="W70" s="314" t="s">
        <v>616</v>
      </c>
      <c r="X70" s="318" t="s">
        <v>617</v>
      </c>
      <c r="Y70" s="316" t="s">
        <v>618</v>
      </c>
      <c r="Z70" s="316" t="s">
        <v>619</v>
      </c>
      <c r="AA70" s="314" t="s">
        <v>620</v>
      </c>
      <c r="AB70" s="315" t="s">
        <v>621</v>
      </c>
      <c r="AC70" s="317" t="s">
        <v>622</v>
      </c>
      <c r="AD70" s="316" t="s">
        <v>623</v>
      </c>
      <c r="AE70" s="316" t="s">
        <v>624</v>
      </c>
      <c r="AF70" s="315" t="s">
        <v>625</v>
      </c>
      <c r="AG70" s="317" t="s">
        <v>130</v>
      </c>
      <c r="AH70" s="318" t="s">
        <v>183</v>
      </c>
      <c r="AJ70" s="44" t="s">
        <v>626</v>
      </c>
      <c r="AK70" s="84">
        <f>R74*$C$11</f>
        <v>9407.875</v>
      </c>
      <c r="AN70" s="40"/>
      <c r="AO70" s="40"/>
    </row>
    <row r="71" spans="5:42" ht="14.4" customHeight="1">
      <c r="M71" s="49" t="s">
        <v>600</v>
      </c>
      <c r="N71" s="309">
        <f>AH78</f>
        <v>265340.71482623293</v>
      </c>
      <c r="O71" s="34"/>
      <c r="Q71" s="44" t="s">
        <v>628</v>
      </c>
      <c r="R71" s="84">
        <f>((R70*2)+(R70*4)+(R70*0.5))/6</f>
        <v>489209.5</v>
      </c>
      <c r="T71" s="49" t="s">
        <v>629</v>
      </c>
      <c r="U71" s="583">
        <f>'Bill of Materials'!J27</f>
        <v>0.59510000000000007</v>
      </c>
      <c r="V71" s="628">
        <f>'Bill of Materials'!$J$6</f>
        <v>0.5</v>
      </c>
      <c r="W71" s="40">
        <f t="shared" ref="W71:W77" si="50">V71*$R$74</f>
        <v>4703.9375</v>
      </c>
      <c r="X71" s="13">
        <f t="shared" ref="X71:X77" si="51">V71*R$75</f>
        <v>7827.8251628436419</v>
      </c>
      <c r="Y71" s="29">
        <f>'Bill of Materials'!$L$6/7</f>
        <v>0.5714285714285714</v>
      </c>
      <c r="Z71" s="202">
        <f>((Y71*1.2)-(Y71*0.8))/6</f>
        <v>3.8095238095238078E-2</v>
      </c>
      <c r="AA71" s="281">
        <f>SQRT(Y71*X71^2+W71^2*Z71^2)</f>
        <v>5919.9923941420575</v>
      </c>
      <c r="AB71" s="304">
        <f t="shared" ref="AB71:AB77" si="52">SQRT((2*W71*52*$C$10)/(U71*$C$9))</f>
        <v>10469.400992361321</v>
      </c>
      <c r="AC71" s="84">
        <f t="shared" ref="AC71:AC77" si="53">W71*Y71+AE71</f>
        <v>15534.882815615749</v>
      </c>
      <c r="AD71" s="40">
        <f t="shared" ref="AD71:AD77" si="54">AB71/2</f>
        <v>5234.7004961806606</v>
      </c>
      <c r="AE71" s="40">
        <f t="shared" ref="AE71:AE77" si="55">AA71*$C$8</f>
        <v>12846.918529901463</v>
      </c>
      <c r="AF71" s="305">
        <f t="shared" ref="AF71:AF77" si="56">AD71*U71</f>
        <v>3115.1702652771114</v>
      </c>
      <c r="AG71" s="123">
        <f t="shared" ref="AG71:AG77" si="57">AE71*U71</f>
        <v>7645.2012171443612</v>
      </c>
      <c r="AH71" s="123">
        <f t="shared" ref="AH71:AH77" si="58">AF71+AG71</f>
        <v>10760.371482421473</v>
      </c>
      <c r="AJ71" s="44" t="s">
        <v>630</v>
      </c>
      <c r="AK71" s="307">
        <f>(R77+R78)/2</f>
        <v>4.6047318043089849</v>
      </c>
      <c r="AN71" s="40"/>
      <c r="AO71" s="40"/>
    </row>
    <row r="72" spans="5:42" ht="14.4" customHeight="1">
      <c r="M72" s="44" t="s">
        <v>602</v>
      </c>
      <c r="N72" s="123">
        <f>AK72</f>
        <v>43320.741223463388</v>
      </c>
      <c r="O72" s="34"/>
      <c r="Q72" s="51" t="s">
        <v>632</v>
      </c>
      <c r="R72" s="306">
        <f>((R70*2)-(R70*0.5))/6</f>
        <v>112894.5</v>
      </c>
      <c r="T72" s="44" t="s">
        <v>633</v>
      </c>
      <c r="U72" s="301">
        <f>'Bill of Materials'!J28</f>
        <v>0.57200000000000006</v>
      </c>
      <c r="V72" s="629">
        <f>'Bill of Materials'!$J$7</f>
        <v>2</v>
      </c>
      <c r="W72" s="40">
        <f t="shared" si="50"/>
        <v>18815.75</v>
      </c>
      <c r="X72" s="13">
        <f t="shared" si="51"/>
        <v>31311.300651374568</v>
      </c>
      <c r="Y72" s="29">
        <f>'Bill of Materials'!$L$7/7</f>
        <v>0.5714285714285714</v>
      </c>
      <c r="Z72" s="202">
        <f t="shared" ref="Z72:Z77" si="59">((Y72*1.2)-(Y72*0.8))/6</f>
        <v>3.8095238095238078E-2</v>
      </c>
      <c r="AA72" s="281">
        <f t="shared" ref="AA72:AA77" si="60">SQRT(Y72*X72^2+W72^2*Z72^2)</f>
        <v>23679.96957656823</v>
      </c>
      <c r="AB72" s="304">
        <f t="shared" si="52"/>
        <v>21357.420114316101</v>
      </c>
      <c r="AC72" s="84">
        <f t="shared" si="53"/>
        <v>62139.531262462995</v>
      </c>
      <c r="AD72" s="40">
        <f t="shared" si="54"/>
        <v>10678.71005715805</v>
      </c>
      <c r="AE72" s="40">
        <f t="shared" si="55"/>
        <v>51387.67411960585</v>
      </c>
      <c r="AF72" s="305">
        <f t="shared" si="56"/>
        <v>6108.2221526944058</v>
      </c>
      <c r="AG72" s="123">
        <f t="shared" si="57"/>
        <v>29393.749596414549</v>
      </c>
      <c r="AH72" s="123">
        <f t="shared" si="58"/>
        <v>35501.971749108954</v>
      </c>
      <c r="AJ72" s="219" t="s">
        <v>634</v>
      </c>
      <c r="AK72" s="308">
        <f>AK70*AK71</f>
        <v>43320.741223463388</v>
      </c>
      <c r="AN72" s="40"/>
      <c r="AO72" s="40"/>
    </row>
    <row r="73" spans="5:42" ht="14.4" customHeight="1">
      <c r="M73" s="51" t="s">
        <v>611</v>
      </c>
      <c r="N73" s="124">
        <f>AK78</f>
        <v>243160.15719771574</v>
      </c>
      <c r="O73" s="34"/>
      <c r="Q73" s="192" t="s">
        <v>636</v>
      </c>
      <c r="R73" s="223">
        <f>R70/52</f>
        <v>8684.1923076923085</v>
      </c>
      <c r="T73" s="44" t="s">
        <v>637</v>
      </c>
      <c r="U73" s="301">
        <f>'Bill of Materials'!J29</f>
        <v>0.13200000000000001</v>
      </c>
      <c r="V73" s="629">
        <f>'Bill of Materials'!$J$9</f>
        <v>4</v>
      </c>
      <c r="W73" s="40">
        <f t="shared" si="50"/>
        <v>37631.5</v>
      </c>
      <c r="X73" s="13">
        <f t="shared" si="51"/>
        <v>62622.601302749135</v>
      </c>
      <c r="Y73" s="29">
        <f>'Bill of Materials'!$L$9/7</f>
        <v>4.2857142857142856</v>
      </c>
      <c r="Z73" s="202">
        <f t="shared" si="59"/>
        <v>0.28571428571428559</v>
      </c>
      <c r="AA73" s="281">
        <f t="shared" si="60"/>
        <v>130086.19276784756</v>
      </c>
      <c r="AB73" s="304">
        <f t="shared" si="52"/>
        <v>62874.54239044671</v>
      </c>
      <c r="AC73" s="84">
        <f t="shared" si="53"/>
        <v>443576.65232497337</v>
      </c>
      <c r="AD73" s="40">
        <f t="shared" si="54"/>
        <v>31437.271195223355</v>
      </c>
      <c r="AE73" s="40">
        <f t="shared" si="55"/>
        <v>282298.79518211621</v>
      </c>
      <c r="AF73" s="305">
        <f t="shared" si="56"/>
        <v>4149.7197977694832</v>
      </c>
      <c r="AG73" s="123">
        <f t="shared" si="57"/>
        <v>37263.440964039342</v>
      </c>
      <c r="AH73" s="123">
        <f t="shared" si="58"/>
        <v>41413.160761808824</v>
      </c>
      <c r="AN73" s="40"/>
      <c r="AO73" s="40"/>
    </row>
    <row r="74" spans="5:42" ht="14.4" customHeight="1">
      <c r="M74" s="310" t="s">
        <v>598</v>
      </c>
      <c r="N74" s="311">
        <f>N71+N72+N73</f>
        <v>551821.61324741202</v>
      </c>
      <c r="O74" s="111"/>
      <c r="Q74" s="44" t="s">
        <v>628</v>
      </c>
      <c r="R74" s="84">
        <f>R71/52</f>
        <v>9407.875</v>
      </c>
      <c r="T74" s="44" t="s">
        <v>639</v>
      </c>
      <c r="U74" s="301">
        <f>'Bill of Materials'!J30</f>
        <v>1.2320000000000002</v>
      </c>
      <c r="V74" s="629">
        <f>'Bill of Materials'!$J$8</f>
        <v>4</v>
      </c>
      <c r="W74" s="40">
        <f t="shared" si="50"/>
        <v>37631.5</v>
      </c>
      <c r="X74" s="13">
        <f t="shared" si="51"/>
        <v>62622.601302749135</v>
      </c>
      <c r="Y74" s="29">
        <f>'Bill of Materials'!$L$8/7</f>
        <v>0.5714285714285714</v>
      </c>
      <c r="Z74" s="202">
        <f t="shared" si="59"/>
        <v>3.8095238095238078E-2</v>
      </c>
      <c r="AA74" s="281">
        <f t="shared" si="60"/>
        <v>47359.93915313646</v>
      </c>
      <c r="AB74" s="304">
        <f t="shared" si="52"/>
        <v>20580.524984995125</v>
      </c>
      <c r="AC74" s="84">
        <f t="shared" si="53"/>
        <v>124279.06252492599</v>
      </c>
      <c r="AD74" s="40">
        <f t="shared" si="54"/>
        <v>10290.262492497563</v>
      </c>
      <c r="AE74" s="40">
        <f t="shared" si="55"/>
        <v>102775.3482392117</v>
      </c>
      <c r="AF74" s="305">
        <f t="shared" si="56"/>
        <v>12677.603390757</v>
      </c>
      <c r="AG74" s="123">
        <f t="shared" si="57"/>
        <v>126619.22903070884</v>
      </c>
      <c r="AH74" s="123">
        <f t="shared" si="58"/>
        <v>139296.83242146584</v>
      </c>
      <c r="AJ74" s="1193" t="s">
        <v>484</v>
      </c>
      <c r="AK74" s="1194"/>
      <c r="AN74" s="40"/>
      <c r="AO74" s="40"/>
    </row>
    <row r="75" spans="5:42" ht="15" customHeight="1">
      <c r="M75" s="321" t="s">
        <v>631</v>
      </c>
      <c r="N75" s="322">
        <f>SUM(AD71:AE77)</f>
        <v>758403.05726056371</v>
      </c>
      <c r="O75" s="40"/>
      <c r="Q75" s="51" t="s">
        <v>632</v>
      </c>
      <c r="R75" s="306">
        <f>R72/SQRT(52)</f>
        <v>15655.650325687284</v>
      </c>
      <c r="T75" s="44" t="s">
        <v>641</v>
      </c>
      <c r="U75" s="301">
        <f>'Bill of Materials'!J31</f>
        <v>6.1600000000000002E-2</v>
      </c>
      <c r="V75" s="630">
        <f>'Bill of Materials'!$J$10</f>
        <v>0.02</v>
      </c>
      <c r="W75" s="40">
        <f t="shared" si="50"/>
        <v>188.1575</v>
      </c>
      <c r="X75" s="13">
        <f t="shared" si="51"/>
        <v>313.11300651374569</v>
      </c>
      <c r="Y75" s="29">
        <f>'Bill of Materials'!$L$10/7</f>
        <v>4.2857142857142856</v>
      </c>
      <c r="Z75" s="202">
        <f t="shared" si="59"/>
        <v>0.28571428571428559</v>
      </c>
      <c r="AA75" s="281">
        <f t="shared" si="60"/>
        <v>650.43096383923785</v>
      </c>
      <c r="AB75" s="304">
        <f t="shared" si="52"/>
        <v>6508.1334394587266</v>
      </c>
      <c r="AC75" s="84">
        <f t="shared" si="53"/>
        <v>2217.8832616248665</v>
      </c>
      <c r="AD75" s="40">
        <f t="shared" si="54"/>
        <v>3254.0667197293633</v>
      </c>
      <c r="AE75" s="40">
        <f t="shared" si="55"/>
        <v>1411.493975910581</v>
      </c>
      <c r="AF75" s="305">
        <f t="shared" si="56"/>
        <v>200.4505099353288</v>
      </c>
      <c r="AG75" s="123">
        <f t="shared" si="57"/>
        <v>86.948028916091786</v>
      </c>
      <c r="AH75" s="123">
        <f t="shared" si="58"/>
        <v>287.3985388514206</v>
      </c>
      <c r="AJ75" s="44" t="s">
        <v>623</v>
      </c>
      <c r="AK75" s="84">
        <f>R74/2</f>
        <v>4703.9375</v>
      </c>
    </row>
    <row r="76" spans="5:42" ht="15" customHeight="1">
      <c r="M76" s="10" t="s">
        <v>635</v>
      </c>
      <c r="N76" s="282">
        <f>AK70</f>
        <v>9407.875</v>
      </c>
      <c r="O76" s="40"/>
      <c r="Q76" s="1193" t="s">
        <v>642</v>
      </c>
      <c r="R76" s="1194"/>
      <c r="T76" s="44" t="s">
        <v>643</v>
      </c>
      <c r="U76" s="301">
        <f>'Bill of Materials'!J32</f>
        <v>0.13200000000000001</v>
      </c>
      <c r="V76" s="629">
        <f>'Bill of Materials'!$J$12</f>
        <v>2</v>
      </c>
      <c r="W76" s="40">
        <f t="shared" si="50"/>
        <v>18815.75</v>
      </c>
      <c r="X76" s="13">
        <f t="shared" si="51"/>
        <v>31311.300651374568</v>
      </c>
      <c r="Y76" s="29">
        <f>'Bill of Materials'!$L$12/7</f>
        <v>4.2857142857142856</v>
      </c>
      <c r="Z76" s="202">
        <f t="shared" si="59"/>
        <v>0.28571428571428559</v>
      </c>
      <c r="AA76" s="281">
        <f t="shared" si="60"/>
        <v>65043.096383923781</v>
      </c>
      <c r="AB76" s="304">
        <f t="shared" si="52"/>
        <v>44459.015288285911</v>
      </c>
      <c r="AC76" s="84">
        <f t="shared" si="53"/>
        <v>221788.32616248669</v>
      </c>
      <c r="AD76" s="40">
        <f t="shared" si="54"/>
        <v>22229.507644142956</v>
      </c>
      <c r="AE76" s="40">
        <f t="shared" si="55"/>
        <v>141149.39759105811</v>
      </c>
      <c r="AF76" s="305">
        <f t="shared" si="56"/>
        <v>2934.29500902687</v>
      </c>
      <c r="AG76" s="123">
        <f t="shared" si="57"/>
        <v>18631.720482019671</v>
      </c>
      <c r="AH76" s="123">
        <f t="shared" si="58"/>
        <v>21566.015491046543</v>
      </c>
      <c r="AJ76" s="44" t="s">
        <v>624</v>
      </c>
      <c r="AK76" s="84">
        <f>$C$8*R75*SQRT($C$11)</f>
        <v>33974.176126602557</v>
      </c>
    </row>
    <row r="77" spans="5:42" ht="15" customHeight="1">
      <c r="M77" s="15" t="s">
        <v>638</v>
      </c>
      <c r="N77" s="283">
        <f>AK77</f>
        <v>38678.113626602557</v>
      </c>
      <c r="O77" s="319"/>
      <c r="Q77" s="545" t="s">
        <v>644</v>
      </c>
      <c r="R77" s="307">
        <f>COGS!$R$84</f>
        <v>2.9227000000000003</v>
      </c>
      <c r="T77" s="51" t="s">
        <v>645</v>
      </c>
      <c r="U77" s="302">
        <f>'Bill of Materials'!J33</f>
        <v>0.19800000000000001</v>
      </c>
      <c r="V77" s="631">
        <f>'Bill of Materials'!$J$13</f>
        <v>1</v>
      </c>
      <c r="W77" s="280">
        <f t="shared" si="50"/>
        <v>9407.875</v>
      </c>
      <c r="X77" s="17">
        <f t="shared" si="51"/>
        <v>15655.650325687284</v>
      </c>
      <c r="Y77" s="231">
        <f>'Bill of Materials'!$L$13/7</f>
        <v>4.2857142857142856</v>
      </c>
      <c r="Z77" s="224">
        <f t="shared" si="59"/>
        <v>0.28571428571428559</v>
      </c>
      <c r="AA77" s="281">
        <f t="shared" si="60"/>
        <v>32521.548191961891</v>
      </c>
      <c r="AB77" s="304">
        <f t="shared" si="52"/>
        <v>25668.424444597556</v>
      </c>
      <c r="AC77" s="303">
        <f t="shared" si="53"/>
        <v>110894.16308124334</v>
      </c>
      <c r="AD77" s="81">
        <f t="shared" si="54"/>
        <v>12834.212222298778</v>
      </c>
      <c r="AE77" s="40">
        <f t="shared" si="55"/>
        <v>70574.698795529053</v>
      </c>
      <c r="AF77" s="305">
        <f t="shared" si="56"/>
        <v>2541.174020015158</v>
      </c>
      <c r="AG77" s="123">
        <f t="shared" si="57"/>
        <v>13973.790361514753</v>
      </c>
      <c r="AH77" s="123">
        <f t="shared" si="58"/>
        <v>16514.964381529913</v>
      </c>
      <c r="AJ77" s="44" t="s">
        <v>646</v>
      </c>
      <c r="AK77" s="84">
        <f>AK75+AK76</f>
        <v>38678.113626602557</v>
      </c>
    </row>
    <row r="78" spans="5:42" ht="15" customHeight="1">
      <c r="M78" s="194" t="s">
        <v>640</v>
      </c>
      <c r="N78" s="324">
        <f>(N74/R78)/R74</f>
        <v>9.3299654941192678</v>
      </c>
      <c r="Q78" s="546" t="s">
        <v>647</v>
      </c>
      <c r="R78" s="548">
        <f>COGS!$R$81</f>
        <v>6.286763608617969</v>
      </c>
      <c r="T78" s="32"/>
      <c r="Y78" s="29"/>
      <c r="Z78" s="29"/>
      <c r="AA78" s="455"/>
      <c r="AB78" s="456"/>
      <c r="AE78" s="214"/>
      <c r="AF78" s="308">
        <f>SUM(AF71:AF77)</f>
        <v>31726.63514547536</v>
      </c>
      <c r="AG78" s="308">
        <f>SUM(AG71:AG77)</f>
        <v>233614.0796807576</v>
      </c>
      <c r="AH78" s="308">
        <f>SUM(AH71:AH77)</f>
        <v>265340.71482623293</v>
      </c>
      <c r="AJ78" s="219" t="s">
        <v>648</v>
      </c>
      <c r="AK78" s="308">
        <f>AK77*R78</f>
        <v>243160.15719771574</v>
      </c>
    </row>
    <row r="79" spans="5:42" ht="15" customHeight="1">
      <c r="Q79" s="457"/>
    </row>
  </sheetData>
  <mergeCells count="4">
    <mergeCell ref="AM6:AP6"/>
    <mergeCell ref="B6:C6"/>
    <mergeCell ref="BB18:BC18"/>
    <mergeCell ref="AV26:AW26"/>
  </mergeCells>
  <hyperlinks>
    <hyperlink ref="A3" location="'Index'!A1" display="Back to Index" xr:uid="{5997958C-0144-4133-806B-B5A40A91260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0B37-CFB0-49C6-B8A4-0C9F9EF41845}">
  <sheetPr>
    <tabColor rgb="FF00B0F0"/>
  </sheetPr>
  <dimension ref="A1:R77"/>
  <sheetViews>
    <sheetView topLeftCell="C1" workbookViewId="0">
      <selection activeCell="I38" sqref="I38"/>
    </sheetView>
  </sheetViews>
  <sheetFormatPr defaultColWidth="8.88671875" defaultRowHeight="14.4"/>
  <cols>
    <col min="2" max="2" width="27" customWidth="1"/>
    <col min="3" max="3" width="18.33203125" style="109" customWidth="1"/>
    <col min="4" max="4" width="29.109375" style="94" customWidth="1"/>
    <col min="5" max="5" width="23.5546875" style="109" customWidth="1"/>
    <col min="6" max="6" width="15.88671875" style="109" customWidth="1"/>
    <col min="7" max="7" width="18.33203125" style="94" customWidth="1"/>
    <col min="8" max="8" width="33.5546875" style="94" customWidth="1"/>
    <col min="9" max="9" width="19.6640625" style="109" customWidth="1"/>
    <col min="10" max="10" width="18.109375" style="94" customWidth="1"/>
    <col min="11" max="11" width="25.44140625" style="94" customWidth="1"/>
    <col min="12" max="12" width="22.5546875" style="94" customWidth="1"/>
    <col min="13" max="13" width="18.33203125" style="94" customWidth="1"/>
    <col min="14" max="14" width="18" style="94" customWidth="1"/>
    <col min="15" max="15" width="16.109375" style="94" customWidth="1"/>
    <col min="16" max="16" width="18.5546875" style="94" customWidth="1"/>
    <col min="17" max="17" width="25" style="94" customWidth="1"/>
    <col min="18" max="18" width="19" style="94" customWidth="1"/>
  </cols>
  <sheetData>
    <row r="1" spans="1:18" ht="28.8">
      <c r="A1" s="1" t="s">
        <v>17</v>
      </c>
    </row>
    <row r="2" spans="1:18" ht="18">
      <c r="A2" s="1145" t="s">
        <v>656</v>
      </c>
    </row>
    <row r="3" spans="1:18">
      <c r="A3" s="284" t="s">
        <v>32</v>
      </c>
    </row>
    <row r="4" spans="1:18">
      <c r="A4" s="284"/>
    </row>
    <row r="5" spans="1:18" ht="21">
      <c r="B5" s="663" t="s">
        <v>75</v>
      </c>
      <c r="C5" s="758"/>
      <c r="D5" s="689"/>
      <c r="E5" s="758"/>
      <c r="F5" s="758"/>
      <c r="H5" s="663" t="s">
        <v>657</v>
      </c>
      <c r="I5" s="758"/>
      <c r="J5" s="689"/>
      <c r="K5" s="758"/>
      <c r="L5" s="758"/>
      <c r="M5" s="689"/>
      <c r="Q5"/>
      <c r="R5"/>
    </row>
    <row r="6" spans="1:18">
      <c r="Q6"/>
      <c r="R6"/>
    </row>
    <row r="7" spans="1:18">
      <c r="B7" s="240" t="s">
        <v>658</v>
      </c>
      <c r="C7" s="539" t="s">
        <v>659</v>
      </c>
      <c r="D7" s="1184" t="s">
        <v>660</v>
      </c>
      <c r="E7" s="1214" t="s">
        <v>661</v>
      </c>
      <c r="F7" s="594"/>
      <c r="H7" s="1296" t="s">
        <v>662</v>
      </c>
      <c r="I7" s="1297"/>
      <c r="K7" s="1261" t="s">
        <v>663</v>
      </c>
      <c r="L7" s="1262"/>
      <c r="M7" s="32"/>
      <c r="N7" s="32"/>
      <c r="Q7"/>
      <c r="R7"/>
    </row>
    <row r="8" spans="1:18">
      <c r="B8" s="49" t="s">
        <v>341</v>
      </c>
      <c r="C8" s="49"/>
      <c r="D8" s="113"/>
      <c r="E8" s="589"/>
      <c r="H8" s="116" t="s">
        <v>664</v>
      </c>
      <c r="I8" s="242">
        <v>1.5</v>
      </c>
      <c r="K8" s="99"/>
      <c r="L8" s="839" t="s">
        <v>665</v>
      </c>
      <c r="O8"/>
      <c r="P8"/>
      <c r="Q8"/>
      <c r="R8"/>
    </row>
    <row r="9" spans="1:18">
      <c r="B9" s="44" t="s">
        <v>345</v>
      </c>
      <c r="C9" s="461">
        <f>'Distribution Reach'!E16</f>
        <v>89868.741418764315</v>
      </c>
      <c r="D9" s="460">
        <f>ROUNDUP(C9/$I$29,0)</f>
        <v>89869</v>
      </c>
      <c r="E9" s="503">
        <f>D9*$J$29</f>
        <v>88970.31</v>
      </c>
      <c r="H9" s="116" t="s">
        <v>666</v>
      </c>
      <c r="I9" s="242">
        <v>10</v>
      </c>
      <c r="K9" s="765" t="s">
        <v>341</v>
      </c>
      <c r="L9" s="846">
        <f>AVERAGE(L10:L12)</f>
        <v>199</v>
      </c>
      <c r="O9"/>
      <c r="P9"/>
      <c r="Q9"/>
      <c r="R9"/>
    </row>
    <row r="10" spans="1:18">
      <c r="B10" s="44" t="s">
        <v>346</v>
      </c>
      <c r="C10" s="461"/>
      <c r="E10" s="503"/>
      <c r="H10" s="116" t="s">
        <v>667</v>
      </c>
      <c r="I10" s="242">
        <v>6.5</v>
      </c>
      <c r="K10" s="841" t="s">
        <v>342</v>
      </c>
      <c r="L10" s="241">
        <v>157</v>
      </c>
      <c r="O10"/>
      <c r="P10"/>
      <c r="Q10"/>
      <c r="R10"/>
    </row>
    <row r="11" spans="1:18">
      <c r="B11" s="44" t="s">
        <v>347</v>
      </c>
      <c r="C11" s="461">
        <f>'Distribution Reach'!E9</f>
        <v>14263.258581235699</v>
      </c>
      <c r="D11" s="94">
        <f>ROUNDUP(C11/$I$17,0)</f>
        <v>37</v>
      </c>
      <c r="E11" s="503">
        <f>D11*$L$16</f>
        <v>8776.4</v>
      </c>
      <c r="H11" s="117" t="s">
        <v>668</v>
      </c>
      <c r="I11" s="458">
        <v>5</v>
      </c>
      <c r="K11" s="841" t="s">
        <v>344</v>
      </c>
      <c r="L11" s="241">
        <v>220</v>
      </c>
      <c r="O11"/>
      <c r="P11"/>
      <c r="Q11"/>
      <c r="R11"/>
    </row>
    <row r="12" spans="1:18">
      <c r="B12" s="44" t="s">
        <v>354</v>
      </c>
      <c r="C12" s="835"/>
      <c r="E12" s="503"/>
      <c r="I12" s="94"/>
      <c r="K12" s="841" t="s">
        <v>343</v>
      </c>
      <c r="L12" s="241">
        <v>220</v>
      </c>
      <c r="O12"/>
      <c r="P12"/>
      <c r="Q12"/>
      <c r="R12"/>
    </row>
    <row r="13" spans="1:18">
      <c r="B13" s="219" t="s">
        <v>149</v>
      </c>
      <c r="C13" s="836"/>
      <c r="D13" s="792"/>
      <c r="E13" s="837">
        <f>SUM(E8:E12)</f>
        <v>97746.709999999992</v>
      </c>
      <c r="H13" s="1261" t="s">
        <v>669</v>
      </c>
      <c r="I13" s="1262"/>
      <c r="K13" s="765" t="s">
        <v>346</v>
      </c>
      <c r="L13" s="847">
        <f>AVERAGE(L14:L15)</f>
        <v>160</v>
      </c>
      <c r="O13"/>
      <c r="P13"/>
      <c r="Q13"/>
      <c r="R13"/>
    </row>
    <row r="14" spans="1:18">
      <c r="H14" s="919" t="s">
        <v>670</v>
      </c>
      <c r="I14" s="534">
        <f>48*40</f>
        <v>1920</v>
      </c>
      <c r="K14" s="842" t="s">
        <v>92</v>
      </c>
      <c r="L14" s="651">
        <v>179</v>
      </c>
      <c r="O14"/>
      <c r="P14"/>
      <c r="Q14"/>
      <c r="R14"/>
    </row>
    <row r="15" spans="1:18">
      <c r="H15" s="920" t="s">
        <v>671</v>
      </c>
      <c r="I15" s="1206">
        <v>64</v>
      </c>
      <c r="J15" s="921"/>
      <c r="K15" s="843" t="s">
        <v>672</v>
      </c>
      <c r="L15" s="833">
        <v>141</v>
      </c>
      <c r="O15"/>
      <c r="P15"/>
      <c r="Q15"/>
      <c r="R15"/>
    </row>
    <row r="16" spans="1:18" ht="21">
      <c r="B16" s="663" t="s">
        <v>76</v>
      </c>
      <c r="C16" s="758"/>
      <c r="D16" s="689"/>
      <c r="E16" s="758"/>
      <c r="F16" s="758"/>
      <c r="H16" s="116" t="s">
        <v>673</v>
      </c>
      <c r="I16" s="242">
        <v>25</v>
      </c>
      <c r="K16" s="765" t="s">
        <v>347</v>
      </c>
      <c r="L16" s="847">
        <f>AVERAGE(L17:L21)</f>
        <v>237.2</v>
      </c>
      <c r="O16"/>
      <c r="P16"/>
      <c r="Q16"/>
      <c r="R16"/>
    </row>
    <row r="17" spans="2:18">
      <c r="H17" s="116" t="s">
        <v>674</v>
      </c>
      <c r="I17" s="242">
        <f>ROUND(I14/(I9*I10),0)*ROUND(I15/I11,0)</f>
        <v>390</v>
      </c>
      <c r="K17" s="844" t="s">
        <v>348</v>
      </c>
      <c r="L17" s="241">
        <v>220</v>
      </c>
      <c r="O17"/>
      <c r="P17"/>
      <c r="Q17"/>
      <c r="R17"/>
    </row>
    <row r="18" spans="2:18">
      <c r="B18" s="74" t="s">
        <v>658</v>
      </c>
      <c r="C18" s="257" t="s">
        <v>675</v>
      </c>
      <c r="D18" s="541" t="s">
        <v>676</v>
      </c>
      <c r="E18" s="1194" t="s">
        <v>677</v>
      </c>
      <c r="H18" s="117" t="s">
        <v>678</v>
      </c>
      <c r="I18" s="458">
        <f>I17*I8</f>
        <v>585</v>
      </c>
      <c r="K18" s="844" t="s">
        <v>349</v>
      </c>
      <c r="L18" s="241">
        <v>306</v>
      </c>
      <c r="O18"/>
      <c r="P18"/>
      <c r="Q18"/>
      <c r="R18"/>
    </row>
    <row r="19" spans="2:18">
      <c r="B19" s="44" t="s">
        <v>341</v>
      </c>
      <c r="C19" s="461">
        <f>'Distribution Reach'!E25</f>
        <v>15407.52034597995</v>
      </c>
      <c r="D19" s="94">
        <f>ROUNDUP(C19/$I$17,0)</f>
        <v>40</v>
      </c>
      <c r="E19" s="503">
        <f>D19*$L$9</f>
        <v>7960</v>
      </c>
      <c r="I19" s="1066"/>
      <c r="K19" s="841" t="s">
        <v>350</v>
      </c>
      <c r="L19" s="241">
        <v>220</v>
      </c>
      <c r="O19"/>
      <c r="P19"/>
      <c r="Q19"/>
      <c r="R19"/>
    </row>
    <row r="20" spans="2:18">
      <c r="B20" s="44" t="s">
        <v>345</v>
      </c>
      <c r="C20" s="461">
        <f>'Distribution Reach'!E32</f>
        <v>131637.06703361508</v>
      </c>
      <c r="D20" s="460">
        <f>ROUNDUP(C20/$I$29,0)</f>
        <v>131638</v>
      </c>
      <c r="E20" s="503">
        <f>D20*$J$29</f>
        <v>130321.62</v>
      </c>
      <c r="H20" s="1298" t="s">
        <v>679</v>
      </c>
      <c r="I20" s="1299"/>
      <c r="K20" s="841" t="s">
        <v>351</v>
      </c>
      <c r="L20" s="241">
        <v>220</v>
      </c>
      <c r="O20"/>
      <c r="P20"/>
      <c r="Q20"/>
      <c r="R20"/>
    </row>
    <row r="21" spans="2:18">
      <c r="B21" s="44" t="s">
        <v>346</v>
      </c>
      <c r="C21" s="461"/>
      <c r="E21" s="503"/>
      <c r="H21" s="467" t="s">
        <v>75</v>
      </c>
      <c r="I21" s="530">
        <f>SUM(E8:E12)</f>
        <v>97746.709999999992</v>
      </c>
      <c r="K21" s="841" t="s">
        <v>352</v>
      </c>
      <c r="L21" s="438">
        <v>220</v>
      </c>
      <c r="O21"/>
      <c r="P21"/>
      <c r="Q21"/>
      <c r="R21"/>
    </row>
    <row r="22" spans="2:18">
      <c r="B22" s="44" t="s">
        <v>347</v>
      </c>
      <c r="C22" s="461">
        <f>'Distribution Reach'!E34</f>
        <v>43193.412620404953</v>
      </c>
      <c r="D22" s="94">
        <f>ROUNDUP(C22/$I$17,0)</f>
        <v>111</v>
      </c>
      <c r="E22" s="503">
        <f>D22*$L$16</f>
        <v>26329.199999999997</v>
      </c>
      <c r="H22" s="467" t="s">
        <v>76</v>
      </c>
      <c r="I22" s="530">
        <f>SUM(E19:E23)</f>
        <v>164610.82</v>
      </c>
      <c r="K22" s="765" t="s">
        <v>354</v>
      </c>
      <c r="L22" s="846">
        <f>AVERAGE(L23:L25)</f>
        <v>192.66666666666666</v>
      </c>
      <c r="O22"/>
      <c r="P22"/>
      <c r="Q22"/>
      <c r="R22"/>
    </row>
    <row r="23" spans="2:18">
      <c r="B23" s="51" t="s">
        <v>354</v>
      </c>
      <c r="C23" s="462"/>
      <c r="D23" s="463"/>
      <c r="E23" s="533"/>
      <c r="H23" s="467" t="s">
        <v>77</v>
      </c>
      <c r="I23" s="530">
        <f>SUM(E30:E34)</f>
        <v>194128.37333333332</v>
      </c>
      <c r="K23" s="841" t="s">
        <v>355</v>
      </c>
      <c r="L23" s="241">
        <v>179</v>
      </c>
      <c r="O23"/>
      <c r="P23"/>
      <c r="Q23"/>
      <c r="R23"/>
    </row>
    <row r="24" spans="2:18">
      <c r="B24" s="219" t="s">
        <v>149</v>
      </c>
      <c r="C24" s="836"/>
      <c r="D24" s="792"/>
      <c r="E24" s="837">
        <f>SUM(E19:E23)</f>
        <v>164610.82</v>
      </c>
      <c r="H24" s="468" t="s">
        <v>78</v>
      </c>
      <c r="I24" s="530">
        <f>SUM(E41:E45)</f>
        <v>232796.23666666666</v>
      </c>
      <c r="K24" s="844" t="s">
        <v>356</v>
      </c>
      <c r="L24" s="241">
        <v>220</v>
      </c>
      <c r="O24"/>
      <c r="P24"/>
      <c r="Q24"/>
      <c r="R24"/>
    </row>
    <row r="25" spans="2:18">
      <c r="H25" s="469" t="s">
        <v>79</v>
      </c>
      <c r="I25" s="531">
        <f>SUM(E52:E56)</f>
        <v>297306.38666666666</v>
      </c>
      <c r="K25" s="845" t="s">
        <v>358</v>
      </c>
      <c r="L25" s="438">
        <f>179</f>
        <v>179</v>
      </c>
      <c r="Q25"/>
      <c r="R25"/>
    </row>
    <row r="26" spans="2:18">
      <c r="B26" s="68"/>
      <c r="C26" s="459"/>
    </row>
    <row r="27" spans="2:18" ht="21">
      <c r="B27" s="663" t="s">
        <v>77</v>
      </c>
      <c r="C27" s="758"/>
      <c r="D27" s="689"/>
      <c r="E27" s="758"/>
      <c r="F27" s="758"/>
      <c r="H27" s="1239" t="s">
        <v>680</v>
      </c>
      <c r="I27" s="1237"/>
      <c r="J27" s="1265"/>
    </row>
    <row r="28" spans="2:18">
      <c r="H28" s="257" t="s">
        <v>681</v>
      </c>
      <c r="I28" s="1183" t="s">
        <v>682</v>
      </c>
      <c r="J28" s="540" t="s">
        <v>683</v>
      </c>
      <c r="N28" s="32"/>
    </row>
    <row r="29" spans="2:18">
      <c r="B29" s="74" t="s">
        <v>658</v>
      </c>
      <c r="C29" s="257" t="s">
        <v>684</v>
      </c>
      <c r="D29" s="541" t="s">
        <v>685</v>
      </c>
      <c r="E29" s="1194" t="s">
        <v>686</v>
      </c>
      <c r="H29" s="848">
        <v>0.99</v>
      </c>
      <c r="I29" s="849">
        <v>1</v>
      </c>
      <c r="J29" s="840">
        <f>H29*I29</f>
        <v>0.99</v>
      </c>
      <c r="R29"/>
    </row>
    <row r="30" spans="2:18">
      <c r="B30" s="44" t="s">
        <v>341</v>
      </c>
      <c r="C30" s="461">
        <f>'Distribution Reach'!E52</f>
        <v>45722.829151403457</v>
      </c>
      <c r="D30" s="94">
        <f>ROUNDUP(C30/$I$17,0)</f>
        <v>118</v>
      </c>
      <c r="E30" s="503">
        <f>D30*$L$9</f>
        <v>23482</v>
      </c>
      <c r="R30"/>
    </row>
    <row r="31" spans="2:18">
      <c r="B31" s="44" t="s">
        <v>345</v>
      </c>
      <c r="C31" s="461">
        <f>'Distribution Reach'!E50</f>
        <v>135735.93349699071</v>
      </c>
      <c r="D31" s="460">
        <f>ROUNDUP(C31/$I$29,0)</f>
        <v>135736</v>
      </c>
      <c r="E31" s="503">
        <f>D31*$J$29</f>
        <v>134378.63999999998</v>
      </c>
      <c r="H31" s="109"/>
    </row>
    <row r="32" spans="2:18">
      <c r="B32" s="44" t="s">
        <v>346</v>
      </c>
      <c r="C32" s="461"/>
      <c r="E32" s="503"/>
      <c r="H32" s="109"/>
      <c r="K32" s="109"/>
    </row>
    <row r="33" spans="2:11">
      <c r="B33" s="44" t="s">
        <v>347</v>
      </c>
      <c r="C33" s="461">
        <f>'Distribution Reach'!E43</f>
        <v>10231.610138598922</v>
      </c>
      <c r="D33" s="94">
        <f>ROUNDUP(C33/$I$17,0)</f>
        <v>27</v>
      </c>
      <c r="E33" s="503">
        <f>D33*$L$16</f>
        <v>6404.4</v>
      </c>
      <c r="H33" s="109"/>
      <c r="K33" s="109"/>
    </row>
    <row r="34" spans="2:11">
      <c r="B34" s="51" t="s">
        <v>354</v>
      </c>
      <c r="C34" s="464">
        <f>'Distribution Reach'!E55</f>
        <v>60425.627213006934</v>
      </c>
      <c r="D34" s="112">
        <f>ROUNDUP(C34/$I$17,0)</f>
        <v>155</v>
      </c>
      <c r="E34" s="533">
        <f>D34*$L$22</f>
        <v>29863.333333333332</v>
      </c>
      <c r="H34" s="109"/>
      <c r="K34" s="109"/>
    </row>
    <row r="35" spans="2:11">
      <c r="B35" s="219" t="s">
        <v>149</v>
      </c>
      <c r="C35" s="836"/>
      <c r="D35" s="792"/>
      <c r="E35" s="837">
        <f>SUM(E30:E34)</f>
        <v>194128.37333333332</v>
      </c>
      <c r="H35" s="109"/>
      <c r="K35" s="109"/>
    </row>
    <row r="36" spans="2:11">
      <c r="D36" s="471"/>
    </row>
    <row r="37" spans="2:11">
      <c r="D37" s="471"/>
    </row>
    <row r="38" spans="2:11" ht="21">
      <c r="B38" s="663" t="s">
        <v>78</v>
      </c>
      <c r="C38" s="758"/>
      <c r="D38" s="689"/>
      <c r="E38" s="758"/>
      <c r="F38" s="758"/>
    </row>
    <row r="39" spans="2:11">
      <c r="D39" s="471"/>
    </row>
    <row r="40" spans="2:11">
      <c r="B40" s="74" t="s">
        <v>658</v>
      </c>
      <c r="C40" s="257" t="s">
        <v>687</v>
      </c>
      <c r="D40" s="541" t="s">
        <v>688</v>
      </c>
      <c r="E40" s="1194" t="s">
        <v>689</v>
      </c>
    </row>
    <row r="41" spans="2:11">
      <c r="B41" s="44" t="s">
        <v>341</v>
      </c>
      <c r="C41" s="461">
        <f>'Distribution Reach'!E70</f>
        <v>50886.305506424949</v>
      </c>
      <c r="D41" s="94">
        <f>ROUNDUP(C41/$I$17,0)</f>
        <v>131</v>
      </c>
      <c r="E41" s="503">
        <f>D41*$L$9</f>
        <v>26069</v>
      </c>
    </row>
    <row r="42" spans="2:11">
      <c r="B42" s="44" t="s">
        <v>345</v>
      </c>
      <c r="C42" s="461">
        <f>'Distribution Reach'!E65</f>
        <v>147642.29961877369</v>
      </c>
      <c r="D42" s="460">
        <f>ROUNDUP(C42/$I$29,0)</f>
        <v>147643</v>
      </c>
      <c r="E42" s="503">
        <f>D42*$J$29</f>
        <v>146166.57</v>
      </c>
    </row>
    <row r="43" spans="2:11">
      <c r="B43" s="44" t="s">
        <v>346</v>
      </c>
      <c r="C43" s="461">
        <f>'Distribution Reach'!E74</f>
        <v>68029.405243375761</v>
      </c>
      <c r="D43" s="94">
        <f>ROUNDUP(C43/$I$17,0)</f>
        <v>175</v>
      </c>
      <c r="E43" s="503">
        <f>D43*$L$13</f>
        <v>28000</v>
      </c>
    </row>
    <row r="44" spans="2:11">
      <c r="B44" s="44" t="s">
        <v>347</v>
      </c>
      <c r="C44" s="461"/>
      <c r="E44" s="503"/>
    </row>
    <row r="45" spans="2:11">
      <c r="B45" s="44" t="s">
        <v>354</v>
      </c>
      <c r="C45" s="461">
        <f>'Distribution Reach'!E67</f>
        <v>65725.989631425662</v>
      </c>
      <c r="D45" s="94">
        <f>ROUNDUP(C45/$I$17,0)</f>
        <v>169</v>
      </c>
      <c r="E45" s="503">
        <f>D45*$L$22</f>
        <v>32560.666666666664</v>
      </c>
      <c r="H45" s="470"/>
    </row>
    <row r="46" spans="2:11">
      <c r="B46" s="219" t="s">
        <v>149</v>
      </c>
      <c r="C46" s="836"/>
      <c r="D46" s="792"/>
      <c r="E46" s="837">
        <f>SUM(E41:E45)</f>
        <v>232796.23666666666</v>
      </c>
    </row>
    <row r="49" spans="2:6" ht="21">
      <c r="B49" s="663" t="s">
        <v>79</v>
      </c>
      <c r="C49" s="758"/>
      <c r="D49" s="689"/>
      <c r="E49" s="758"/>
      <c r="F49" s="758"/>
    </row>
    <row r="51" spans="2:6">
      <c r="B51" s="74" t="s">
        <v>658</v>
      </c>
      <c r="C51" s="257" t="s">
        <v>690</v>
      </c>
      <c r="D51" s="541" t="s">
        <v>691</v>
      </c>
      <c r="E51" s="1194" t="s">
        <v>692</v>
      </c>
    </row>
    <row r="52" spans="2:6">
      <c r="B52" s="44" t="s">
        <v>341</v>
      </c>
      <c r="C52" s="461">
        <f>'Distribution Reach'!E89</f>
        <v>52344.900637731087</v>
      </c>
      <c r="D52" s="94">
        <f>ROUNDUP(C52/$I$17,0)</f>
        <v>135</v>
      </c>
      <c r="E52" s="503">
        <f>D52*$L$9</f>
        <v>26865</v>
      </c>
    </row>
    <row r="53" spans="2:6">
      <c r="B53" s="44" t="s">
        <v>345</v>
      </c>
      <c r="C53" s="461">
        <f>'Distribution Reach'!E83</f>
        <v>159527.31622927569</v>
      </c>
      <c r="D53" s="460">
        <f>ROUNDUP(C53/$I$29,0)</f>
        <v>159528</v>
      </c>
      <c r="E53" s="503">
        <f>D53*$J$29</f>
        <v>157932.72</v>
      </c>
    </row>
    <row r="54" spans="2:6">
      <c r="B54" s="44" t="s">
        <v>346</v>
      </c>
      <c r="C54" s="461">
        <f>'Distribution Reach'!E91</f>
        <v>73505.685505927861</v>
      </c>
      <c r="D54" s="94">
        <f>ROUNDUP(C54/$I$17,0)</f>
        <v>189</v>
      </c>
      <c r="E54" s="503">
        <f>D54*$L$13</f>
        <v>30240</v>
      </c>
    </row>
    <row r="55" spans="2:6">
      <c r="B55" s="44" t="s">
        <v>347</v>
      </c>
      <c r="C55" s="461"/>
      <c r="E55" s="503"/>
    </row>
    <row r="56" spans="2:6">
      <c r="B56" s="44" t="s">
        <v>354</v>
      </c>
      <c r="C56" s="461">
        <f>'Distribution Reach'!E85</f>
        <v>166200.09762706535</v>
      </c>
      <c r="D56" s="94">
        <f>ROUNDUP(C56/$I$17,0)</f>
        <v>427</v>
      </c>
      <c r="E56" s="503">
        <f>D56*$L$22</f>
        <v>82268.666666666657</v>
      </c>
    </row>
    <row r="57" spans="2:6">
      <c r="B57" s="850" t="s">
        <v>149</v>
      </c>
      <c r="C57" s="834"/>
      <c r="D57" s="792"/>
      <c r="E57" s="837">
        <f>SUM(E52:E56)</f>
        <v>297306.38666666666</v>
      </c>
    </row>
    <row r="73" spans="3:8">
      <c r="H73" s="471"/>
    </row>
    <row r="74" spans="3:8">
      <c r="G74" s="471"/>
      <c r="H74" s="109"/>
    </row>
    <row r="75" spans="3:8">
      <c r="G75" s="109"/>
    </row>
    <row r="76" spans="3:8">
      <c r="C76" s="471"/>
      <c r="D76" s="471"/>
      <c r="E76" s="471"/>
      <c r="F76" s="471"/>
    </row>
    <row r="77" spans="3:8">
      <c r="D77" s="109"/>
    </row>
  </sheetData>
  <mergeCells count="5">
    <mergeCell ref="K7:L7"/>
    <mergeCell ref="H27:J27"/>
    <mergeCell ref="H7:I7"/>
    <mergeCell ref="H20:I20"/>
    <mergeCell ref="H13:I13"/>
  </mergeCells>
  <hyperlinks>
    <hyperlink ref="A3" location="'Index'!A1" display="Back to Index" xr:uid="{42856693-7A4F-4DEF-9730-6CDF86BAC11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A57D-AE9A-4608-A495-2ACB7A4D8ECB}">
  <sheetPr>
    <tabColor rgb="FF00B0F0"/>
  </sheetPr>
  <dimension ref="A1:L32"/>
  <sheetViews>
    <sheetView workbookViewId="0">
      <selection activeCell="A2" sqref="A2"/>
    </sheetView>
  </sheetViews>
  <sheetFormatPr defaultRowHeight="15" customHeight="1"/>
  <cols>
    <col min="2" max="2" width="25.6640625" customWidth="1"/>
    <col min="3" max="3" width="12.6640625" customWidth="1"/>
    <col min="5" max="5" width="29.5546875" customWidth="1"/>
    <col min="6" max="10" width="12.6640625" style="94" customWidth="1"/>
    <col min="13" max="13" width="22.109375" customWidth="1"/>
    <col min="16" max="16" width="30.5546875" customWidth="1"/>
  </cols>
  <sheetData>
    <row r="1" spans="1:12" ht="28.8">
      <c r="A1" s="501" t="s">
        <v>693</v>
      </c>
      <c r="C1" s="501"/>
      <c r="D1" s="501"/>
      <c r="F1" s="502"/>
      <c r="G1" s="502"/>
      <c r="H1" s="502"/>
      <c r="I1" s="502"/>
      <c r="J1" s="502"/>
      <c r="K1" s="34"/>
    </row>
    <row r="2" spans="1:12" ht="28.8">
      <c r="A2" s="1145" t="s">
        <v>694</v>
      </c>
      <c r="C2" s="501"/>
      <c r="D2" s="501"/>
      <c r="F2" s="502"/>
      <c r="G2" s="502"/>
      <c r="H2" s="502"/>
      <c r="I2" s="502"/>
      <c r="J2" s="502"/>
      <c r="K2" s="34"/>
    </row>
    <row r="3" spans="1:12" ht="14.4">
      <c r="A3" s="284" t="s">
        <v>32</v>
      </c>
      <c r="C3" s="284"/>
      <c r="D3" s="284"/>
      <c r="F3" s="502"/>
      <c r="G3" s="502"/>
      <c r="H3" s="502"/>
      <c r="I3" s="502"/>
      <c r="J3" s="502"/>
      <c r="K3" s="34"/>
    </row>
    <row r="4" spans="1:12" ht="14.4">
      <c r="B4" s="284"/>
      <c r="C4" s="284"/>
      <c r="D4" s="284"/>
      <c r="F4" s="502"/>
      <c r="G4" s="502"/>
      <c r="H4" s="502"/>
      <c r="I4" s="502"/>
      <c r="J4" s="502"/>
      <c r="K4" s="34"/>
    </row>
    <row r="5" spans="1:12" ht="15" customHeight="1">
      <c r="B5" s="1261" t="s">
        <v>299</v>
      </c>
      <c r="C5" s="1262"/>
      <c r="D5" s="284"/>
      <c r="E5" s="98"/>
      <c r="F5" s="1184" t="s">
        <v>695</v>
      </c>
      <c r="G5" s="1184" t="s">
        <v>158</v>
      </c>
      <c r="H5" s="1184" t="s">
        <v>159</v>
      </c>
      <c r="I5" s="1184" t="s">
        <v>160</v>
      </c>
      <c r="J5" s="1196" t="s">
        <v>161</v>
      </c>
    </row>
    <row r="6" spans="1:12" ht="14.4">
      <c r="B6" s="44" t="s">
        <v>463</v>
      </c>
      <c r="C6" s="963">
        <v>170000</v>
      </c>
      <c r="E6" s="724" t="s">
        <v>376</v>
      </c>
      <c r="F6" s="942">
        <f>'BASES Model'!C16</f>
        <v>104132</v>
      </c>
      <c r="G6" s="942">
        <f>'BASES Model'!D16</f>
        <v>190238</v>
      </c>
      <c r="H6" s="942">
        <f>'BASES Model'!E16</f>
        <v>252116</v>
      </c>
      <c r="I6" s="942">
        <f>'BASES Model'!F16</f>
        <v>332284</v>
      </c>
      <c r="J6" s="943">
        <f>'BASES Model'!G16</f>
        <v>451578</v>
      </c>
      <c r="L6" s="32"/>
    </row>
    <row r="7" spans="1:12" ht="14.4">
      <c r="B7" s="44" t="s">
        <v>442</v>
      </c>
      <c r="C7" s="963">
        <v>50000</v>
      </c>
      <c r="E7" s="127" t="s">
        <v>696</v>
      </c>
      <c r="F7" s="502">
        <f>'Manufacturing Overhead'!$F$7</f>
        <v>400000</v>
      </c>
      <c r="G7" s="502">
        <v>0</v>
      </c>
      <c r="H7" s="502">
        <v>0</v>
      </c>
      <c r="I7" s="502">
        <v>0</v>
      </c>
      <c r="J7" s="503">
        <v>0</v>
      </c>
    </row>
    <row r="8" spans="1:12" ht="14.4">
      <c r="B8" s="44" t="s">
        <v>443</v>
      </c>
      <c r="C8" s="963">
        <v>5000</v>
      </c>
      <c r="E8" s="765" t="s">
        <v>697</v>
      </c>
      <c r="F8" s="924"/>
      <c r="G8" s="924"/>
      <c r="H8" s="924"/>
      <c r="I8" s="924"/>
      <c r="J8" s="925"/>
    </row>
    <row r="9" spans="1:12" ht="14.4">
      <c r="B9" s="44" t="s">
        <v>444</v>
      </c>
      <c r="C9" s="963">
        <v>1025</v>
      </c>
      <c r="E9" s="88" t="s">
        <v>698</v>
      </c>
      <c r="F9" s="731">
        <f>'Production Capacity Analysis'!F29</f>
        <v>2</v>
      </c>
      <c r="G9" s="731">
        <f>'Production Capacity Analysis'!G29-'Production Capacity Analysis'!F29</f>
        <v>2</v>
      </c>
      <c r="H9" s="731">
        <f>'Production Capacity Analysis'!H29-'Production Capacity Analysis'!G29</f>
        <v>1</v>
      </c>
      <c r="I9" s="731">
        <f>'Production Capacity Analysis'!I29-'Production Capacity Analysis'!H29</f>
        <v>1</v>
      </c>
      <c r="J9" s="958">
        <f>'Production Capacity Analysis'!J29-'Production Capacity Analysis'!I29</f>
        <v>2</v>
      </c>
    </row>
    <row r="10" spans="1:12" ht="14.4">
      <c r="B10" s="51" t="s">
        <v>464</v>
      </c>
      <c r="C10" s="955">
        <v>6</v>
      </c>
      <c r="E10" s="127" t="s">
        <v>699</v>
      </c>
      <c r="F10" s="502">
        <f>F9*$C$6</f>
        <v>340000</v>
      </c>
      <c r="G10" s="502">
        <f>G9*$C$6</f>
        <v>340000</v>
      </c>
      <c r="H10" s="502">
        <f>H9*$C$6</f>
        <v>170000</v>
      </c>
      <c r="I10" s="502">
        <f>I9*$C$6</f>
        <v>170000</v>
      </c>
      <c r="J10" s="503">
        <f>J9*$C$6</f>
        <v>340000</v>
      </c>
    </row>
    <row r="11" spans="1:12" ht="14.4">
      <c r="B11" s="284" t="s">
        <v>700</v>
      </c>
      <c r="E11" s="127" t="s">
        <v>701</v>
      </c>
      <c r="F11" s="94">
        <f>'Production Capacity Analysis'!F32</f>
        <v>4</v>
      </c>
      <c r="G11" s="94">
        <f>'Production Capacity Analysis'!G32-'Production Capacity Analysis'!F32</f>
        <v>0</v>
      </c>
      <c r="H11" s="94">
        <f>'Production Capacity Analysis'!H32-'Production Capacity Analysis'!G32</f>
        <v>4</v>
      </c>
      <c r="I11" s="94">
        <f>'Production Capacity Analysis'!I32-'Production Capacity Analysis'!H32</f>
        <v>0</v>
      </c>
      <c r="J11" s="242">
        <f>'Production Capacity Analysis'!J32-'Production Capacity Analysis'!I32</f>
        <v>8</v>
      </c>
      <c r="K11" s="284"/>
    </row>
    <row r="12" spans="1:12" ht="14.4">
      <c r="E12" s="127" t="s">
        <v>702</v>
      </c>
      <c r="F12" s="502">
        <f>F11*$C$7</f>
        <v>200000</v>
      </c>
      <c r="G12" s="502">
        <f>G11*$C$7</f>
        <v>0</v>
      </c>
      <c r="H12" s="502">
        <f>H11*$C$7</f>
        <v>200000</v>
      </c>
      <c r="I12" s="502">
        <f>I11*$C$7</f>
        <v>0</v>
      </c>
      <c r="J12" s="503">
        <f>J11*$C$7</f>
        <v>400000</v>
      </c>
      <c r="K12" s="284"/>
    </row>
    <row r="13" spans="1:12" ht="14.4">
      <c r="E13" s="127" t="s">
        <v>703</v>
      </c>
      <c r="F13" s="94">
        <f>'Production Capacity Analysis'!F28</f>
        <v>2</v>
      </c>
      <c r="G13" s="94">
        <f>'Production Capacity Analysis'!G28-'Production Capacity Analysis'!F28</f>
        <v>1</v>
      </c>
      <c r="H13" s="94">
        <f>'Production Capacity Analysis'!H28-'Production Capacity Analysis'!G28</f>
        <v>1</v>
      </c>
      <c r="I13" s="94">
        <f>'Production Capacity Analysis'!I28-'Production Capacity Analysis'!H28</f>
        <v>1</v>
      </c>
      <c r="J13" s="242">
        <f>'Production Capacity Analysis'!J28-'Production Capacity Analysis'!I28</f>
        <v>1</v>
      </c>
      <c r="K13" s="284"/>
    </row>
    <row r="14" spans="1:12" ht="14.4">
      <c r="E14" s="127" t="s">
        <v>704</v>
      </c>
      <c r="F14" s="502">
        <f>F13*$C$8</f>
        <v>10000</v>
      </c>
      <c r="G14" s="502">
        <f t="shared" ref="G14:I14" si="0">G13*$C$8</f>
        <v>5000</v>
      </c>
      <c r="H14" s="502">
        <f t="shared" si="0"/>
        <v>5000</v>
      </c>
      <c r="I14" s="502">
        <f t="shared" si="0"/>
        <v>5000</v>
      </c>
      <c r="J14" s="503">
        <f>J13*$C$8</f>
        <v>5000</v>
      </c>
    </row>
    <row r="15" spans="1:12" ht="14.4">
      <c r="E15" s="127" t="s">
        <v>705</v>
      </c>
      <c r="F15" s="957">
        <f>ROUNDUP(F6/100000,0)*$C$10</f>
        <v>12</v>
      </c>
      <c r="G15" s="959">
        <f>ROUNDUP(G6/100000,0)*$C$10-SUM($F$15:F15)</f>
        <v>0</v>
      </c>
      <c r="H15" s="959">
        <f>ROUNDUP(H6/100000,0)*$C$10-SUM($F$15:G15)</f>
        <v>6</v>
      </c>
      <c r="I15" s="959">
        <f>ROUNDUP(I6/100000,0)*$C$10-SUM($F$15:H15)</f>
        <v>6</v>
      </c>
      <c r="J15" s="960">
        <f>ROUNDUP(J6/100000,0)*$C$10-SUM($F$15:I15)</f>
        <v>6</v>
      </c>
      <c r="K15" s="284"/>
    </row>
    <row r="16" spans="1:12" ht="14.4">
      <c r="E16" s="127" t="s">
        <v>706</v>
      </c>
      <c r="F16" s="502">
        <f>F15*$C$9</f>
        <v>12300</v>
      </c>
      <c r="G16" s="502">
        <f>G15*$C$9</f>
        <v>0</v>
      </c>
      <c r="H16" s="502">
        <f>H15*$C$9</f>
        <v>6150</v>
      </c>
      <c r="I16" s="502">
        <f>I15*$C$9</f>
        <v>6150</v>
      </c>
      <c r="J16" s="503">
        <f>J15*$C$9</f>
        <v>6150</v>
      </c>
    </row>
    <row r="17" spans="5:11" ht="14.4">
      <c r="E17" s="1046" t="s">
        <v>707</v>
      </c>
      <c r="F17" s="1045">
        <f>SUM(F10,F12,F14,F7,F16)</f>
        <v>962300</v>
      </c>
      <c r="G17" s="922">
        <f t="shared" ref="G17:J17" si="1">SUM(G10,G12,G14,G7,G16)</f>
        <v>345000</v>
      </c>
      <c r="H17" s="922">
        <f>SUM(H10,H12,H14,H7,H16)</f>
        <v>381150</v>
      </c>
      <c r="I17" s="922">
        <f t="shared" si="1"/>
        <v>181150</v>
      </c>
      <c r="J17" s="837">
        <f t="shared" si="1"/>
        <v>751150</v>
      </c>
      <c r="K17" s="80"/>
    </row>
    <row r="18" spans="5:11" ht="14.4"/>
    <row r="19" spans="5:11" ht="14.4"/>
    <row r="20" spans="5:11" ht="14.4"/>
    <row r="21" spans="5:11" ht="14.4"/>
    <row r="22" spans="5:11" ht="14.4"/>
    <row r="23" spans="5:11" ht="14.4">
      <c r="J23" s="637"/>
    </row>
    <row r="24" spans="5:11" ht="14.4"/>
    <row r="25" spans="5:11" ht="14.4">
      <c r="E25" s="34"/>
    </row>
    <row r="27" spans="5:11" ht="14.4"/>
    <row r="28" spans="5:11" ht="14.4"/>
    <row r="29" spans="5:11" ht="14.4"/>
    <row r="30" spans="5:11" ht="14.4"/>
    <row r="31" spans="5:11" ht="14.4"/>
    <row r="32" spans="5:11" ht="14.4"/>
  </sheetData>
  <mergeCells count="1">
    <mergeCell ref="B5:C5"/>
  </mergeCells>
  <hyperlinks>
    <hyperlink ref="A3" location="'Index'!A1" display="Back to Index" xr:uid="{75FB564A-8EF8-4FC4-B6BA-365553D93CF4}"/>
    <hyperlink ref="B11" r:id="rId1" xr:uid="{E7A581C7-CF0B-447F-9983-F9111050720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B853-EF80-4673-A6CE-52F8A1EC30A9}">
  <sheetPr>
    <tabColor rgb="FF00B0F0"/>
  </sheetPr>
  <dimension ref="A1:S48"/>
  <sheetViews>
    <sheetView workbookViewId="0">
      <selection activeCell="A2" sqref="A2"/>
    </sheetView>
  </sheetViews>
  <sheetFormatPr defaultColWidth="8.88671875" defaultRowHeight="15" customHeight="1"/>
  <cols>
    <col min="2" max="2" width="42.109375" customWidth="1"/>
    <col min="3" max="3" width="12.6640625" customWidth="1"/>
    <col min="4" max="4" width="10.109375" customWidth="1"/>
    <col min="5" max="5" width="40.44140625" customWidth="1"/>
    <col min="6" max="11" width="11.88671875" bestFit="1" customWidth="1"/>
    <col min="13" max="13" width="10.44140625" bestFit="1" customWidth="1"/>
  </cols>
  <sheetData>
    <row r="1" spans="1:19" ht="28.8">
      <c r="A1" s="582" t="s">
        <v>21</v>
      </c>
      <c r="C1" s="582"/>
      <c r="D1" s="582"/>
    </row>
    <row r="2" spans="1:19" ht="28.8">
      <c r="A2" s="1147" t="s">
        <v>708</v>
      </c>
      <c r="C2" s="582"/>
      <c r="D2" s="582"/>
    </row>
    <row r="3" spans="1:19" ht="14.4">
      <c r="A3" s="284" t="s">
        <v>32</v>
      </c>
      <c r="C3" s="284"/>
      <c r="D3" s="284"/>
    </row>
    <row r="4" spans="1:19" ht="14.4">
      <c r="B4" s="284"/>
      <c r="C4" s="284"/>
      <c r="D4" s="284"/>
    </row>
    <row r="5" spans="1:19" ht="14.4">
      <c r="B5" s="1239" t="s">
        <v>299</v>
      </c>
      <c r="C5" s="1265"/>
      <c r="E5" s="240"/>
      <c r="F5" s="100" t="s">
        <v>176</v>
      </c>
      <c r="G5" s="100" t="s">
        <v>157</v>
      </c>
      <c r="H5" s="100" t="s">
        <v>158</v>
      </c>
      <c r="I5" s="100" t="s">
        <v>159</v>
      </c>
      <c r="J5" s="100" t="s">
        <v>160</v>
      </c>
      <c r="K5" s="103" t="s">
        <v>161</v>
      </c>
      <c r="R5" t="s">
        <v>275</v>
      </c>
      <c r="S5" s="284" t="s">
        <v>709</v>
      </c>
    </row>
    <row r="6" spans="1:19" ht="14.4">
      <c r="B6" s="1273" t="s">
        <v>446</v>
      </c>
      <c r="C6" s="1274"/>
      <c r="E6" s="44" t="s">
        <v>710</v>
      </c>
      <c r="F6">
        <f>F33+F34</f>
        <v>9</v>
      </c>
      <c r="G6">
        <f t="shared" ref="G6:K6" si="0">G33+G34</f>
        <v>9</v>
      </c>
      <c r="H6">
        <f t="shared" si="0"/>
        <v>10</v>
      </c>
      <c r="I6">
        <f t="shared" si="0"/>
        <v>12</v>
      </c>
      <c r="J6">
        <f t="shared" si="0"/>
        <v>15</v>
      </c>
      <c r="K6" s="50">
        <f t="shared" si="0"/>
        <v>17</v>
      </c>
      <c r="S6" s="284" t="s">
        <v>711</v>
      </c>
    </row>
    <row r="7" spans="1:19" ht="14.4">
      <c r="B7" s="44" t="s">
        <v>447</v>
      </c>
      <c r="C7" s="127">
        <v>20000</v>
      </c>
      <c r="E7" s="44" t="s">
        <v>712</v>
      </c>
      <c r="K7" s="50"/>
      <c r="S7" s="284" t="s">
        <v>713</v>
      </c>
    </row>
    <row r="8" spans="1:19" ht="14.4">
      <c r="B8" s="44" t="s">
        <v>448</v>
      </c>
      <c r="C8" s="127">
        <v>600</v>
      </c>
      <c r="E8" s="983" t="s">
        <v>714</v>
      </c>
      <c r="F8" s="580"/>
      <c r="G8" s="580"/>
      <c r="H8" s="580"/>
      <c r="I8" s="580"/>
      <c r="J8" s="580"/>
      <c r="K8" s="178"/>
      <c r="S8" s="284" t="s">
        <v>715</v>
      </c>
    </row>
    <row r="9" spans="1:19" ht="14.4">
      <c r="B9" s="44" t="s">
        <v>449</v>
      </c>
      <c r="C9" s="127">
        <v>22</v>
      </c>
      <c r="E9" s="44" t="s">
        <v>716</v>
      </c>
      <c r="F9" s="975">
        <v>20000</v>
      </c>
      <c r="G9" s="975">
        <v>0</v>
      </c>
      <c r="H9" s="975">
        <v>0</v>
      </c>
      <c r="I9" s="975">
        <v>0</v>
      </c>
      <c r="J9" s="975">
        <v>0</v>
      </c>
      <c r="K9" s="926">
        <v>0</v>
      </c>
    </row>
    <row r="10" spans="1:19" ht="14.4">
      <c r="B10" s="44" t="s">
        <v>450</v>
      </c>
      <c r="C10" s="127">
        <v>79</v>
      </c>
      <c r="E10" s="44" t="s">
        <v>717</v>
      </c>
      <c r="F10" s="975">
        <f>F6*$C$24*F29</f>
        <v>10800</v>
      </c>
      <c r="G10" s="975">
        <f>G6*$C$23*G29</f>
        <v>68040</v>
      </c>
      <c r="H10" s="975">
        <f>H6*$C$23*H29</f>
        <v>79380</v>
      </c>
      <c r="I10" s="975">
        <f>I6*$C$23*I29</f>
        <v>100018.8</v>
      </c>
      <c r="J10" s="975">
        <f>J6*$C$23*J29</f>
        <v>131274.67500000002</v>
      </c>
      <c r="K10" s="926">
        <f>K6*$C$23*K29</f>
        <v>156216.86325000002</v>
      </c>
    </row>
    <row r="11" spans="1:19" ht="14.4">
      <c r="B11" s="44" t="s">
        <v>451</v>
      </c>
      <c r="C11" s="965">
        <v>1500</v>
      </c>
      <c r="E11" s="44" t="s">
        <v>718</v>
      </c>
      <c r="F11" s="975">
        <f t="shared" ref="F11:K11" si="1">F10*$C$18</f>
        <v>540</v>
      </c>
      <c r="G11" s="975">
        <f t="shared" si="1"/>
        <v>3402</v>
      </c>
      <c r="H11" s="975">
        <f t="shared" si="1"/>
        <v>3969</v>
      </c>
      <c r="I11" s="975">
        <f t="shared" si="1"/>
        <v>5000.9400000000005</v>
      </c>
      <c r="J11" s="975">
        <f t="shared" si="1"/>
        <v>6563.7337500000012</v>
      </c>
      <c r="K11" s="926">
        <f t="shared" si="1"/>
        <v>7810.8431625000012</v>
      </c>
    </row>
    <row r="12" spans="1:19" ht="14.4">
      <c r="B12" s="44" t="s">
        <v>452</v>
      </c>
      <c r="C12" s="127">
        <v>1000</v>
      </c>
      <c r="E12" s="44" t="s">
        <v>719</v>
      </c>
      <c r="F12" s="975">
        <f>F30*C24*F6</f>
        <v>396</v>
      </c>
      <c r="G12" s="975">
        <f>$C$23*G30*G6</f>
        <v>2494.8000000000002</v>
      </c>
      <c r="H12" s="975">
        <f>$C$23*H30*H6</f>
        <v>2910.6000000000004</v>
      </c>
      <c r="I12" s="975">
        <f>$C$23*I30*I6</f>
        <v>3667.3560000000007</v>
      </c>
      <c r="J12" s="975">
        <f>$C$23*J30*J6</f>
        <v>4813.4047500000006</v>
      </c>
      <c r="K12" s="926">
        <f>$C$23*K30*K6</f>
        <v>5727.9516525000008</v>
      </c>
    </row>
    <row r="13" spans="1:19" ht="14.4">
      <c r="B13" s="44" t="s">
        <v>453</v>
      </c>
      <c r="C13" s="127">
        <v>750</v>
      </c>
      <c r="E13" s="44" t="s">
        <v>720</v>
      </c>
      <c r="F13" s="975">
        <v>0</v>
      </c>
      <c r="G13" s="975">
        <f>G31*$C$23</f>
        <v>995.40000000000009</v>
      </c>
      <c r="H13" s="975">
        <f>H31*$C$23</f>
        <v>1045.17</v>
      </c>
      <c r="I13" s="975">
        <f>I31*$C$23</f>
        <v>1097.4285000000002</v>
      </c>
      <c r="J13" s="975">
        <f>J31*$C$23</f>
        <v>1152.2999250000003</v>
      </c>
      <c r="K13" s="926">
        <f>K31*$C$23</f>
        <v>1209.9149212500004</v>
      </c>
    </row>
    <row r="14" spans="1:19" ht="14.4">
      <c r="B14" s="44" t="s">
        <v>454</v>
      </c>
      <c r="C14" s="127">
        <v>5000</v>
      </c>
      <c r="E14" s="44"/>
      <c r="F14" s="975"/>
      <c r="G14" s="975"/>
      <c r="H14" s="975"/>
      <c r="I14" s="975"/>
      <c r="J14" s="975"/>
      <c r="K14" s="926"/>
    </row>
    <row r="15" spans="1:19" ht="14.4">
      <c r="B15" s="44" t="s">
        <v>455</v>
      </c>
      <c r="C15" s="127">
        <v>350</v>
      </c>
      <c r="E15" s="192" t="s">
        <v>721</v>
      </c>
      <c r="F15" s="979">
        <f t="shared" ref="F15:K15" si="2">SUM(F9:F13)</f>
        <v>31736</v>
      </c>
      <c r="G15" s="979">
        <f t="shared" si="2"/>
        <v>74932.2</v>
      </c>
      <c r="H15" s="979">
        <f t="shared" si="2"/>
        <v>87304.77</v>
      </c>
      <c r="I15" s="979">
        <f t="shared" si="2"/>
        <v>109784.5245</v>
      </c>
      <c r="J15" s="979">
        <f t="shared" si="2"/>
        <v>143804.11342500002</v>
      </c>
      <c r="K15" s="980">
        <f t="shared" si="2"/>
        <v>170965.57298625002</v>
      </c>
      <c r="N15" s="66"/>
    </row>
    <row r="16" spans="1:19" ht="14.4">
      <c r="B16" s="44"/>
      <c r="C16" s="127"/>
      <c r="E16" s="44"/>
      <c r="F16" s="975"/>
      <c r="G16" s="975"/>
      <c r="H16" s="975"/>
      <c r="I16" s="975"/>
      <c r="J16" s="975"/>
      <c r="K16" s="926"/>
    </row>
    <row r="17" spans="2:11" ht="14.4">
      <c r="B17" s="1273" t="s">
        <v>456</v>
      </c>
      <c r="C17" s="1274"/>
      <c r="E17" s="310" t="s">
        <v>722</v>
      </c>
      <c r="F17" s="984"/>
      <c r="G17" s="984"/>
      <c r="H17" s="984"/>
      <c r="I17" s="984"/>
      <c r="J17" s="984"/>
      <c r="K17" s="985"/>
    </row>
    <row r="18" spans="2:11" ht="14.4">
      <c r="B18" s="44" t="s">
        <v>457</v>
      </c>
      <c r="C18" s="201">
        <v>0.05</v>
      </c>
      <c r="E18" s="44" t="s">
        <v>723</v>
      </c>
      <c r="F18" s="975">
        <f>F39*$C$11</f>
        <v>7500</v>
      </c>
      <c r="G18" s="975">
        <f t="shared" ref="G18:I18" si="3">G39*$C$11</f>
        <v>0</v>
      </c>
      <c r="H18" s="975">
        <f t="shared" si="3"/>
        <v>1500</v>
      </c>
      <c r="I18" s="975">
        <f t="shared" si="3"/>
        <v>1500</v>
      </c>
      <c r="J18" s="975">
        <f>J39*$C$11</f>
        <v>3000</v>
      </c>
      <c r="K18" s="926">
        <f>K39*$C$11</f>
        <v>1500</v>
      </c>
    </row>
    <row r="19" spans="2:11" ht="14.4">
      <c r="B19" s="44" t="s">
        <v>458</v>
      </c>
      <c r="C19" s="201">
        <v>0.05</v>
      </c>
      <c r="E19" s="44" t="s">
        <v>724</v>
      </c>
      <c r="F19" s="975">
        <f>F40*$C$12</f>
        <v>4000</v>
      </c>
      <c r="G19" s="975">
        <f t="shared" ref="G19:K19" si="4">G40*$C$12</f>
        <v>0</v>
      </c>
      <c r="H19" s="975">
        <f t="shared" si="4"/>
        <v>0</v>
      </c>
      <c r="I19" s="975">
        <f t="shared" si="4"/>
        <v>1000</v>
      </c>
      <c r="J19" s="975">
        <f t="shared" si="4"/>
        <v>1000</v>
      </c>
      <c r="K19" s="926">
        <f t="shared" si="4"/>
        <v>1000</v>
      </c>
    </row>
    <row r="20" spans="2:11" ht="14.4">
      <c r="B20" s="44" t="s">
        <v>459</v>
      </c>
      <c r="C20" s="127">
        <v>3</v>
      </c>
      <c r="E20" s="44" t="s">
        <v>725</v>
      </c>
      <c r="F20" s="975">
        <f>F41*$C$13</f>
        <v>1500</v>
      </c>
      <c r="G20" s="975">
        <f t="shared" ref="G20:K20" si="5">G41*$C$13</f>
        <v>0</v>
      </c>
      <c r="H20" s="975">
        <f t="shared" si="5"/>
        <v>0</v>
      </c>
      <c r="I20" s="975">
        <f t="shared" si="5"/>
        <v>750</v>
      </c>
      <c r="J20" s="975">
        <f t="shared" si="5"/>
        <v>0</v>
      </c>
      <c r="K20" s="926">
        <f t="shared" si="5"/>
        <v>750</v>
      </c>
    </row>
    <row r="21" spans="2:11" ht="14.4">
      <c r="B21" s="44"/>
      <c r="C21" s="127"/>
      <c r="E21" s="44" t="s">
        <v>726</v>
      </c>
      <c r="F21" s="975">
        <f>$C$15</f>
        <v>350</v>
      </c>
      <c r="G21" s="975">
        <v>0</v>
      </c>
      <c r="H21" s="975">
        <v>0</v>
      </c>
      <c r="I21" s="975">
        <v>0</v>
      </c>
      <c r="J21" s="975">
        <v>0</v>
      </c>
      <c r="K21" s="926">
        <v>0</v>
      </c>
    </row>
    <row r="22" spans="2:11" ht="14.4">
      <c r="B22" s="1273" t="s">
        <v>460</v>
      </c>
      <c r="C22" s="1274"/>
      <c r="E22" s="44"/>
      <c r="F22" s="975"/>
      <c r="G22" s="975"/>
      <c r="H22" s="975"/>
      <c r="I22" s="975"/>
      <c r="J22" s="975"/>
      <c r="K22" s="926"/>
    </row>
    <row r="23" spans="2:11" ht="14.4">
      <c r="B23" s="44" t="s">
        <v>461</v>
      </c>
      <c r="C23" s="127">
        <v>12</v>
      </c>
      <c r="E23" s="192" t="s">
        <v>727</v>
      </c>
      <c r="F23" s="979">
        <f>SUM(F18:F21)</f>
        <v>13350</v>
      </c>
      <c r="G23" s="979">
        <f t="shared" ref="G23:K23" si="6">SUM(G18:G21)</f>
        <v>0</v>
      </c>
      <c r="H23" s="979">
        <f t="shared" si="6"/>
        <v>1500</v>
      </c>
      <c r="I23" s="979">
        <f t="shared" si="6"/>
        <v>3250</v>
      </c>
      <c r="J23" s="979">
        <f t="shared" si="6"/>
        <v>4000</v>
      </c>
      <c r="K23" s="980">
        <f t="shared" si="6"/>
        <v>3250</v>
      </c>
    </row>
    <row r="24" spans="2:11" ht="14.4">
      <c r="B24" s="51" t="s">
        <v>462</v>
      </c>
      <c r="C24" s="128">
        <f>'Operations Assumptions'!C7</f>
        <v>2</v>
      </c>
      <c r="E24" s="44"/>
      <c r="F24" s="975"/>
      <c r="G24" s="975"/>
      <c r="H24" s="975"/>
      <c r="I24" s="975"/>
      <c r="J24" s="975"/>
      <c r="K24" s="926"/>
    </row>
    <row r="25" spans="2:11" ht="14.4">
      <c r="E25" s="194" t="s">
        <v>728</v>
      </c>
      <c r="F25" s="981">
        <f>F15+F23</f>
        <v>45086</v>
      </c>
      <c r="G25" s="981">
        <f t="shared" ref="G25:J25" si="7">G15+G23</f>
        <v>74932.2</v>
      </c>
      <c r="H25" s="981">
        <f t="shared" si="7"/>
        <v>88804.77</v>
      </c>
      <c r="I25" s="981">
        <f t="shared" si="7"/>
        <v>113034.5245</v>
      </c>
      <c r="J25" s="981">
        <f t="shared" si="7"/>
        <v>147804.11342500002</v>
      </c>
      <c r="K25" s="982">
        <f>K15+K23</f>
        <v>174215.57298625002</v>
      </c>
    </row>
    <row r="26" spans="2:11" ht="14.4">
      <c r="E26" s="24"/>
      <c r="F26" s="24"/>
      <c r="G26" s="24"/>
      <c r="H26" s="24"/>
      <c r="I26" s="24"/>
      <c r="J26" s="24"/>
    </row>
    <row r="27" spans="2:11" ht="14.4">
      <c r="E27" s="24"/>
      <c r="F27" s="24"/>
      <c r="G27" s="24"/>
      <c r="H27" s="24"/>
      <c r="I27" s="24"/>
      <c r="J27" s="24"/>
    </row>
    <row r="28" spans="2:11" ht="14.4" customHeight="1">
      <c r="E28" s="1193" t="s">
        <v>657</v>
      </c>
      <c r="F28" s="1197" t="s">
        <v>176</v>
      </c>
      <c r="G28" s="1197" t="s">
        <v>157</v>
      </c>
      <c r="H28" s="1197" t="s">
        <v>158</v>
      </c>
      <c r="I28" s="1197" t="s">
        <v>159</v>
      </c>
      <c r="J28" s="1197" t="s">
        <v>160</v>
      </c>
      <c r="K28" s="1194" t="s">
        <v>161</v>
      </c>
    </row>
    <row r="29" spans="2:11" ht="14.4" customHeight="1">
      <c r="E29" s="44" t="s">
        <v>729</v>
      </c>
      <c r="F29">
        <f>C8</f>
        <v>600</v>
      </c>
      <c r="G29">
        <f t="shared" ref="G29:K31" si="8">F29*(1+$C$19)</f>
        <v>630</v>
      </c>
      <c r="H29" s="24">
        <f t="shared" si="8"/>
        <v>661.5</v>
      </c>
      <c r="I29" s="24">
        <f t="shared" si="8"/>
        <v>694.57500000000005</v>
      </c>
      <c r="J29" s="24">
        <f>I29*(1+$C$19)</f>
        <v>729.30375000000004</v>
      </c>
      <c r="K29" s="659">
        <f t="shared" si="8"/>
        <v>765.76893750000011</v>
      </c>
    </row>
    <row r="30" spans="2:11" ht="14.4" customHeight="1">
      <c r="E30" s="44" t="s">
        <v>449</v>
      </c>
      <c r="F30">
        <f>C9</f>
        <v>22</v>
      </c>
      <c r="G30" s="24">
        <f t="shared" si="8"/>
        <v>23.1</v>
      </c>
      <c r="H30" s="24">
        <f t="shared" si="8"/>
        <v>24.255000000000003</v>
      </c>
      <c r="I30" s="24">
        <f t="shared" si="8"/>
        <v>25.467750000000002</v>
      </c>
      <c r="J30" s="24">
        <f t="shared" si="8"/>
        <v>26.741137500000004</v>
      </c>
      <c r="K30" s="659">
        <f t="shared" si="8"/>
        <v>28.078194375000006</v>
      </c>
    </row>
    <row r="31" spans="2:11" ht="14.4" customHeight="1">
      <c r="E31" s="44" t="s">
        <v>450</v>
      </c>
      <c r="F31">
        <f>C10</f>
        <v>79</v>
      </c>
      <c r="G31" s="24">
        <f t="shared" si="8"/>
        <v>82.95</v>
      </c>
      <c r="H31" s="24">
        <f t="shared" si="8"/>
        <v>87.097500000000011</v>
      </c>
      <c r="I31" s="24">
        <f t="shared" si="8"/>
        <v>91.452375000000018</v>
      </c>
      <c r="J31" s="24">
        <f t="shared" si="8"/>
        <v>96.024993750000021</v>
      </c>
      <c r="K31" s="659">
        <f t="shared" si="8"/>
        <v>100.82624343750003</v>
      </c>
    </row>
    <row r="32" spans="2:11" ht="14.4" customHeight="1">
      <c r="E32" s="42"/>
      <c r="K32" s="50"/>
    </row>
    <row r="33" spans="5:11" ht="14.4" customHeight="1">
      <c r="E33" s="192" t="s">
        <v>730</v>
      </c>
      <c r="F33" s="188">
        <f>COUNTA('General and Administrative'!L8:L22)</f>
        <v>5</v>
      </c>
      <c r="G33" s="188">
        <f>COUNTA('General and Administrative'!L8:L22)</f>
        <v>5</v>
      </c>
      <c r="H33" s="188">
        <f>COUNTA('General and Administrative'!N8:N22)</f>
        <v>6</v>
      </c>
      <c r="I33" s="188">
        <f>COUNTA('General and Administrative'!P8:P22)</f>
        <v>7</v>
      </c>
      <c r="J33" s="188">
        <f>COUNTA('General and Administrative'!R8:R22)</f>
        <v>9</v>
      </c>
      <c r="K33" s="189">
        <f>COUNTA('General and Administrative'!T8:T22)</f>
        <v>10</v>
      </c>
    </row>
    <row r="34" spans="5:11" ht="14.4" customHeight="1">
      <c r="E34" s="192" t="s">
        <v>731</v>
      </c>
      <c r="F34" s="188">
        <f>SUM('Production Capacity Analysis'!F26:F27)+'Manufacturing Overhead'!I25</f>
        <v>4</v>
      </c>
      <c r="G34" s="188">
        <f>SUM('Production Capacity Analysis'!F26:F27)+'Manufacturing Overhead'!I25</f>
        <v>4</v>
      </c>
      <c r="H34" s="188">
        <f>SUM('Production Capacity Analysis'!G26:G27)+'Manufacturing Overhead'!J25</f>
        <v>4</v>
      </c>
      <c r="I34" s="188">
        <f>SUM('Production Capacity Analysis'!H26:H27)+'Manufacturing Overhead'!K25</f>
        <v>5</v>
      </c>
      <c r="J34" s="188">
        <f>SUM('Production Capacity Analysis'!I26:I27)+'Manufacturing Overhead'!L25</f>
        <v>6</v>
      </c>
      <c r="K34" s="189">
        <f>SUM('Production Capacity Analysis'!J26:J27)+'Manufacturing Overhead'!M25</f>
        <v>7</v>
      </c>
    </row>
    <row r="35" spans="5:11" ht="14.4" customHeight="1">
      <c r="E35" s="194" t="s">
        <v>732</v>
      </c>
      <c r="F35" s="196">
        <f t="shared" ref="F35:K35" si="9">ROUNDUP(F33/$C$20,0)</f>
        <v>2</v>
      </c>
      <c r="G35" s="196">
        <f t="shared" si="9"/>
        <v>2</v>
      </c>
      <c r="H35" s="196">
        <f t="shared" si="9"/>
        <v>2</v>
      </c>
      <c r="I35" s="196">
        <f t="shared" si="9"/>
        <v>3</v>
      </c>
      <c r="J35" s="196">
        <f t="shared" si="9"/>
        <v>3</v>
      </c>
      <c r="K35" s="197">
        <f t="shared" si="9"/>
        <v>4</v>
      </c>
    </row>
    <row r="36" spans="5:11" ht="14.4" customHeight="1"/>
    <row r="37" spans="5:11" ht="14.4" customHeight="1">
      <c r="E37" s="32"/>
    </row>
    <row r="38" spans="5:11" ht="14.4" customHeight="1">
      <c r="E38" s="1193" t="s">
        <v>733</v>
      </c>
      <c r="F38" s="1197" t="s">
        <v>176</v>
      </c>
      <c r="G38" s="1197" t="s">
        <v>157</v>
      </c>
      <c r="H38" s="1197" t="s">
        <v>158</v>
      </c>
      <c r="I38" s="1197" t="s">
        <v>159</v>
      </c>
      <c r="J38" s="1197" t="s">
        <v>160</v>
      </c>
      <c r="K38" s="1194" t="s">
        <v>161</v>
      </c>
    </row>
    <row r="39" spans="5:11" ht="14.4" customHeight="1">
      <c r="E39" s="44" t="s">
        <v>734</v>
      </c>
      <c r="F39" s="24">
        <f>F33</f>
        <v>5</v>
      </c>
      <c r="G39" s="24">
        <f t="shared" ref="G39:K41" si="10">G33-F33</f>
        <v>0</v>
      </c>
      <c r="H39" s="24">
        <f t="shared" si="10"/>
        <v>1</v>
      </c>
      <c r="I39" s="24">
        <f t="shared" si="10"/>
        <v>1</v>
      </c>
      <c r="J39" s="24">
        <f>J33-I33</f>
        <v>2</v>
      </c>
      <c r="K39" s="659">
        <f t="shared" si="10"/>
        <v>1</v>
      </c>
    </row>
    <row r="40" spans="5:11" ht="14.4" customHeight="1">
      <c r="E40" s="44" t="s">
        <v>724</v>
      </c>
      <c r="F40">
        <f>F34</f>
        <v>4</v>
      </c>
      <c r="G40">
        <f t="shared" si="10"/>
        <v>0</v>
      </c>
      <c r="H40">
        <f t="shared" si="10"/>
        <v>0</v>
      </c>
      <c r="I40">
        <f t="shared" si="10"/>
        <v>1</v>
      </c>
      <c r="J40">
        <f t="shared" si="10"/>
        <v>1</v>
      </c>
      <c r="K40" s="50">
        <f t="shared" si="10"/>
        <v>1</v>
      </c>
    </row>
    <row r="41" spans="5:11" ht="14.4" customHeight="1">
      <c r="E41" s="51" t="s">
        <v>725</v>
      </c>
      <c r="F41" s="35">
        <f>F35</f>
        <v>2</v>
      </c>
      <c r="G41" s="35">
        <f t="shared" si="10"/>
        <v>0</v>
      </c>
      <c r="H41" s="35">
        <f t="shared" si="10"/>
        <v>0</v>
      </c>
      <c r="I41" s="35">
        <f t="shared" si="10"/>
        <v>1</v>
      </c>
      <c r="J41" s="35">
        <f t="shared" si="10"/>
        <v>0</v>
      </c>
      <c r="K41" s="61">
        <f t="shared" si="10"/>
        <v>1</v>
      </c>
    </row>
    <row r="42" spans="5:11" ht="14.4"/>
    <row r="43" spans="5:11" ht="14.4"/>
    <row r="44" spans="5:11" ht="14.4"/>
    <row r="45" spans="5:11" ht="14.4"/>
    <row r="46" spans="5:11" ht="14.4"/>
    <row r="47" spans="5:11" ht="14.4"/>
    <row r="48" spans="5:11" ht="14.4"/>
  </sheetData>
  <mergeCells count="4">
    <mergeCell ref="B5:C5"/>
    <mergeCell ref="B6:C6"/>
    <mergeCell ref="B17:C17"/>
    <mergeCell ref="B22:C22"/>
  </mergeCells>
  <hyperlinks>
    <hyperlink ref="S5" r:id="rId1" xr:uid="{64977467-D35B-4CD7-B4AD-958958046D17}"/>
    <hyperlink ref="S6" r:id="rId2" location="rc30p6" xr:uid="{1DD8D0A0-11BD-4013-9020-E7C74B57F73C}"/>
    <hyperlink ref="S7" r:id="rId3" location="s20055711" xr:uid="{A91B7485-3541-42CF-AC45-7A8F62E18852}"/>
    <hyperlink ref="S8" r:id="rId4" display="https://www.shopify.com/pricing?term=shopify%20pricing&amp;adid=565799981884&amp;campaignid=15436644439&amp;branded_enterprise=1&amp;BOID=brand&amp;utm_medium=cpc&amp;utm_source=google&amp;gad_source=1&amp;gclid=Cj0KCQjwqpSwBhClARIsADlZ_TllAqP1Vrq2nIVN9PP7cQezFMPACb5noQM7hiGI_q3jStIqzKvLM4MaAoWdEALw_wcB&amp;cmadid=516586854;cmadvertiserid=10730501;cmcampaignid=26990768;cmplacementid=324494812;cmcreativeid=163722649;cmsiteid=5500011" xr:uid="{AB6BE59C-0EB6-467D-83F0-CE333C91F857}"/>
    <hyperlink ref="A3" location="'Index'!A1" display="Back to Index" xr:uid="{D7E1AB26-BF84-462E-B2D3-6C424789930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F8D0-553F-4726-90EE-BDAF9AF7E3F2}">
  <sheetPr>
    <tabColor rgb="FF00B0F0"/>
  </sheetPr>
  <dimension ref="A1:X54"/>
  <sheetViews>
    <sheetView workbookViewId="0">
      <selection activeCell="A2" sqref="A2"/>
    </sheetView>
  </sheetViews>
  <sheetFormatPr defaultColWidth="8.88671875" defaultRowHeight="15" customHeight="1"/>
  <cols>
    <col min="2" max="2" width="25.6640625" customWidth="1"/>
    <col min="3" max="3" width="12.6640625" customWidth="1"/>
    <col min="5" max="21" width="16.6640625" customWidth="1"/>
    <col min="22" max="22" width="20.5546875" customWidth="1"/>
  </cols>
  <sheetData>
    <row r="1" spans="1:24" ht="28.8">
      <c r="A1" s="1" t="s">
        <v>23</v>
      </c>
      <c r="C1" s="1"/>
      <c r="D1" s="1"/>
    </row>
    <row r="2" spans="1:24" ht="28.8">
      <c r="A2" s="1145" t="s">
        <v>735</v>
      </c>
      <c r="C2" s="1"/>
      <c r="D2" s="1"/>
    </row>
    <row r="3" spans="1:24" ht="15" customHeight="1">
      <c r="A3" s="284" t="s">
        <v>32</v>
      </c>
      <c r="C3" s="284"/>
      <c r="D3" s="284"/>
    </row>
    <row r="4" spans="1:24" ht="14.25" customHeight="1">
      <c r="B4" s="284"/>
      <c r="C4" s="284"/>
      <c r="D4" s="284"/>
    </row>
    <row r="5" spans="1:24" ht="18.75" customHeight="1">
      <c r="B5" s="1261" t="s">
        <v>299</v>
      </c>
      <c r="C5" s="1262"/>
      <c r="D5" s="1"/>
      <c r="E5" s="492" t="s">
        <v>736</v>
      </c>
      <c r="L5" s="492" t="s">
        <v>737</v>
      </c>
    </row>
    <row r="6" spans="1:24" ht="14.4">
      <c r="B6" s="44" t="s">
        <v>411</v>
      </c>
      <c r="C6" s="944">
        <v>0.3</v>
      </c>
      <c r="E6" s="1182" t="s">
        <v>738</v>
      </c>
      <c r="F6" s="1184" t="s">
        <v>75</v>
      </c>
      <c r="G6" s="1185" t="s">
        <v>76</v>
      </c>
      <c r="H6" s="1182" t="s">
        <v>77</v>
      </c>
      <c r="I6" s="1184" t="s">
        <v>78</v>
      </c>
      <c r="J6" s="1182" t="s">
        <v>79</v>
      </c>
      <c r="L6" s="1239" t="s">
        <v>75</v>
      </c>
      <c r="M6" s="1265"/>
      <c r="N6" s="1239" t="s">
        <v>76</v>
      </c>
      <c r="O6" s="1265"/>
      <c r="P6" s="1239" t="s">
        <v>77</v>
      </c>
      <c r="Q6" s="1265"/>
      <c r="R6" s="1239" t="s">
        <v>78</v>
      </c>
      <c r="S6" s="1265"/>
      <c r="T6" s="1239" t="s">
        <v>79</v>
      </c>
      <c r="U6" s="1265"/>
    </row>
    <row r="7" spans="1:24" ht="14.4">
      <c r="B7" s="51" t="s">
        <v>412</v>
      </c>
      <c r="C7" s="945">
        <v>0.03</v>
      </c>
      <c r="E7" s="88" t="s">
        <v>739</v>
      </c>
      <c r="F7" s="493">
        <f t="shared" ref="F7:F15" si="0">_xlfn.IFNA(VLOOKUP(E7,$L$8:$M$18,2,FALSE),0)*(1+$C$6)</f>
        <v>183300</v>
      </c>
      <c r="G7" s="493">
        <f t="shared" ref="G7:G15" si="1">_xlfn.IFNA(VLOOKUP(E7,$N$8:$O$18,2,FALSE),0)*(1+$C$6)</f>
        <v>188799</v>
      </c>
      <c r="H7" s="493">
        <f t="shared" ref="H7:H15" si="2">_xlfn.IFNA(VLOOKUP(E7,$P$8:$Q$18,2,FALSE),0)*(1+$C$6)</f>
        <v>194462.97</v>
      </c>
      <c r="I7" s="493">
        <f t="shared" ref="I7:I15" si="3">_xlfn.IFNA(VLOOKUP(E7,$R$8:$S$16,2,FALSE),0)*(1+$C$6)</f>
        <v>200296.85910000003</v>
      </c>
      <c r="J7" s="494">
        <f t="shared" ref="J7:J15" si="4">_xlfn.IFNA(VLOOKUP(E7,$T$8:$U$19,2,FALSE),0)*(1+$C$6)</f>
        <v>206305.76487300001</v>
      </c>
      <c r="L7" s="1182" t="s">
        <v>738</v>
      </c>
      <c r="M7" s="1196" t="s">
        <v>740</v>
      </c>
      <c r="N7" s="1196" t="s">
        <v>738</v>
      </c>
      <c r="O7" s="1184" t="s">
        <v>740</v>
      </c>
      <c r="P7" s="1182" t="s">
        <v>738</v>
      </c>
      <c r="Q7" s="1184" t="s">
        <v>740</v>
      </c>
      <c r="R7" s="1182" t="s">
        <v>738</v>
      </c>
      <c r="S7" s="1184" t="s">
        <v>740</v>
      </c>
      <c r="T7" s="1182" t="s">
        <v>738</v>
      </c>
      <c r="U7" s="1196" t="s">
        <v>740</v>
      </c>
      <c r="X7" s="8"/>
    </row>
    <row r="8" spans="1:24" ht="15.6" customHeight="1">
      <c r="C8" s="1065"/>
      <c r="E8" s="127" t="s">
        <v>741</v>
      </c>
      <c r="F8" s="1064">
        <f t="shared" si="0"/>
        <v>105300</v>
      </c>
      <c r="G8" s="1064">
        <f t="shared" si="1"/>
        <v>108459</v>
      </c>
      <c r="H8" s="1064">
        <f t="shared" si="2"/>
        <v>111712.76999999999</v>
      </c>
      <c r="I8" s="1064">
        <f t="shared" si="3"/>
        <v>115064.15310000001</v>
      </c>
      <c r="J8" s="489">
        <f t="shared" si="4"/>
        <v>118516.077693</v>
      </c>
      <c r="L8" s="49" t="s">
        <v>739</v>
      </c>
      <c r="M8" s="1085">
        <f>VLOOKUP(L8,$B$10:$C$20,2,FALSE)</f>
        <v>141000</v>
      </c>
      <c r="N8" s="49" t="s">
        <v>739</v>
      </c>
      <c r="O8" s="1086">
        <f t="shared" ref="O8:O13" si="5">VLOOKUP(N8,$B$10:$C$20,2,FALSE)*(1+$C$7)</f>
        <v>145230</v>
      </c>
      <c r="P8" s="41" t="s">
        <v>739</v>
      </c>
      <c r="Q8" s="1085">
        <f t="shared" ref="Q8:Q14" si="6">VLOOKUP(P8,$B$10:$C$20,2,FALSE)*(1+$C$7)^2</f>
        <v>149586.9</v>
      </c>
      <c r="R8" s="49" t="s">
        <v>739</v>
      </c>
      <c r="S8" s="1086">
        <f t="shared" ref="S8:S16" si="7">VLOOKUP(R8,$B$10:$C$20,2,FALSE)*(1+$C$7)^3</f>
        <v>154074.50700000001</v>
      </c>
      <c r="T8" s="41" t="s">
        <v>739</v>
      </c>
      <c r="U8" s="1086">
        <f t="shared" ref="U8:U17" si="8">VLOOKUP(T8,$B$10:$C$20,2,FALSE)*(1+$C$7)^4</f>
        <v>158696.74221</v>
      </c>
    </row>
    <row r="9" spans="1:24" ht="14.4">
      <c r="B9" s="1239" t="s">
        <v>742</v>
      </c>
      <c r="C9" s="1265"/>
      <c r="E9" s="127" t="s">
        <v>743</v>
      </c>
      <c r="F9" s="1064">
        <f t="shared" si="0"/>
        <v>114400</v>
      </c>
      <c r="G9" s="1064">
        <f t="shared" si="1"/>
        <v>117832</v>
      </c>
      <c r="H9" s="1064">
        <f t="shared" si="2"/>
        <v>121366.96</v>
      </c>
      <c r="I9" s="1064">
        <f t="shared" si="3"/>
        <v>125007.9688</v>
      </c>
      <c r="J9" s="489">
        <f t="shared" si="4"/>
        <v>128758.20786399998</v>
      </c>
      <c r="L9" s="44" t="s">
        <v>744</v>
      </c>
      <c r="M9" s="1084">
        <f>VLOOKUP(L9,$B$10:$C$20,2,FALSE)</f>
        <v>60000</v>
      </c>
      <c r="N9" s="44" t="s">
        <v>744</v>
      </c>
      <c r="O9" s="1087">
        <f t="shared" si="5"/>
        <v>61800</v>
      </c>
      <c r="P9" t="s">
        <v>745</v>
      </c>
      <c r="Q9" s="1084">
        <f t="shared" si="6"/>
        <v>132612.5</v>
      </c>
      <c r="R9" s="44" t="s">
        <v>745</v>
      </c>
      <c r="S9" s="1087">
        <f t="shared" si="7"/>
        <v>136590.875</v>
      </c>
      <c r="T9" t="s">
        <v>745</v>
      </c>
      <c r="U9" s="1087">
        <f t="shared" si="8"/>
        <v>140688.60124999998</v>
      </c>
    </row>
    <row r="10" spans="1:24" ht="14.4">
      <c r="B10" s="49" t="s">
        <v>739</v>
      </c>
      <c r="C10" s="1081">
        <v>141000</v>
      </c>
      <c r="E10" s="127" t="s">
        <v>745</v>
      </c>
      <c r="F10" s="1064">
        <f t="shared" si="0"/>
        <v>0</v>
      </c>
      <c r="G10" s="1064">
        <f t="shared" si="1"/>
        <v>0</v>
      </c>
      <c r="H10" s="1064">
        <f t="shared" si="2"/>
        <v>172396.25</v>
      </c>
      <c r="I10" s="1064">
        <f t="shared" si="3"/>
        <v>177568.13750000001</v>
      </c>
      <c r="J10" s="489">
        <f t="shared" si="4"/>
        <v>182895.18162499997</v>
      </c>
      <c r="L10" s="44" t="s">
        <v>743</v>
      </c>
      <c r="M10" s="1084">
        <f>VLOOKUP(L10,$B$10:$C$20,2,FALSE)</f>
        <v>88000</v>
      </c>
      <c r="N10" s="44" t="s">
        <v>743</v>
      </c>
      <c r="O10" s="1087">
        <f t="shared" si="5"/>
        <v>90640</v>
      </c>
      <c r="P10" t="s">
        <v>743</v>
      </c>
      <c r="Q10" s="1084">
        <f t="shared" si="6"/>
        <v>93359.2</v>
      </c>
      <c r="R10" s="44" t="s">
        <v>743</v>
      </c>
      <c r="S10" s="1087">
        <f t="shared" si="7"/>
        <v>96159.975999999995</v>
      </c>
      <c r="T10" t="s">
        <v>743</v>
      </c>
      <c r="U10" s="1087">
        <f t="shared" si="8"/>
        <v>99044.775279999987</v>
      </c>
    </row>
    <row r="11" spans="1:24" ht="14.4">
      <c r="B11" s="44" t="s">
        <v>741</v>
      </c>
      <c r="C11" s="1082">
        <v>81000</v>
      </c>
      <c r="E11" s="127" t="s">
        <v>746</v>
      </c>
      <c r="F11" s="1064">
        <f t="shared" si="0"/>
        <v>0</v>
      </c>
      <c r="G11" s="1064">
        <f t="shared" si="1"/>
        <v>0</v>
      </c>
      <c r="H11" s="1064">
        <f t="shared" si="2"/>
        <v>0</v>
      </c>
      <c r="I11" s="1064">
        <f t="shared" si="3"/>
        <v>0</v>
      </c>
      <c r="J11" s="489">
        <f t="shared" si="4"/>
        <v>105347.624616</v>
      </c>
      <c r="L11" s="44" t="s">
        <v>741</v>
      </c>
      <c r="M11" s="1084">
        <f>VLOOKUP(L11,$B$10:$C$20,2,FALSE)</f>
        <v>81000</v>
      </c>
      <c r="N11" s="44" t="s">
        <v>741</v>
      </c>
      <c r="O11" s="1087">
        <f t="shared" si="5"/>
        <v>83430</v>
      </c>
      <c r="P11" t="s">
        <v>741</v>
      </c>
      <c r="Q11" s="1084">
        <f t="shared" si="6"/>
        <v>85932.9</v>
      </c>
      <c r="R11" s="44" t="s">
        <v>741</v>
      </c>
      <c r="S11" s="1087">
        <f t="shared" si="7"/>
        <v>88510.887000000002</v>
      </c>
      <c r="T11" t="s">
        <v>741</v>
      </c>
      <c r="U11" s="1087">
        <f t="shared" si="8"/>
        <v>91166.213609999992</v>
      </c>
    </row>
    <row r="12" spans="1:24" ht="14.4">
      <c r="B12" s="44" t="s">
        <v>743</v>
      </c>
      <c r="C12" s="1082">
        <v>88000</v>
      </c>
      <c r="E12" s="127" t="s">
        <v>744</v>
      </c>
      <c r="F12" s="1064">
        <f t="shared" si="0"/>
        <v>78000</v>
      </c>
      <c r="G12" s="1064">
        <f t="shared" si="1"/>
        <v>80340</v>
      </c>
      <c r="H12" s="1064">
        <f t="shared" si="2"/>
        <v>0</v>
      </c>
      <c r="I12" s="1064">
        <f t="shared" si="3"/>
        <v>85232.705999999991</v>
      </c>
      <c r="J12" s="489">
        <f t="shared" si="4"/>
        <v>87789.687179999994</v>
      </c>
      <c r="L12" s="44" t="s">
        <v>747</v>
      </c>
      <c r="M12" s="1084">
        <f>VLOOKUP(L12,$B$10:$C$20,2,FALSE)</f>
        <v>20000</v>
      </c>
      <c r="N12" s="44" t="s">
        <v>748</v>
      </c>
      <c r="O12" s="1087">
        <f t="shared" si="5"/>
        <v>77250</v>
      </c>
      <c r="P12" t="s">
        <v>748</v>
      </c>
      <c r="Q12" s="1084">
        <f t="shared" si="6"/>
        <v>79567.5</v>
      </c>
      <c r="R12" s="44" t="s">
        <v>744</v>
      </c>
      <c r="S12" s="1087">
        <f t="shared" si="7"/>
        <v>65563.62</v>
      </c>
      <c r="T12" t="s">
        <v>744</v>
      </c>
      <c r="U12" s="1087">
        <f t="shared" si="8"/>
        <v>67530.528599999991</v>
      </c>
    </row>
    <row r="13" spans="1:24" ht="14.4">
      <c r="B13" s="44" t="s">
        <v>745</v>
      </c>
      <c r="C13" s="926">
        <v>125000</v>
      </c>
      <c r="E13" s="127" t="s">
        <v>748</v>
      </c>
      <c r="F13" s="1064">
        <f t="shared" si="0"/>
        <v>0</v>
      </c>
      <c r="G13" s="1064">
        <f t="shared" si="1"/>
        <v>100425</v>
      </c>
      <c r="H13" s="1064">
        <f t="shared" si="2"/>
        <v>103437.75</v>
      </c>
      <c r="I13" s="1064">
        <f t="shared" si="3"/>
        <v>106540.88249999999</v>
      </c>
      <c r="J13" s="489">
        <f t="shared" si="4"/>
        <v>109737.108975</v>
      </c>
      <c r="L13" s="44"/>
      <c r="M13" s="1064"/>
      <c r="N13" s="44" t="s">
        <v>747</v>
      </c>
      <c r="O13" s="1087">
        <f t="shared" si="5"/>
        <v>20600</v>
      </c>
      <c r="P13" t="s">
        <v>749</v>
      </c>
      <c r="Q13" s="1084">
        <f t="shared" si="6"/>
        <v>67897.599999999991</v>
      </c>
      <c r="R13" s="44" t="s">
        <v>748</v>
      </c>
      <c r="S13" s="1087">
        <f t="shared" si="7"/>
        <v>81954.524999999994</v>
      </c>
      <c r="T13" t="s">
        <v>748</v>
      </c>
      <c r="U13" s="1087">
        <f t="shared" si="8"/>
        <v>84413.160749999995</v>
      </c>
    </row>
    <row r="14" spans="1:24" ht="14.4">
      <c r="B14" s="44" t="s">
        <v>746</v>
      </c>
      <c r="C14" s="926">
        <v>72000</v>
      </c>
      <c r="E14" s="127" t="s">
        <v>749</v>
      </c>
      <c r="F14" s="1064">
        <f t="shared" si="0"/>
        <v>0</v>
      </c>
      <c r="G14" s="1064">
        <f t="shared" si="1"/>
        <v>0</v>
      </c>
      <c r="H14" s="1064">
        <f t="shared" si="2"/>
        <v>88266.87999999999</v>
      </c>
      <c r="I14" s="1064">
        <f t="shared" si="3"/>
        <v>90914.886400000018</v>
      </c>
      <c r="J14" s="489">
        <f t="shared" si="4"/>
        <v>93642.332991999981</v>
      </c>
      <c r="L14" s="44"/>
      <c r="M14" s="1064"/>
      <c r="N14" s="44"/>
      <c r="O14" s="50"/>
      <c r="P14" t="s">
        <v>747</v>
      </c>
      <c r="Q14" s="1084">
        <f t="shared" si="6"/>
        <v>21218</v>
      </c>
      <c r="R14" s="44" t="s">
        <v>749</v>
      </c>
      <c r="S14" s="1087">
        <f t="shared" si="7"/>
        <v>69934.528000000006</v>
      </c>
      <c r="T14" t="s">
        <v>749</v>
      </c>
      <c r="U14" s="1087">
        <f t="shared" si="8"/>
        <v>72032.563839999988</v>
      </c>
    </row>
    <row r="15" spans="1:24" ht="14.4">
      <c r="B15" s="44" t="s">
        <v>744</v>
      </c>
      <c r="C15" s="1082">
        <v>60000</v>
      </c>
      <c r="E15" s="127" t="s">
        <v>750</v>
      </c>
      <c r="F15" s="1064">
        <f t="shared" si="0"/>
        <v>0</v>
      </c>
      <c r="G15" s="1064">
        <f t="shared" si="1"/>
        <v>0</v>
      </c>
      <c r="H15" s="1064">
        <f t="shared" si="2"/>
        <v>0</v>
      </c>
      <c r="I15" s="1064">
        <f t="shared" si="3"/>
        <v>71027.255000000005</v>
      </c>
      <c r="J15" s="489">
        <f t="shared" si="4"/>
        <v>73158.072650000002</v>
      </c>
      <c r="L15" s="42"/>
      <c r="M15" s="1064"/>
      <c r="N15" s="44"/>
      <c r="O15" s="50"/>
      <c r="Q15" s="1084"/>
      <c r="R15" s="44" t="s">
        <v>750</v>
      </c>
      <c r="S15" s="1087">
        <f t="shared" si="7"/>
        <v>54636.35</v>
      </c>
      <c r="T15" s="127" t="s">
        <v>746</v>
      </c>
      <c r="U15" s="1087">
        <f t="shared" si="8"/>
        <v>81036.634319999997</v>
      </c>
    </row>
    <row r="16" spans="1:24" ht="15.75" customHeight="1">
      <c r="B16" s="44" t="s">
        <v>748</v>
      </c>
      <c r="C16" s="1082">
        <v>75000</v>
      </c>
      <c r="E16" s="128" t="s">
        <v>747</v>
      </c>
      <c r="F16" s="1064">
        <v>20000</v>
      </c>
      <c r="G16" s="1064">
        <v>20000</v>
      </c>
      <c r="H16" s="1064">
        <v>20000</v>
      </c>
      <c r="I16" s="1064">
        <v>20000</v>
      </c>
      <c r="J16" s="489">
        <v>20000</v>
      </c>
      <c r="L16" s="1074"/>
      <c r="M16" s="1064"/>
      <c r="N16" s="44"/>
      <c r="O16" s="50"/>
      <c r="R16" s="44" t="s">
        <v>747</v>
      </c>
      <c r="S16" s="1087">
        <f t="shared" si="7"/>
        <v>21854.54</v>
      </c>
      <c r="T16" t="s">
        <v>750</v>
      </c>
      <c r="U16" s="1087">
        <f t="shared" si="8"/>
        <v>56275.440499999997</v>
      </c>
    </row>
    <row r="17" spans="2:21" ht="14.4">
      <c r="B17" s="44" t="s">
        <v>749</v>
      </c>
      <c r="C17" s="1082">
        <v>64000</v>
      </c>
      <c r="E17" s="497" t="s">
        <v>183</v>
      </c>
      <c r="F17" s="1079">
        <f>SUM(F7:F16)</f>
        <v>501000</v>
      </c>
      <c r="G17" s="1079">
        <f>SUM(G7:G16)</f>
        <v>615855</v>
      </c>
      <c r="H17" s="1079">
        <f>SUM(H7:H16)</f>
        <v>811643.58</v>
      </c>
      <c r="I17" s="1079">
        <f>SUM(I7:I16)</f>
        <v>991652.84840000013</v>
      </c>
      <c r="J17" s="1109">
        <f>SUM(J7:J16)</f>
        <v>1126150.058468</v>
      </c>
      <c r="L17" s="1075"/>
      <c r="M17" s="1064"/>
      <c r="N17" s="1075"/>
      <c r="O17" s="1103"/>
      <c r="R17" s="44"/>
      <c r="S17" s="50"/>
      <c r="T17" t="s">
        <v>747</v>
      </c>
      <c r="U17" s="1087">
        <f t="shared" si="8"/>
        <v>22510.176199999998</v>
      </c>
    </row>
    <row r="18" spans="2:21" ht="15" customHeight="1">
      <c r="B18" s="44" t="s">
        <v>750</v>
      </c>
      <c r="C18" s="1082">
        <v>50000</v>
      </c>
      <c r="E18" s="44" t="s">
        <v>376</v>
      </c>
      <c r="F18" s="40">
        <f>'BASES Model'!C16</f>
        <v>104132</v>
      </c>
      <c r="G18" s="40">
        <f>'BASES Model'!D16</f>
        <v>190238</v>
      </c>
      <c r="H18" s="40">
        <f>'BASES Model'!E16</f>
        <v>252116</v>
      </c>
      <c r="I18" s="40">
        <f>'BASES Model'!F16</f>
        <v>332284</v>
      </c>
      <c r="J18" s="84">
        <f>'BASES Model'!G16</f>
        <v>451578</v>
      </c>
      <c r="L18" s="44"/>
      <c r="M18" s="1064"/>
      <c r="N18" s="1077"/>
      <c r="O18" s="489"/>
      <c r="P18" s="1064"/>
      <c r="Q18" s="1064"/>
      <c r="R18" s="44"/>
      <c r="S18" s="50"/>
      <c r="U18" s="50"/>
    </row>
    <row r="19" spans="2:21" ht="15.75" customHeight="1">
      <c r="B19" s="44" t="s">
        <v>747</v>
      </c>
      <c r="C19" s="1082">
        <v>20000</v>
      </c>
      <c r="E19" s="498" t="s">
        <v>751</v>
      </c>
      <c r="F19" s="499">
        <f>F17/F18</f>
        <v>4.8112011677486271</v>
      </c>
      <c r="G19" s="499">
        <f>G17/G18</f>
        <v>3.2372869773651951</v>
      </c>
      <c r="H19" s="499">
        <f>H17/H18</f>
        <v>3.2193259451998286</v>
      </c>
      <c r="I19" s="499">
        <f>I17/I18</f>
        <v>2.9843532893548894</v>
      </c>
      <c r="J19" s="500">
        <f>J17/J18</f>
        <v>2.4938107225507</v>
      </c>
      <c r="L19" s="44"/>
      <c r="M19" s="1064"/>
      <c r="N19" s="1077"/>
      <c r="O19" s="489"/>
      <c r="P19" s="1064"/>
      <c r="Q19" s="1064"/>
      <c r="R19" s="44"/>
      <c r="S19" s="50"/>
      <c r="U19" s="1087"/>
    </row>
    <row r="20" spans="2:21" ht="15.75" customHeight="1">
      <c r="B20" s="51" t="s">
        <v>317</v>
      </c>
      <c r="C20" s="1083">
        <v>58000</v>
      </c>
      <c r="L20" s="44"/>
      <c r="M20" s="1064"/>
      <c r="N20" s="1077"/>
      <c r="O20" s="489"/>
      <c r="P20" s="1064"/>
      <c r="Q20" s="1064"/>
      <c r="R20" s="44"/>
      <c r="S20" s="50"/>
      <c r="U20" s="50"/>
    </row>
    <row r="21" spans="2:21" ht="14.4">
      <c r="L21" s="44"/>
      <c r="M21" s="1064"/>
      <c r="N21" s="1077"/>
      <c r="O21" s="489"/>
      <c r="P21" s="1064"/>
      <c r="Q21" s="1064"/>
      <c r="R21" s="44"/>
      <c r="S21" s="50"/>
      <c r="U21" s="50"/>
    </row>
    <row r="22" spans="2:21" ht="14.4">
      <c r="L22" s="51"/>
      <c r="M22" s="1076"/>
      <c r="N22" s="1078"/>
      <c r="O22" s="1088"/>
      <c r="P22" s="1076"/>
      <c r="Q22" s="1076"/>
      <c r="R22" s="51"/>
      <c r="S22" s="61"/>
      <c r="T22" s="35"/>
      <c r="U22" s="61"/>
    </row>
    <row r="23" spans="2:21" ht="14.4">
      <c r="F23" s="40"/>
      <c r="G23" s="40"/>
      <c r="H23" s="40"/>
      <c r="I23" s="40"/>
      <c r="J23" s="40"/>
      <c r="S23" s="300"/>
    </row>
    <row r="24" spans="2:21" ht="14.4">
      <c r="O24" s="300"/>
      <c r="P24" s="300"/>
      <c r="Q24" s="300"/>
      <c r="R24" s="300"/>
      <c r="S24" s="300"/>
    </row>
    <row r="25" spans="2:21" ht="14.4"/>
    <row r="26" spans="2:21" ht="14.4"/>
    <row r="27" spans="2:21" ht="14.4">
      <c r="O27" s="300"/>
      <c r="P27" s="34"/>
      <c r="Q27" s="300"/>
      <c r="R27" s="34"/>
      <c r="S27" s="34"/>
      <c r="T27" s="34"/>
      <c r="U27" s="34"/>
    </row>
    <row r="28" spans="2:21" ht="14.4">
      <c r="O28" s="300"/>
      <c r="P28" s="300"/>
      <c r="Q28" s="300"/>
      <c r="R28" s="300"/>
      <c r="S28" s="300"/>
      <c r="T28" s="300"/>
      <c r="U28" s="300"/>
    </row>
    <row r="29" spans="2:21" ht="14.4">
      <c r="O29" s="300"/>
      <c r="P29" s="300"/>
      <c r="Q29" s="300"/>
      <c r="R29" s="300"/>
      <c r="S29" s="300"/>
      <c r="T29" s="300"/>
      <c r="U29" s="300"/>
    </row>
    <row r="30" spans="2:21" ht="15" customHeight="1">
      <c r="N30" s="1064"/>
    </row>
    <row r="31" spans="2:21" ht="15.75" customHeight="1">
      <c r="O31" s="1080"/>
      <c r="P31" s="80"/>
      <c r="Q31" s="80"/>
      <c r="R31" s="80"/>
      <c r="S31" s="80"/>
    </row>
    <row r="32" spans="2:21" ht="15.75" customHeight="1">
      <c r="O32" s="1080"/>
      <c r="P32" s="80"/>
      <c r="Q32" s="80"/>
      <c r="R32" s="80"/>
      <c r="S32" s="80"/>
    </row>
    <row r="33" spans="5:19" ht="14.4">
      <c r="O33" s="1080"/>
      <c r="P33" s="80"/>
      <c r="Q33" s="80"/>
      <c r="R33" s="80"/>
      <c r="S33" s="80"/>
    </row>
    <row r="34" spans="5:19" ht="14.4">
      <c r="O34" s="975"/>
      <c r="P34" s="80"/>
      <c r="Q34" s="80"/>
      <c r="R34" s="80"/>
      <c r="S34" s="80"/>
    </row>
    <row r="35" spans="5:19" ht="14.4">
      <c r="O35" s="975"/>
      <c r="P35" s="80"/>
      <c r="Q35" s="80"/>
      <c r="R35" s="80"/>
      <c r="S35" s="80"/>
    </row>
    <row r="36" spans="5:19" ht="14.4">
      <c r="O36" s="1080"/>
      <c r="P36" s="80"/>
      <c r="Q36" s="80"/>
      <c r="R36" s="80"/>
      <c r="S36" s="80"/>
    </row>
    <row r="37" spans="5:19" ht="14.4">
      <c r="O37" s="1080"/>
      <c r="P37" s="80"/>
      <c r="Q37" s="80"/>
      <c r="R37" s="80"/>
      <c r="S37" s="80"/>
    </row>
    <row r="38" spans="5:19" ht="14.4">
      <c r="O38" s="1080"/>
      <c r="P38" s="80"/>
      <c r="Q38" s="80"/>
      <c r="R38" s="80"/>
      <c r="S38" s="80"/>
    </row>
    <row r="39" spans="5:19" ht="14.4">
      <c r="F39" s="1064"/>
      <c r="G39" s="1064"/>
      <c r="H39" s="1064"/>
      <c r="I39" s="1064"/>
      <c r="J39" s="1064"/>
      <c r="O39" s="1080"/>
      <c r="P39" s="80"/>
      <c r="Q39" s="80"/>
      <c r="R39" s="80"/>
      <c r="S39" s="80"/>
    </row>
    <row r="40" spans="5:19" ht="14.4">
      <c r="E40" s="32"/>
      <c r="F40" s="1063"/>
      <c r="G40" s="1063"/>
      <c r="H40" s="1063"/>
      <c r="I40" s="1063"/>
      <c r="J40" s="1063"/>
      <c r="O40" s="1080"/>
      <c r="P40" s="80"/>
      <c r="Q40" s="80"/>
      <c r="R40" s="80"/>
      <c r="S40" s="80"/>
    </row>
    <row r="41" spans="5:19" ht="14.4">
      <c r="O41" s="1080"/>
      <c r="P41" s="80"/>
      <c r="Q41" s="80"/>
      <c r="R41" s="80"/>
      <c r="S41" s="80"/>
    </row>
    <row r="42" spans="5:19" ht="14.4">
      <c r="E42" s="284"/>
      <c r="O42" s="975"/>
      <c r="P42" s="80"/>
      <c r="Q42" s="80"/>
      <c r="R42" s="80"/>
      <c r="S42" s="80"/>
    </row>
    <row r="43" spans="5:19" ht="14.4">
      <c r="E43" s="284"/>
      <c r="O43" s="300"/>
      <c r="P43" s="300"/>
      <c r="Q43" s="300"/>
      <c r="R43" s="300"/>
      <c r="S43" s="300"/>
    </row>
    <row r="44" spans="5:19" ht="14.4">
      <c r="E44" s="284"/>
      <c r="O44" s="300"/>
      <c r="P44" s="300"/>
      <c r="Q44" s="300"/>
      <c r="R44" s="300"/>
      <c r="S44" s="300"/>
    </row>
    <row r="45" spans="5:19" ht="14.4">
      <c r="E45" s="284"/>
      <c r="O45" s="300"/>
      <c r="P45" s="300"/>
      <c r="Q45" s="300"/>
      <c r="R45" s="300"/>
      <c r="S45" s="300"/>
    </row>
    <row r="46" spans="5:19" ht="14.4">
      <c r="E46" s="284"/>
      <c r="O46" s="34"/>
      <c r="P46" s="34"/>
      <c r="Q46" s="34"/>
      <c r="R46" s="34"/>
      <c r="S46" s="34"/>
    </row>
    <row r="47" spans="5:19" ht="15" customHeight="1">
      <c r="E47" s="284"/>
    </row>
    <row r="48" spans="5:19" ht="15" customHeight="1">
      <c r="E48" s="284"/>
    </row>
    <row r="49" spans="5:5" ht="15" customHeight="1">
      <c r="E49" s="284"/>
    </row>
    <row r="50" spans="5:5" ht="15" customHeight="1">
      <c r="E50" s="284"/>
    </row>
    <row r="51" spans="5:5" ht="15" customHeight="1">
      <c r="E51" s="284"/>
    </row>
    <row r="52" spans="5:5" ht="15" customHeight="1">
      <c r="E52" s="284"/>
    </row>
    <row r="53" spans="5:5" ht="15" customHeight="1">
      <c r="E53" s="284"/>
    </row>
    <row r="54" spans="5:5" ht="15" customHeight="1">
      <c r="E54" s="284"/>
    </row>
  </sheetData>
  <mergeCells count="7">
    <mergeCell ref="R6:S6"/>
    <mergeCell ref="T6:U6"/>
    <mergeCell ref="B5:C5"/>
    <mergeCell ref="B9:C9"/>
    <mergeCell ref="L6:M6"/>
    <mergeCell ref="N6:O6"/>
    <mergeCell ref="P6:Q6"/>
  </mergeCells>
  <hyperlinks>
    <hyperlink ref="A3" location="'Index'!A1" display="Back to Index" xr:uid="{AD5E13F9-DA75-41FF-85BF-0DA99D817D5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ECD3-59BC-4A54-B455-14A6D58F3055}">
  <sheetPr>
    <tabColor rgb="FF00B0F0"/>
  </sheetPr>
  <dimension ref="A1:O46"/>
  <sheetViews>
    <sheetView workbookViewId="0">
      <selection activeCell="I8" sqref="I8"/>
    </sheetView>
  </sheetViews>
  <sheetFormatPr defaultRowHeight="15" customHeight="1"/>
  <cols>
    <col min="2" max="2" width="29.33203125" customWidth="1"/>
    <col min="3" max="3" width="12.6640625" customWidth="1"/>
    <col min="5" max="5" width="36.44140625" customWidth="1"/>
    <col min="6" max="6" width="13" style="94" bestFit="1" customWidth="1"/>
    <col min="7" max="7" width="13.88671875" customWidth="1"/>
    <col min="8" max="8" width="23.5546875" customWidth="1"/>
    <col min="9" max="9" width="17.88671875" customWidth="1"/>
    <col min="10" max="10" width="17" customWidth="1"/>
    <col min="11" max="11" width="16.6640625" customWidth="1"/>
    <col min="12" max="12" width="17.33203125" customWidth="1"/>
    <col min="13" max="13" width="16.44140625" customWidth="1"/>
    <col min="14" max="14" width="16.109375" customWidth="1"/>
    <col min="15" max="15" width="22.88671875" customWidth="1"/>
    <col min="16" max="20" width="12.6640625" customWidth="1"/>
    <col min="21" max="21" width="17" customWidth="1"/>
    <col min="22" max="22" width="17.44140625" customWidth="1"/>
  </cols>
  <sheetData>
    <row r="1" spans="1:15" ht="28.8">
      <c r="A1" s="1" t="s">
        <v>25</v>
      </c>
      <c r="C1" s="1"/>
      <c r="D1" s="1"/>
    </row>
    <row r="2" spans="1:15" ht="28.8">
      <c r="A2" s="1146" t="s">
        <v>752</v>
      </c>
      <c r="C2" s="1"/>
      <c r="D2" s="1"/>
    </row>
    <row r="3" spans="1:15" ht="14.4">
      <c r="A3" s="284" t="s">
        <v>32</v>
      </c>
      <c r="C3" s="284"/>
      <c r="D3" s="284"/>
      <c r="H3" s="32"/>
      <c r="I3" s="32"/>
    </row>
    <row r="4" spans="1:15" ht="14.4">
      <c r="B4" s="284"/>
      <c r="C4" s="284"/>
      <c r="D4" s="284"/>
      <c r="H4" s="32"/>
      <c r="I4" s="32"/>
    </row>
    <row r="5" spans="1:15" ht="14.4">
      <c r="B5" s="1239" t="s">
        <v>299</v>
      </c>
      <c r="C5" s="1265"/>
      <c r="E5" s="1261" t="s">
        <v>753</v>
      </c>
      <c r="F5" s="1234"/>
      <c r="H5" s="1239" t="s">
        <v>754</v>
      </c>
      <c r="I5" s="1237"/>
      <c r="J5" s="1237"/>
      <c r="K5" s="1237"/>
      <c r="L5" s="1237"/>
      <c r="M5" s="1265"/>
    </row>
    <row r="6" spans="1:15" ht="14.4">
      <c r="B6" s="305" t="s">
        <v>755</v>
      </c>
      <c r="C6" s="1033">
        <f>'Operations Assumptions'!C31</f>
        <v>4.8</v>
      </c>
      <c r="E6" s="490" t="s">
        <v>756</v>
      </c>
      <c r="F6" s="591">
        <f>C6*C7</f>
        <v>96000</v>
      </c>
      <c r="H6" s="191"/>
      <c r="I6" s="1071" t="s">
        <v>157</v>
      </c>
      <c r="J6" s="535" t="s">
        <v>158</v>
      </c>
      <c r="K6" s="536" t="s">
        <v>159</v>
      </c>
      <c r="L6" s="1071" t="s">
        <v>160</v>
      </c>
      <c r="M6" s="536" t="s">
        <v>161</v>
      </c>
    </row>
    <row r="7" spans="1:15" ht="14.4" customHeight="1">
      <c r="B7" s="305" t="s">
        <v>422</v>
      </c>
      <c r="C7" s="1098">
        <f>'Operations Assumptions'!C32</f>
        <v>20000</v>
      </c>
      <c r="E7" s="490" t="s">
        <v>757</v>
      </c>
      <c r="F7" s="591">
        <f>C7*C8</f>
        <v>400000</v>
      </c>
      <c r="H7" s="88" t="s">
        <v>758</v>
      </c>
      <c r="I7" s="698">
        <f>F6</f>
        <v>96000</v>
      </c>
      <c r="J7" s="538">
        <f>$F$6</f>
        <v>96000</v>
      </c>
      <c r="K7" s="538">
        <f>$F$6</f>
        <v>96000</v>
      </c>
      <c r="L7" s="529">
        <f>$F$6</f>
        <v>96000</v>
      </c>
      <c r="M7" s="589">
        <f>$F$6</f>
        <v>96000</v>
      </c>
    </row>
    <row r="8" spans="1:15" ht="14.4" customHeight="1">
      <c r="B8" s="44" t="s">
        <v>423</v>
      </c>
      <c r="C8" s="1099">
        <f>'Operations Assumptions'!C33</f>
        <v>20</v>
      </c>
      <c r="E8" s="491" t="s">
        <v>759</v>
      </c>
      <c r="F8" s="592">
        <f>C9</f>
        <v>50000</v>
      </c>
      <c r="H8" s="88" t="s">
        <v>760</v>
      </c>
      <c r="I8" s="698">
        <f>F8</f>
        <v>50000</v>
      </c>
      <c r="J8" s="538">
        <f>F8*((F14/F13-1)*0.5+1)</f>
        <v>70672.319748012131</v>
      </c>
      <c r="K8" s="538">
        <f>J8*((F15/F14-1)*0.5+1)</f>
        <v>82165.97979849494</v>
      </c>
      <c r="L8" s="529">
        <f>K8*((F16/F15-1)*0.5+1)</f>
        <v>95229.574073522585</v>
      </c>
      <c r="M8" s="589">
        <f>L8*((F17/F16-1)*0.5+1)</f>
        <v>112323.86210654075</v>
      </c>
    </row>
    <row r="9" spans="1:15" ht="14.4">
      <c r="B9" s="44" t="s">
        <v>424</v>
      </c>
      <c r="C9" s="1099">
        <f>'Operations Assumptions'!C34</f>
        <v>50000</v>
      </c>
      <c r="H9" s="59" t="s">
        <v>761</v>
      </c>
      <c r="I9" s="1151">
        <f>I26</f>
        <v>75036</v>
      </c>
      <c r="J9" s="537">
        <f>J26</f>
        <v>77287.08</v>
      </c>
      <c r="K9" s="589">
        <f>K26</f>
        <v>119408.53860000003</v>
      </c>
      <c r="L9" s="1151">
        <f>L26</f>
        <v>163987.726344</v>
      </c>
      <c r="M9" s="537">
        <f>M26</f>
        <v>211134.19766790001</v>
      </c>
    </row>
    <row r="10" spans="1:15" ht="14.4">
      <c r="B10" s="44" t="s">
        <v>425</v>
      </c>
      <c r="C10" s="1006">
        <f>'Operations Assumptions'!C35</f>
        <v>0.5</v>
      </c>
      <c r="H10" s="44" t="s">
        <v>762</v>
      </c>
      <c r="I10" s="532">
        <f>(F13*0.2)/$J$22*$K$22</f>
        <v>937.18800000000022</v>
      </c>
      <c r="J10" s="532">
        <f>(F14*0.2)/$J$22*$K$22</f>
        <v>1712.1419999999998</v>
      </c>
      <c r="K10" s="529">
        <f>(F15*0.2)/$J$22*$K$22</f>
        <v>2269.0440000000003</v>
      </c>
      <c r="L10" s="502">
        <f>(F16*0.2)/$J$22*$K$22</f>
        <v>2990.556</v>
      </c>
      <c r="M10" s="530">
        <f>(F17*0.2)/$J$22*$K$22</f>
        <v>4064.2020000000007</v>
      </c>
    </row>
    <row r="11" spans="1:15" ht="14.4">
      <c r="B11" s="44" t="s">
        <v>426</v>
      </c>
      <c r="C11" s="1006">
        <f>'Operations Assumptions'!C36</f>
        <v>0.02</v>
      </c>
      <c r="H11" s="59" t="s">
        <v>763</v>
      </c>
      <c r="I11" s="1151">
        <f>$C$11*SUM('Capital Expenditures'!$F$17:F17)</f>
        <v>19246</v>
      </c>
      <c r="J11" s="1151">
        <f>$C$11*SUM('Capital Expenditures'!$F$17:G17)</f>
        <v>26146</v>
      </c>
      <c r="K11" s="1151">
        <f>$C$11*SUM('Capital Expenditures'!$F$17:H17)</f>
        <v>33769</v>
      </c>
      <c r="L11" s="1151">
        <f>$C$11*SUM('Capital Expenditures'!$F$17:I17)</f>
        <v>37392</v>
      </c>
      <c r="M11" s="537">
        <f>$C$11*SUM('Capital Expenditures'!$F$17:J17)</f>
        <v>52415</v>
      </c>
    </row>
    <row r="12" spans="1:15" ht="14.4">
      <c r="B12" s="44" t="s">
        <v>427</v>
      </c>
      <c r="C12" s="1005">
        <f>'Operations Assumptions'!C37</f>
        <v>100000</v>
      </c>
      <c r="E12" s="1189" t="s">
        <v>376</v>
      </c>
      <c r="F12" s="927"/>
      <c r="H12" s="44" t="s">
        <v>764</v>
      </c>
      <c r="I12" s="532">
        <f>SUM(I13:I14)</f>
        <v>18213.890000000003</v>
      </c>
      <c r="J12" s="532">
        <f>SUM(J13:J14)</f>
        <v>28551.667936897975</v>
      </c>
      <c r="K12" s="532">
        <f>SUM(K13:K14)</f>
        <v>37153.327718177956</v>
      </c>
      <c r="L12" s="532">
        <f>SUM(L13:L14)</f>
        <v>45016.147984985437</v>
      </c>
      <c r="M12" s="530">
        <f>SUM(M13:M14)</f>
        <v>61818.66736738156</v>
      </c>
      <c r="O12" s="284"/>
    </row>
    <row r="13" spans="1:15" ht="14.4">
      <c r="B13" s="51" t="s">
        <v>765</v>
      </c>
      <c r="C13" s="1007">
        <v>2.5000000000000001E-3</v>
      </c>
      <c r="E13" s="305" t="s">
        <v>157</v>
      </c>
      <c r="F13" s="84">
        <f>'BASES Model'!C16</f>
        <v>104132</v>
      </c>
      <c r="H13" s="238" t="s">
        <v>766</v>
      </c>
      <c r="I13" s="532">
        <f>'Distribution Reach'!K14*'Distribution Reach'!E7*$C$13</f>
        <v>8590.8900000000031</v>
      </c>
      <c r="J13" s="532">
        <f>'Distribution Reach'!K30*'Distribution Reach'!E23*$C$13</f>
        <v>15478.667936897975</v>
      </c>
      <c r="K13" s="532">
        <f>'Distribution Reach'!K48*'Distribution Reach'!E41*$C$13</f>
        <v>20268.827718177952</v>
      </c>
      <c r="L13" s="532">
        <f>'Distribution Reach'!K70*'Distribution Reach'!E63*$C$13</f>
        <v>26320.147984985437</v>
      </c>
      <c r="M13" s="530">
        <f>'Distribution Reach'!K88*'Distribution Reach'!E81*$C$13</f>
        <v>35611.16736738156</v>
      </c>
    </row>
    <row r="14" spans="1:15" ht="14.4">
      <c r="E14" s="305" t="s">
        <v>158</v>
      </c>
      <c r="F14" s="84">
        <f>'BASES Model'!D16</f>
        <v>190238</v>
      </c>
      <c r="H14" s="238" t="s">
        <v>767</v>
      </c>
      <c r="I14" s="532">
        <f>0.01*('Capital Expenditures'!F17)</f>
        <v>9623</v>
      </c>
      <c r="J14" s="532">
        <f>0.01*('Capital Expenditures'!G17)+I14</f>
        <v>13073</v>
      </c>
      <c r="K14" s="532">
        <f>0.01*('Capital Expenditures'!H17)+'Manufacturing Overhead'!J14</f>
        <v>16884.5</v>
      </c>
      <c r="L14" s="532">
        <f>0.01*('Capital Expenditures'!I17)+'Manufacturing Overhead'!K14</f>
        <v>18696</v>
      </c>
      <c r="M14" s="530">
        <f>0.01*('Capital Expenditures'!J17)+'Manufacturing Overhead'!L14</f>
        <v>26207.5</v>
      </c>
    </row>
    <row r="15" spans="1:15" ht="14.4">
      <c r="E15" s="305" t="s">
        <v>159</v>
      </c>
      <c r="F15" s="84">
        <f>'BASES Model'!E16</f>
        <v>252116</v>
      </c>
      <c r="H15" s="221" t="s">
        <v>183</v>
      </c>
      <c r="I15" s="1111">
        <f>SUM(I7:I10,I11,I12)</f>
        <v>259433.07800000001</v>
      </c>
      <c r="J15" s="1111">
        <f>SUM(J7:J10,J11,J12)</f>
        <v>300369.20968491008</v>
      </c>
      <c r="K15" s="1111">
        <f>SUM(K7:K10,K11,K12)</f>
        <v>370765.89011667296</v>
      </c>
      <c r="L15" s="1111">
        <f>SUM(L7:L10,L11,L12)</f>
        <v>440616.00440250797</v>
      </c>
      <c r="M15" s="728">
        <f>SUM(M7:M10,M11,M12)</f>
        <v>537755.92914182227</v>
      </c>
    </row>
    <row r="16" spans="1:15" ht="14.4">
      <c r="E16" s="305" t="s">
        <v>160</v>
      </c>
      <c r="F16" s="84">
        <f>'BASES Model'!F16</f>
        <v>332284</v>
      </c>
      <c r="H16" s="59" t="s">
        <v>376</v>
      </c>
      <c r="I16" s="1152">
        <f>'BASES Model'!C16</f>
        <v>104132</v>
      </c>
      <c r="J16" s="1152">
        <f>'BASES Model'!D16</f>
        <v>190238</v>
      </c>
      <c r="K16" s="1152">
        <f>'BASES Model'!E16</f>
        <v>252116</v>
      </c>
      <c r="L16" s="1152">
        <f>'BASES Model'!F16</f>
        <v>332284</v>
      </c>
      <c r="M16" s="1149">
        <f>'BASES Model'!G16</f>
        <v>451578</v>
      </c>
    </row>
    <row r="17" spans="5:14" ht="14.4">
      <c r="E17" s="798" t="s">
        <v>161</v>
      </c>
      <c r="F17" s="303">
        <f>'BASES Model'!G16</f>
        <v>451578</v>
      </c>
      <c r="H17" s="1110" t="s">
        <v>768</v>
      </c>
      <c r="I17" s="1153">
        <f>I15/I16</f>
        <v>2.4913866822878656</v>
      </c>
      <c r="J17" s="1153">
        <f>J15/J16</f>
        <v>1.5789127812787671</v>
      </c>
      <c r="K17" s="1153">
        <f>K15/K16</f>
        <v>1.4706162644047698</v>
      </c>
      <c r="L17" s="1150">
        <f>L15/L16</f>
        <v>1.3260223315071082</v>
      </c>
      <c r="M17" s="1112">
        <f>M15/M16</f>
        <v>1.1908373063829998</v>
      </c>
    </row>
    <row r="18" spans="5:14" ht="14.4">
      <c r="F18" s="502"/>
    </row>
    <row r="19" spans="5:14" ht="14.4">
      <c r="F19" s="502"/>
      <c r="G19" s="80"/>
    </row>
    <row r="20" spans="5:14" ht="14.4">
      <c r="H20" s="1189" t="s">
        <v>769</v>
      </c>
      <c r="I20" s="1189" t="s">
        <v>770</v>
      </c>
      <c r="J20" s="257" t="s">
        <v>478</v>
      </c>
      <c r="K20" s="832" t="s">
        <v>771</v>
      </c>
      <c r="L20" s="1194" t="s">
        <v>772</v>
      </c>
    </row>
    <row r="21" spans="5:14" ht="14.4">
      <c r="H21" s="44" t="s">
        <v>773</v>
      </c>
      <c r="I21" s="116" t="s">
        <v>774</v>
      </c>
      <c r="J21" s="461">
        <v>40000</v>
      </c>
      <c r="K21" s="465">
        <v>1.8</v>
      </c>
      <c r="L21" s="241" t="s">
        <v>365</v>
      </c>
    </row>
    <row r="22" spans="5:14" ht="14.4">
      <c r="H22" s="642" t="s">
        <v>775</v>
      </c>
      <c r="I22" s="117"/>
      <c r="J22" s="464">
        <f>J21/1000</f>
        <v>40</v>
      </c>
      <c r="K22" s="466">
        <v>1.8</v>
      </c>
      <c r="L22" s="918">
        <f>K22/J22</f>
        <v>4.4999999999999998E-2</v>
      </c>
    </row>
    <row r="23" spans="5:14" ht="14.4"/>
    <row r="24" spans="5:14" ht="14.4">
      <c r="F24" s="593"/>
      <c r="G24" s="590"/>
      <c r="H24" s="1189" t="s">
        <v>761</v>
      </c>
      <c r="I24" s="1187" t="s">
        <v>157</v>
      </c>
      <c r="J24" s="1187" t="s">
        <v>158</v>
      </c>
      <c r="K24" s="1187" t="s">
        <v>159</v>
      </c>
      <c r="L24" s="1187" t="s">
        <v>160</v>
      </c>
      <c r="M24" s="1188" t="s">
        <v>161</v>
      </c>
    </row>
    <row r="25" spans="5:14" ht="14.4">
      <c r="F25" s="594"/>
      <c r="G25" s="32"/>
      <c r="H25" s="44" t="s">
        <v>776</v>
      </c>
      <c r="I25" s="471">
        <f>ROUNDUP(F13/$C$12,0)</f>
        <v>2</v>
      </c>
      <c r="J25" s="471">
        <f>ROUNDUP(F14/$C$12,0)</f>
        <v>2</v>
      </c>
      <c r="K25" s="471">
        <f>ROUNDUP(F15/$C$12,0)</f>
        <v>3</v>
      </c>
      <c r="L25" s="471">
        <f>ROUNDUP(F16/$C$12,0)</f>
        <v>4</v>
      </c>
      <c r="M25" s="930">
        <f>ROUNDUP(F17/$C$12,0)</f>
        <v>5</v>
      </c>
    </row>
    <row r="26" spans="5:14" ht="14.4">
      <c r="H26" s="642" t="s">
        <v>740</v>
      </c>
      <c r="I26" s="1104">
        <f>I32*I33*I25</f>
        <v>75036</v>
      </c>
      <c r="J26" s="1104">
        <f>J32*J33*J25</f>
        <v>77287.08</v>
      </c>
      <c r="K26" s="1104">
        <f>K32*K33*K25</f>
        <v>119408.53860000003</v>
      </c>
      <c r="L26" s="1104">
        <f>L32*L33*L25</f>
        <v>163987.726344</v>
      </c>
      <c r="M26" s="1104">
        <f>M32*M33*M25</f>
        <v>211134.19766790001</v>
      </c>
    </row>
    <row r="27" spans="5:14" ht="14.4"/>
    <row r="28" spans="5:14" ht="15" customHeight="1">
      <c r="N28" s="32"/>
    </row>
    <row r="29" spans="5:14" ht="14.4">
      <c r="H29" s="1185" t="s">
        <v>777</v>
      </c>
      <c r="I29" s="1184"/>
      <c r="J29" s="1184"/>
      <c r="K29" s="1184"/>
      <c r="L29" s="1184"/>
      <c r="M29" s="1196"/>
    </row>
    <row r="30" spans="5:14" ht="15" customHeight="1">
      <c r="H30" s="219" t="s">
        <v>776</v>
      </c>
      <c r="I30" s="724" t="s">
        <v>157</v>
      </c>
      <c r="J30" s="1073" t="s">
        <v>158</v>
      </c>
      <c r="K30" s="1073" t="s">
        <v>159</v>
      </c>
      <c r="L30" s="1073" t="s">
        <v>160</v>
      </c>
      <c r="M30" s="1073" t="s">
        <v>161</v>
      </c>
    </row>
    <row r="31" spans="5:14" ht="15" customHeight="1">
      <c r="H31" s="44" t="s">
        <v>778</v>
      </c>
      <c r="I31" s="829">
        <f>'Labor Planning'!M7</f>
        <v>14.43</v>
      </c>
      <c r="J31" s="829">
        <f>'Labor Planning'!N7</f>
        <v>14.8629</v>
      </c>
      <c r="K31" s="829">
        <f>'Labor Planning'!O7</f>
        <v>15.308787000000001</v>
      </c>
      <c r="L31" s="829">
        <f>'Labor Planning'!P7</f>
        <v>15.768050610000001</v>
      </c>
      <c r="M31" s="829">
        <f>'Labor Planning'!Q7</f>
        <v>16.2410921283</v>
      </c>
    </row>
    <row r="32" spans="5:14" ht="15" customHeight="1">
      <c r="H32" s="44" t="s">
        <v>779</v>
      </c>
      <c r="I32" s="830">
        <f>'Labor Planning'!M8</f>
        <v>18.759</v>
      </c>
      <c r="J32" s="830">
        <f>'Labor Planning'!N8</f>
        <v>19.321770000000001</v>
      </c>
      <c r="K32" s="830">
        <f>'Labor Planning'!O8</f>
        <v>19.901423100000002</v>
      </c>
      <c r="L32" s="830">
        <f>'Labor Planning'!P8</f>
        <v>20.498465793000001</v>
      </c>
      <c r="M32" s="830">
        <f>'Labor Planning'!Q8</f>
        <v>21.113419766790003</v>
      </c>
    </row>
    <row r="33" spans="6:13" ht="15" customHeight="1">
      <c r="H33" s="39" t="s">
        <v>780</v>
      </c>
      <c r="I33" s="237">
        <f>'Labor Planning'!F16</f>
        <v>2000</v>
      </c>
      <c r="J33" s="237">
        <f>'Labor Planning'!G16</f>
        <v>2000</v>
      </c>
      <c r="K33" s="237">
        <f>'Labor Planning'!H16</f>
        <v>2000</v>
      </c>
      <c r="L33" s="237">
        <f>'Labor Planning'!I16</f>
        <v>2000</v>
      </c>
      <c r="M33" s="671">
        <f>'Labor Planning'!J16</f>
        <v>2000</v>
      </c>
    </row>
    <row r="35" spans="6:13" ht="14.4">
      <c r="F35" s="595"/>
    </row>
    <row r="37" spans="6:13" ht="14.4">
      <c r="F37" s="595"/>
    </row>
    <row r="44" spans="6:13" ht="14.4">
      <c r="F44" s="595"/>
    </row>
    <row r="45" spans="6:13" ht="14.4">
      <c r="F45" s="596"/>
    </row>
    <row r="46" spans="6:13" ht="14.4">
      <c r="F46" s="595"/>
    </row>
  </sheetData>
  <mergeCells count="3">
    <mergeCell ref="H5:M5"/>
    <mergeCell ref="E5:F5"/>
    <mergeCell ref="B5:C5"/>
  </mergeCells>
  <hyperlinks>
    <hyperlink ref="A3" location="'Index'!A1" display="Back to Index" xr:uid="{E316FD07-DD2F-4ADE-A16F-F749E692EA3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BF7B-F59D-459F-BE44-E71B21F51D02}">
  <sheetPr>
    <tabColor rgb="FF00B0F0"/>
  </sheetPr>
  <dimension ref="A1:Q27"/>
  <sheetViews>
    <sheetView workbookViewId="0">
      <selection activeCell="A2" sqref="A2"/>
    </sheetView>
  </sheetViews>
  <sheetFormatPr defaultColWidth="10.6640625" defaultRowHeight="15" customHeight="1"/>
  <cols>
    <col min="2" max="2" width="25.6640625" customWidth="1"/>
    <col min="3" max="3" width="12.6640625" customWidth="1"/>
    <col min="5" max="5" width="25.44140625" bestFit="1" customWidth="1"/>
    <col min="6" max="10" width="12.44140625" bestFit="1" customWidth="1"/>
    <col min="12" max="12" width="25.5546875" customWidth="1"/>
  </cols>
  <sheetData>
    <row r="1" spans="1:17" ht="28.8">
      <c r="A1" s="1" t="s">
        <v>26</v>
      </c>
      <c r="C1" s="1"/>
      <c r="D1" s="1"/>
    </row>
    <row r="2" spans="1:17" ht="28.8">
      <c r="A2" s="1145" t="s">
        <v>781</v>
      </c>
      <c r="C2" s="1"/>
      <c r="D2" s="1"/>
    </row>
    <row r="3" spans="1:17" ht="14.4">
      <c r="A3" s="284" t="s">
        <v>32</v>
      </c>
      <c r="C3" s="284"/>
      <c r="D3" s="284"/>
    </row>
    <row r="4" spans="1:17" ht="14.4">
      <c r="B4" s="284"/>
      <c r="C4" s="284"/>
      <c r="D4" s="284"/>
    </row>
    <row r="5" spans="1:17" ht="14.4" customHeight="1">
      <c r="B5" s="1261" t="s">
        <v>299</v>
      </c>
      <c r="C5" s="1262"/>
      <c r="E5" s="98"/>
      <c r="F5" s="100" t="s">
        <v>157</v>
      </c>
      <c r="G5" s="100" t="s">
        <v>158</v>
      </c>
      <c r="H5" s="100" t="s">
        <v>159</v>
      </c>
      <c r="I5" s="100" t="s">
        <v>160</v>
      </c>
      <c r="J5" s="103" t="s">
        <v>161</v>
      </c>
      <c r="L5" s="1261" t="s">
        <v>777</v>
      </c>
      <c r="M5" s="1272"/>
      <c r="N5" s="1272"/>
      <c r="O5" s="1272"/>
      <c r="P5" s="1272"/>
      <c r="Q5" s="1262"/>
    </row>
    <row r="6" spans="1:17" ht="14.4" customHeight="1">
      <c r="B6" s="44" t="s">
        <v>409</v>
      </c>
      <c r="C6" s="946">
        <f>'Operations Assumptions'!C14</f>
        <v>14.43</v>
      </c>
      <c r="E6" s="44" t="s">
        <v>376</v>
      </c>
      <c r="F6" s="40">
        <f>'BASES Model'!C16</f>
        <v>104132</v>
      </c>
      <c r="G6" s="40">
        <f>'BASES Model'!D16</f>
        <v>190238</v>
      </c>
      <c r="H6" s="40">
        <f>'BASES Model'!E16</f>
        <v>252116</v>
      </c>
      <c r="I6" s="40">
        <f>'BASES Model'!F16</f>
        <v>332284</v>
      </c>
      <c r="J6" s="84">
        <f>'BASES Model'!G16</f>
        <v>451578</v>
      </c>
      <c r="L6" s="497" t="s">
        <v>560</v>
      </c>
      <c r="M6" s="190" t="s">
        <v>157</v>
      </c>
      <c r="N6" s="802" t="s">
        <v>158</v>
      </c>
      <c r="O6" s="802" t="s">
        <v>159</v>
      </c>
      <c r="P6" s="802" t="s">
        <v>160</v>
      </c>
      <c r="Q6" s="802" t="s">
        <v>161</v>
      </c>
    </row>
    <row r="7" spans="1:17" ht="14.4">
      <c r="B7" s="1300" t="s">
        <v>410</v>
      </c>
      <c r="C7" s="1301"/>
      <c r="E7" s="497" t="s">
        <v>782</v>
      </c>
      <c r="F7" s="1050"/>
      <c r="G7" s="1050"/>
      <c r="H7" s="1050"/>
      <c r="I7" s="1050"/>
      <c r="J7" s="1131"/>
      <c r="L7" s="44" t="s">
        <v>778</v>
      </c>
      <c r="M7" s="829">
        <f>C6</f>
        <v>14.43</v>
      </c>
      <c r="N7" s="307">
        <f>M7*(1+$C$9)</f>
        <v>14.8629</v>
      </c>
      <c r="O7" s="307">
        <f t="shared" ref="O7:Q7" si="0">N7*(1+$C$9)</f>
        <v>15.308787000000001</v>
      </c>
      <c r="P7" s="307">
        <f t="shared" si="0"/>
        <v>15.768050610000001</v>
      </c>
      <c r="Q7" s="307">
        <f t="shared" si="0"/>
        <v>16.2410921283</v>
      </c>
    </row>
    <row r="8" spans="1:17" ht="14.4">
      <c r="B8" s="44" t="s">
        <v>411</v>
      </c>
      <c r="C8" s="947">
        <f>'Operations Assumptions'!C16</f>
        <v>0.3</v>
      </c>
      <c r="E8" s="44" t="s">
        <v>783</v>
      </c>
      <c r="F8">
        <f>'Production Capacity Analysis'!F24</f>
        <v>3</v>
      </c>
      <c r="G8">
        <f>'Production Capacity Analysis'!G24</f>
        <v>6</v>
      </c>
      <c r="H8">
        <f>'Production Capacity Analysis'!H24</f>
        <v>8</v>
      </c>
      <c r="I8">
        <f>'Production Capacity Analysis'!I24</f>
        <v>11</v>
      </c>
      <c r="J8" s="50">
        <f>'Production Capacity Analysis'!J24</f>
        <v>14</v>
      </c>
      <c r="L8" s="44" t="s">
        <v>779</v>
      </c>
      <c r="M8" s="830">
        <f>M7*(1+$C$8)</f>
        <v>18.759</v>
      </c>
      <c r="N8" s="830">
        <f t="shared" ref="N8:Q8" si="1">N7*(1+$C$8)</f>
        <v>19.321770000000001</v>
      </c>
      <c r="O8" s="830">
        <f t="shared" si="1"/>
        <v>19.901423100000002</v>
      </c>
      <c r="P8" s="830">
        <f t="shared" si="1"/>
        <v>20.498465793000001</v>
      </c>
      <c r="Q8" s="830">
        <f t="shared" si="1"/>
        <v>21.113419766790003</v>
      </c>
    </row>
    <row r="9" spans="1:17" ht="14.4">
      <c r="B9" s="44" t="s">
        <v>784</v>
      </c>
      <c r="C9" s="947">
        <f>'Operations Assumptions'!C17</f>
        <v>0.03</v>
      </c>
      <c r="E9" s="141" t="s">
        <v>785</v>
      </c>
      <c r="F9">
        <f>'Production Capacity Analysis'!F26</f>
        <v>1</v>
      </c>
      <c r="G9">
        <f>'Production Capacity Analysis'!G26</f>
        <v>1</v>
      </c>
      <c r="H9">
        <f>'Production Capacity Analysis'!H26</f>
        <v>1</v>
      </c>
      <c r="I9">
        <f>'Production Capacity Analysis'!I26</f>
        <v>1</v>
      </c>
      <c r="J9" s="50">
        <f>'Production Capacity Analysis'!J26</f>
        <v>1</v>
      </c>
      <c r="L9" s="801" t="s">
        <v>564</v>
      </c>
      <c r="M9" s="831" t="s">
        <v>157</v>
      </c>
      <c r="N9" s="831" t="s">
        <v>158</v>
      </c>
      <c r="O9" s="905" t="s">
        <v>159</v>
      </c>
      <c r="P9" s="905" t="s">
        <v>160</v>
      </c>
      <c r="Q9" s="905" t="s">
        <v>161</v>
      </c>
    </row>
    <row r="10" spans="1:17" ht="14.4" customHeight="1">
      <c r="B10" s="44" t="s">
        <v>413</v>
      </c>
      <c r="C10" s="947">
        <f>'Operations Assumptions'!C18</f>
        <v>0.5</v>
      </c>
      <c r="E10" s="42" t="s">
        <v>786</v>
      </c>
      <c r="F10">
        <f>F9+F8</f>
        <v>4</v>
      </c>
      <c r="G10">
        <f>G9+G8</f>
        <v>7</v>
      </c>
      <c r="H10">
        <f>H9+H8</f>
        <v>9</v>
      </c>
      <c r="I10">
        <f>I9+I8</f>
        <v>12</v>
      </c>
      <c r="J10" s="50">
        <f>J9+J8</f>
        <v>15</v>
      </c>
      <c r="L10" s="88" t="s">
        <v>778</v>
      </c>
      <c r="M10" s="828">
        <f>M7*(1+$C$11)</f>
        <v>17.315999999999999</v>
      </c>
      <c r="N10" s="828">
        <f t="shared" ref="N10:Q10" si="2">N7*(1+$C$11)</f>
        <v>17.83548</v>
      </c>
      <c r="O10" s="828">
        <f t="shared" si="2"/>
        <v>18.3705444</v>
      </c>
      <c r="P10" s="828">
        <f t="shared" si="2"/>
        <v>18.921660731999999</v>
      </c>
      <c r="Q10" s="828">
        <f t="shared" si="2"/>
        <v>19.489310553959999</v>
      </c>
    </row>
    <row r="11" spans="1:17" ht="14.4">
      <c r="B11" s="51" t="s">
        <v>414</v>
      </c>
      <c r="C11" s="945">
        <f>'Operations Assumptions'!C19</f>
        <v>0.2</v>
      </c>
      <c r="E11" s="44" t="s">
        <v>787</v>
      </c>
      <c r="F11" s="24">
        <f>'Production Capacity Analysis'!F9</f>
        <v>2000</v>
      </c>
      <c r="G11" s="24">
        <f>'Production Capacity Analysis'!G9</f>
        <v>2000</v>
      </c>
      <c r="H11" s="24">
        <f>'Production Capacity Analysis'!H9</f>
        <v>2000</v>
      </c>
      <c r="I11" s="24">
        <f>'Production Capacity Analysis'!I9</f>
        <v>2000</v>
      </c>
      <c r="J11" s="659">
        <f>'Production Capacity Analysis'!J9</f>
        <v>2000</v>
      </c>
      <c r="L11" s="128" t="s">
        <v>779</v>
      </c>
      <c r="M11" s="548">
        <f>M10*(1+$C$8)</f>
        <v>22.5108</v>
      </c>
      <c r="N11" s="548">
        <f t="shared" ref="N11:Q11" si="3">N10*(1+$C$8)</f>
        <v>23.186124000000003</v>
      </c>
      <c r="O11" s="548">
        <f t="shared" si="3"/>
        <v>23.881707720000001</v>
      </c>
      <c r="P11" s="548">
        <f t="shared" si="3"/>
        <v>24.598158951599999</v>
      </c>
      <c r="Q11" s="548">
        <f t="shared" si="3"/>
        <v>25.336103720147999</v>
      </c>
    </row>
    <row r="12" spans="1:17" ht="14.4">
      <c r="B12" s="284" t="s">
        <v>788</v>
      </c>
      <c r="E12" s="44" t="s">
        <v>789</v>
      </c>
      <c r="F12" s="34">
        <f>F10*F11*M8</f>
        <v>150072</v>
      </c>
      <c r="G12" s="34">
        <f>G10*G11*N8</f>
        <v>270504.78000000003</v>
      </c>
      <c r="H12" s="34">
        <f>H10*H11*O8</f>
        <v>358225.61580000003</v>
      </c>
      <c r="I12" s="34">
        <f>I10*I11*P8</f>
        <v>491963.17903200001</v>
      </c>
      <c r="J12" s="123">
        <f>J10*J11*Q8</f>
        <v>633402.59300370002</v>
      </c>
      <c r="L12" s="32"/>
      <c r="M12" s="665"/>
      <c r="N12" s="32"/>
    </row>
    <row r="13" spans="1:17" ht="14.4">
      <c r="E13" s="497" t="s">
        <v>790</v>
      </c>
      <c r="F13" s="1050"/>
      <c r="G13" s="1050"/>
      <c r="H13" s="1050"/>
      <c r="I13" s="1050"/>
      <c r="J13" s="1131"/>
    </row>
    <row r="14" spans="1:17" ht="14.4">
      <c r="E14" s="44" t="s">
        <v>785</v>
      </c>
      <c r="F14">
        <f>'Production Capacity Analysis'!F27</f>
        <v>1</v>
      </c>
      <c r="G14">
        <f>'Production Capacity Analysis'!G27</f>
        <v>1</v>
      </c>
      <c r="H14">
        <f>'Production Capacity Analysis'!H27</f>
        <v>1</v>
      </c>
      <c r="I14">
        <f>'Production Capacity Analysis'!I27</f>
        <v>1</v>
      </c>
      <c r="J14" s="50">
        <f>'Production Capacity Analysis'!J27</f>
        <v>1</v>
      </c>
    </row>
    <row r="15" spans="1:17" ht="14.4">
      <c r="E15" s="42" t="s">
        <v>791</v>
      </c>
      <c r="F15" s="32">
        <f>F14</f>
        <v>1</v>
      </c>
      <c r="G15" s="32">
        <f>G14</f>
        <v>1</v>
      </c>
      <c r="H15" s="32">
        <f>H14</f>
        <v>1</v>
      </c>
      <c r="I15" s="32">
        <f>I14</f>
        <v>1</v>
      </c>
      <c r="J15" s="1132">
        <f>J14</f>
        <v>1</v>
      </c>
    </row>
    <row r="16" spans="1:17" ht="14.4">
      <c r="E16" s="44" t="s">
        <v>787</v>
      </c>
      <c r="F16" s="24">
        <f>'Production Capacity Analysis'!F9</f>
        <v>2000</v>
      </c>
      <c r="G16" s="24">
        <f>'Production Capacity Analysis'!G9</f>
        <v>2000</v>
      </c>
      <c r="H16" s="24">
        <f>'Production Capacity Analysis'!H9</f>
        <v>2000</v>
      </c>
      <c r="I16" s="24">
        <f>'Production Capacity Analysis'!I9</f>
        <v>2000</v>
      </c>
      <c r="J16" s="659">
        <f>'Production Capacity Analysis'!J9</f>
        <v>2000</v>
      </c>
    </row>
    <row r="17" spans="5:12" ht="14.4">
      <c r="E17" s="44" t="s">
        <v>789</v>
      </c>
      <c r="F17" s="34">
        <f>F15*F16*M11</f>
        <v>45021.599999999999</v>
      </c>
      <c r="G17" s="34">
        <f>G15*G16*N11</f>
        <v>46372.248000000007</v>
      </c>
      <c r="H17" s="34">
        <f>H15*H16*O11</f>
        <v>47763.415440000004</v>
      </c>
      <c r="I17" s="34">
        <f>I15*I16*P11</f>
        <v>49196.317903199997</v>
      </c>
      <c r="J17" s="123">
        <f>J15*J16*Q11</f>
        <v>50672.207440295999</v>
      </c>
      <c r="L17" s="34"/>
    </row>
    <row r="18" spans="5:12" ht="14.4">
      <c r="E18" s="219" t="s">
        <v>792</v>
      </c>
      <c r="F18" s="923">
        <f>F12+F17</f>
        <v>195093.6</v>
      </c>
      <c r="G18" s="923">
        <f>G12+G17</f>
        <v>316877.02800000005</v>
      </c>
      <c r="H18" s="923">
        <f>H12+H17</f>
        <v>405989.03124000004</v>
      </c>
      <c r="I18" s="923">
        <f>I12+I17</f>
        <v>541159.49693520006</v>
      </c>
      <c r="J18" s="308">
        <f>J12+J17</f>
        <v>684074.80044399598</v>
      </c>
    </row>
    <row r="19" spans="5:12" ht="14.4">
      <c r="E19" s="194" t="s">
        <v>793</v>
      </c>
      <c r="F19" s="618">
        <f>F18/F6</f>
        <v>1.8735220681442786</v>
      </c>
      <c r="G19" s="618">
        <f>G18/G6</f>
        <v>1.6656873390174416</v>
      </c>
      <c r="H19" s="618">
        <f>H18/H6</f>
        <v>1.610326322962446</v>
      </c>
      <c r="I19" s="618">
        <f>I18/I6</f>
        <v>1.6286053404172336</v>
      </c>
      <c r="J19" s="1133">
        <f>J18/J6</f>
        <v>1.5148541347098308</v>
      </c>
    </row>
    <row r="20" spans="5:12" ht="14.4"/>
    <row r="21" spans="5:12" ht="14.4"/>
    <row r="24" spans="5:12" ht="15" customHeight="1">
      <c r="F24" s="34"/>
      <c r="G24" s="34"/>
      <c r="H24" s="24"/>
    </row>
    <row r="25" spans="5:12" ht="15" customHeight="1">
      <c r="G25" s="6"/>
      <c r="H25" s="6"/>
    </row>
    <row r="26" spans="5:12" ht="15" customHeight="1">
      <c r="H26" s="6"/>
    </row>
    <row r="27" spans="5:12" ht="15" customHeight="1">
      <c r="H27" s="6"/>
    </row>
  </sheetData>
  <mergeCells count="3">
    <mergeCell ref="B5:C5"/>
    <mergeCell ref="L5:Q5"/>
    <mergeCell ref="B7:C7"/>
  </mergeCells>
  <hyperlinks>
    <hyperlink ref="A3" location="'Index'!A1" display="Back to Index" xr:uid="{75553A02-A378-4EFB-9A2E-BA153062983A}"/>
    <hyperlink ref="B12" r:id="rId1" location=":~:text=As%20of%20Apr%209%2C%202024,Missouri%20is%20%2414.43%20an%20hour" xr:uid="{CD40D1C3-3D72-4D9D-8743-2C9C1AE6828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6F8F-43A1-454B-8235-346BBD86E881}">
  <sheetPr>
    <tabColor rgb="FF00B0F0"/>
  </sheetPr>
  <dimension ref="A1:AB87"/>
  <sheetViews>
    <sheetView zoomScale="85" zoomScaleNormal="85" workbookViewId="0">
      <selection activeCell="A2" sqref="A2"/>
    </sheetView>
  </sheetViews>
  <sheetFormatPr defaultColWidth="8.88671875" defaultRowHeight="15" customHeight="1"/>
  <cols>
    <col min="3" max="3" width="11.44140625" customWidth="1"/>
    <col min="5" max="5" width="32.109375" customWidth="1"/>
    <col min="6" max="16" width="12.6640625" customWidth="1"/>
    <col min="17" max="17" width="32.109375" customWidth="1"/>
    <col min="18" max="20" width="14.44140625" customWidth="1"/>
    <col min="22" max="22" width="32.109375" customWidth="1"/>
    <col min="23" max="25" width="14.44140625" customWidth="1"/>
    <col min="27" max="27" width="32.109375" customWidth="1"/>
    <col min="28" max="30" width="14.44140625" customWidth="1"/>
  </cols>
  <sheetData>
    <row r="1" spans="1:20" ht="28.8">
      <c r="A1" s="1" t="s">
        <v>794</v>
      </c>
    </row>
    <row r="2" spans="1:20" ht="18">
      <c r="A2" s="1145" t="s">
        <v>795</v>
      </c>
    </row>
    <row r="3" spans="1:20" ht="14.4">
      <c r="A3" s="284" t="s">
        <v>32</v>
      </c>
    </row>
    <row r="4" spans="1:20" ht="14.4">
      <c r="A4" s="284"/>
    </row>
    <row r="5" spans="1:20" ht="30" customHeight="1">
      <c r="B5" s="1302" t="s">
        <v>576</v>
      </c>
      <c r="C5" s="1303"/>
      <c r="E5" s="1235" t="s">
        <v>794</v>
      </c>
      <c r="F5" s="1305" t="s">
        <v>157</v>
      </c>
      <c r="G5" s="1306"/>
      <c r="H5" s="1231" t="s">
        <v>158</v>
      </c>
      <c r="I5" s="1231"/>
      <c r="J5" s="1231" t="s">
        <v>159</v>
      </c>
      <c r="K5" s="1231"/>
      <c r="L5" s="1231" t="s">
        <v>160</v>
      </c>
      <c r="M5" s="1231"/>
      <c r="N5" s="1231" t="s">
        <v>161</v>
      </c>
      <c r="O5" s="1231"/>
      <c r="Q5" s="1307" t="s">
        <v>75</v>
      </c>
      <c r="R5" s="1308"/>
      <c r="S5" s="1308"/>
      <c r="T5" s="1309"/>
    </row>
    <row r="6" spans="1:20" ht="14.4">
      <c r="B6" s="10" t="s">
        <v>75</v>
      </c>
      <c r="C6" s="19">
        <f>ROUND('BASES Model'!C16,0)</f>
        <v>104132</v>
      </c>
      <c r="E6" s="1304"/>
      <c r="F6" s="1220" t="s">
        <v>466</v>
      </c>
      <c r="G6" s="1220" t="s">
        <v>796</v>
      </c>
      <c r="H6" s="1219" t="s">
        <v>466</v>
      </c>
      <c r="I6" s="1220" t="s">
        <v>796</v>
      </c>
      <c r="J6" s="1219" t="s">
        <v>466</v>
      </c>
      <c r="K6" s="1220" t="s">
        <v>796</v>
      </c>
      <c r="L6" s="1219" t="s">
        <v>466</v>
      </c>
      <c r="M6" s="1220" t="s">
        <v>796</v>
      </c>
      <c r="N6" s="1219" t="s">
        <v>466</v>
      </c>
      <c r="O6" s="1221" t="s">
        <v>796</v>
      </c>
      <c r="Q6" s="49"/>
      <c r="R6" s="228" t="s">
        <v>466</v>
      </c>
      <c r="S6" s="228" t="s">
        <v>796</v>
      </c>
      <c r="T6" s="1199" t="s">
        <v>149</v>
      </c>
    </row>
    <row r="7" spans="1:20" ht="14.4">
      <c r="B7" s="10" t="s">
        <v>76</v>
      </c>
      <c r="C7" s="19">
        <f>ROUND('BASES Model'!D16,0)</f>
        <v>190238</v>
      </c>
      <c r="E7" s="127" t="s">
        <v>797</v>
      </c>
      <c r="F7" s="617">
        <f>R7</f>
        <v>33.000000000000007</v>
      </c>
      <c r="G7" s="585">
        <f>S7</f>
        <v>1</v>
      </c>
      <c r="H7" s="583">
        <f t="shared" ref="H7:I13" si="0">R24</f>
        <v>32.545901317082759</v>
      </c>
      <c r="I7" s="585">
        <f t="shared" si="0"/>
        <v>1</v>
      </c>
      <c r="J7" s="583">
        <f t="shared" ref="J7:K13" si="1">R41</f>
        <v>32.157939548744153</v>
      </c>
      <c r="K7" s="585">
        <f t="shared" si="1"/>
        <v>1</v>
      </c>
      <c r="L7" s="583">
        <f t="shared" ref="L7:M13" si="2">R58</f>
        <v>31.683918557601849</v>
      </c>
      <c r="M7" s="585">
        <f t="shared" si="2"/>
        <v>1</v>
      </c>
      <c r="N7" s="583">
        <f t="shared" ref="N7:O13" si="3">R75</f>
        <v>31.543757550085754</v>
      </c>
      <c r="O7" s="584">
        <f t="shared" si="3"/>
        <v>1</v>
      </c>
      <c r="Q7" s="88" t="s">
        <v>797</v>
      </c>
      <c r="R7" s="6">
        <f>'Distribution Reach'!K14</f>
        <v>33.000000000000007</v>
      </c>
      <c r="S7" s="8">
        <v>1</v>
      </c>
      <c r="T7" s="11"/>
    </row>
    <row r="8" spans="1:20" ht="14.4">
      <c r="B8" s="10" t="s">
        <v>77</v>
      </c>
      <c r="C8" s="19">
        <f>ROUND('BASES Model'!E16,0)</f>
        <v>252116</v>
      </c>
      <c r="E8" s="127" t="s">
        <v>798</v>
      </c>
      <c r="F8" s="6">
        <f t="shared" ref="F8:F13" si="4">R8</f>
        <v>13.200000000000003</v>
      </c>
      <c r="G8" s="8">
        <f t="shared" ref="G8:G13" si="5">S8</f>
        <v>0.4</v>
      </c>
      <c r="H8" s="301">
        <f t="shared" si="0"/>
        <v>13.370287006093964</v>
      </c>
      <c r="I8" s="8">
        <f t="shared" si="0"/>
        <v>0.41081323500099659</v>
      </c>
      <c r="J8" s="301">
        <f t="shared" si="1"/>
        <v>13.515772669220951</v>
      </c>
      <c r="K8" s="8">
        <f t="shared" si="1"/>
        <v>0.42029349077959738</v>
      </c>
      <c r="L8" s="301">
        <f t="shared" si="2"/>
        <v>13.831725123061794</v>
      </c>
      <c r="M8" s="8">
        <f t="shared" si="2"/>
        <v>0.43655348683956202</v>
      </c>
      <c r="N8" s="301">
        <f t="shared" si="3"/>
        <v>13.85596415815046</v>
      </c>
      <c r="O8" s="155">
        <f t="shared" si="3"/>
        <v>0.43926168707547625</v>
      </c>
      <c r="Q8" s="127" t="s">
        <v>798</v>
      </c>
      <c r="R8" s="6">
        <f>R7-R9</f>
        <v>13.200000000000003</v>
      </c>
      <c r="S8" s="8">
        <f>R8/R7</f>
        <v>0.4</v>
      </c>
      <c r="T8" s="12"/>
    </row>
    <row r="9" spans="1:20" ht="14.4">
      <c r="B9" s="10" t="s">
        <v>78</v>
      </c>
      <c r="C9" s="19">
        <f>ROUND('BASES Model'!F16,0)</f>
        <v>332284</v>
      </c>
      <c r="E9" s="190" t="s">
        <v>799</v>
      </c>
      <c r="F9" s="787">
        <f t="shared" si="4"/>
        <v>19.800000000000004</v>
      </c>
      <c r="G9" s="788">
        <f t="shared" si="5"/>
        <v>0.6</v>
      </c>
      <c r="H9" s="795">
        <f t="shared" si="0"/>
        <v>19.175614310988795</v>
      </c>
      <c r="I9" s="788">
        <f t="shared" si="0"/>
        <v>0.58918676499900346</v>
      </c>
      <c r="J9" s="795">
        <f t="shared" si="1"/>
        <v>18.642166879523202</v>
      </c>
      <c r="K9" s="788">
        <f t="shared" si="1"/>
        <v>0.57970650922040257</v>
      </c>
      <c r="L9" s="795">
        <f t="shared" si="2"/>
        <v>17.852193434540055</v>
      </c>
      <c r="M9" s="788">
        <f t="shared" si="2"/>
        <v>0.56344651316043792</v>
      </c>
      <c r="N9" s="795">
        <f t="shared" si="3"/>
        <v>17.687793391935294</v>
      </c>
      <c r="O9" s="796">
        <f t="shared" si="3"/>
        <v>0.5607383129245237</v>
      </c>
      <c r="Q9" s="994" t="s">
        <v>799</v>
      </c>
      <c r="R9" s="995">
        <f>'Distribution Reach'!I13</f>
        <v>19.800000000000004</v>
      </c>
      <c r="S9" s="996">
        <f>R9/R7</f>
        <v>0.6</v>
      </c>
      <c r="T9" s="997"/>
    </row>
    <row r="10" spans="1:20" ht="14.4">
      <c r="B10" s="15" t="s">
        <v>79</v>
      </c>
      <c r="C10" s="20">
        <f>ROUND('BASES Model'!G16,0)</f>
        <v>451578</v>
      </c>
      <c r="E10" s="88" t="s">
        <v>800</v>
      </c>
      <c r="F10" s="617">
        <f t="shared" si="4"/>
        <v>3.7347397212864268</v>
      </c>
      <c r="G10" s="585">
        <f t="shared" si="5"/>
        <v>0.18862321824678918</v>
      </c>
      <c r="H10" s="583">
        <f t="shared" si="0"/>
        <v>2.5739167032806929</v>
      </c>
      <c r="I10" s="585">
        <f t="shared" si="0"/>
        <v>0.13422864381485197</v>
      </c>
      <c r="J10" s="583">
        <f t="shared" si="1"/>
        <v>2.4812022726104166</v>
      </c>
      <c r="K10" s="585">
        <f t="shared" si="1"/>
        <v>0.13309623761258146</v>
      </c>
      <c r="L10" s="583">
        <f t="shared" si="2"/>
        <v>2.2234749510572089</v>
      </c>
      <c r="M10" s="585">
        <f t="shared" si="2"/>
        <v>0.12454911824758046</v>
      </c>
      <c r="N10" s="583">
        <f t="shared" si="3"/>
        <v>1.8618937837050666</v>
      </c>
      <c r="O10" s="584">
        <f t="shared" si="3"/>
        <v>0.10526433356882112</v>
      </c>
      <c r="Q10" s="127" t="s">
        <v>800</v>
      </c>
      <c r="R10" s="21">
        <f>T10/$C$6</f>
        <v>3.7347397212864268</v>
      </c>
      <c r="S10" s="22">
        <f>R10/$R$9</f>
        <v>0.18862321824678918</v>
      </c>
      <c r="T10" s="18">
        <f>'IMC Schedule'!T13</f>
        <v>388905.91665699822</v>
      </c>
    </row>
    <row r="11" spans="1:20" ht="14.4">
      <c r="E11" s="127" t="s">
        <v>801</v>
      </c>
      <c r="F11" s="6">
        <f t="shared" si="4"/>
        <v>4.8112011677486271</v>
      </c>
      <c r="G11" s="8">
        <f t="shared" si="5"/>
        <v>0.24298995796710232</v>
      </c>
      <c r="H11" s="301">
        <f t="shared" si="0"/>
        <v>3.2372869773651951</v>
      </c>
      <c r="I11" s="8">
        <f t="shared" si="0"/>
        <v>0.16882311694755106</v>
      </c>
      <c r="J11" s="301">
        <f t="shared" si="1"/>
        <v>3.2193259451998286</v>
      </c>
      <c r="K11" s="8">
        <f t="shared" si="1"/>
        <v>0.17269054429160688</v>
      </c>
      <c r="L11" s="301">
        <f t="shared" si="2"/>
        <v>2.9843532893548894</v>
      </c>
      <c r="M11" s="8">
        <f t="shared" si="2"/>
        <v>0.16717011835536266</v>
      </c>
      <c r="N11" s="301">
        <f t="shared" si="3"/>
        <v>2.4938107225507</v>
      </c>
      <c r="O11" s="155">
        <f t="shared" si="3"/>
        <v>0.14099049368632646</v>
      </c>
      <c r="Q11" s="127" t="s">
        <v>801</v>
      </c>
      <c r="R11" s="495">
        <f>T11/$C$6</f>
        <v>4.8112011677486271</v>
      </c>
      <c r="S11" s="496">
        <f>R11/$R$9</f>
        <v>0.24298995796710232</v>
      </c>
      <c r="T11" s="14">
        <f>'General and Administrative'!F17</f>
        <v>501000</v>
      </c>
    </row>
    <row r="12" spans="1:20" ht="14.4">
      <c r="E12" s="127" t="s">
        <v>802</v>
      </c>
      <c r="F12" s="6">
        <f t="shared" si="4"/>
        <v>3.0013695515595789</v>
      </c>
      <c r="G12" s="8">
        <f t="shared" si="5"/>
        <v>0.15158432078583728</v>
      </c>
      <c r="H12" s="301">
        <f t="shared" si="0"/>
        <v>6.3318216613413956</v>
      </c>
      <c r="I12" s="8">
        <f t="shared" si="0"/>
        <v>0.33020176348211572</v>
      </c>
      <c r="J12" s="301">
        <f t="shared" si="1"/>
        <v>6.1679998292310572</v>
      </c>
      <c r="K12" s="8">
        <f t="shared" si="1"/>
        <v>0.33086281595333578</v>
      </c>
      <c r="L12" s="301">
        <f t="shared" si="2"/>
        <v>6.0664433417234633</v>
      </c>
      <c r="M12" s="8">
        <f t="shared" si="2"/>
        <v>0.33981501287042037</v>
      </c>
      <c r="N12" s="301">
        <f t="shared" si="3"/>
        <v>7.0453252770615578</v>
      </c>
      <c r="O12" s="155">
        <f t="shared" si="3"/>
        <v>0.39831567007526536</v>
      </c>
      <c r="Q12" s="127" t="s">
        <v>802</v>
      </c>
      <c r="R12" s="6">
        <f>R9-R10-R11-R13</f>
        <v>3.0013695515595789</v>
      </c>
      <c r="S12" s="496">
        <f>R12/$R$9</f>
        <v>0.15158432078583728</v>
      </c>
      <c r="T12" s="18">
        <f>R12*$C$6</f>
        <v>312538.61414300208</v>
      </c>
    </row>
    <row r="13" spans="1:20" ht="14.4">
      <c r="E13" s="616" t="s">
        <v>803</v>
      </c>
      <c r="F13" s="618">
        <f t="shared" si="4"/>
        <v>8.2526895594053702</v>
      </c>
      <c r="G13" s="619">
        <f t="shared" si="5"/>
        <v>0.41680250300027111</v>
      </c>
      <c r="H13" s="620">
        <f t="shared" si="0"/>
        <v>7.0325889690015142</v>
      </c>
      <c r="I13" s="619">
        <f t="shared" si="0"/>
        <v>0.36674647575548142</v>
      </c>
      <c r="J13" s="620">
        <f t="shared" si="1"/>
        <v>6.7736388324818986</v>
      </c>
      <c r="K13" s="619">
        <f t="shared" si="1"/>
        <v>0.36335040214247577</v>
      </c>
      <c r="L13" s="620">
        <f t="shared" si="2"/>
        <v>6.5779218524044936</v>
      </c>
      <c r="M13" s="619">
        <f t="shared" si="2"/>
        <v>0.36846575052663649</v>
      </c>
      <c r="N13" s="620">
        <f t="shared" si="3"/>
        <v>6.286763608617969</v>
      </c>
      <c r="O13" s="621">
        <f t="shared" si="3"/>
        <v>0.35542950266958701</v>
      </c>
      <c r="Q13" s="616" t="s">
        <v>804</v>
      </c>
      <c r="R13" s="998">
        <f>SUM(R16:R19)</f>
        <v>8.2526895594053702</v>
      </c>
      <c r="S13" s="999">
        <f>R13/$R$9</f>
        <v>0.41680250300027111</v>
      </c>
      <c r="T13" s="1000">
        <f>R13*$C$6</f>
        <v>859369.06920000003</v>
      </c>
    </row>
    <row r="14" spans="1:20" ht="14.4">
      <c r="Q14" s="658"/>
      <c r="R14" s="655"/>
      <c r="S14" s="655"/>
      <c r="T14" s="656"/>
    </row>
    <row r="15" spans="1:20" ht="14.4">
      <c r="E15" s="1235" t="s">
        <v>805</v>
      </c>
      <c r="F15" s="1305" t="s">
        <v>157</v>
      </c>
      <c r="G15" s="1306"/>
      <c r="H15" s="1231" t="s">
        <v>158</v>
      </c>
      <c r="I15" s="1231"/>
      <c r="J15" s="1231" t="s">
        <v>159</v>
      </c>
      <c r="K15" s="1231"/>
      <c r="L15" s="1231" t="s">
        <v>160</v>
      </c>
      <c r="M15" s="1231"/>
      <c r="N15" s="1231" t="s">
        <v>161</v>
      </c>
      <c r="O15" s="1231"/>
      <c r="Q15" s="191" t="s">
        <v>805</v>
      </c>
      <c r="R15" s="9"/>
      <c r="S15" s="9"/>
      <c r="T15" s="542"/>
    </row>
    <row r="16" spans="1:20" ht="14.4">
      <c r="E16" s="1304"/>
      <c r="F16" s="792" t="s">
        <v>466</v>
      </c>
      <c r="G16" s="792" t="s">
        <v>796</v>
      </c>
      <c r="H16" s="793" t="s">
        <v>466</v>
      </c>
      <c r="I16" s="792" t="s">
        <v>796</v>
      </c>
      <c r="J16" s="793" t="s">
        <v>466</v>
      </c>
      <c r="K16" s="792" t="s">
        <v>796</v>
      </c>
      <c r="L16" s="793" t="s">
        <v>466</v>
      </c>
      <c r="M16" s="792" t="s">
        <v>796</v>
      </c>
      <c r="N16" s="793" t="s">
        <v>466</v>
      </c>
      <c r="O16" s="794" t="s">
        <v>796</v>
      </c>
      <c r="Q16" s="127" t="s">
        <v>806</v>
      </c>
      <c r="R16" s="6">
        <f>'Bill of Materials'!F34</f>
        <v>2.9491000000000005</v>
      </c>
      <c r="S16" s="23">
        <f>R16/$R$13</f>
        <v>0.3573501679387649</v>
      </c>
      <c r="T16" s="123">
        <f>R16*C6</f>
        <v>307095.68120000005</v>
      </c>
    </row>
    <row r="17" spans="5:28" ht="14.4">
      <c r="E17" s="44" t="s">
        <v>806</v>
      </c>
      <c r="F17" s="301">
        <f t="shared" ref="F17:G20" si="6">R16</f>
        <v>2.9491000000000005</v>
      </c>
      <c r="G17" s="23">
        <f t="shared" si="6"/>
        <v>0.3573501679387649</v>
      </c>
      <c r="H17" s="301">
        <f t="shared" ref="H17:I20" si="7">R33</f>
        <v>2.9227000000000003</v>
      </c>
      <c r="I17" s="126">
        <f t="shared" si="7"/>
        <v>0.4155937468950307</v>
      </c>
      <c r="J17" s="6">
        <f t="shared" ref="J17:K20" si="8">R50</f>
        <v>2.9227000000000003</v>
      </c>
      <c r="K17" s="23">
        <f t="shared" si="8"/>
        <v>0.4314815230455839</v>
      </c>
      <c r="L17" s="301">
        <f t="shared" ref="L17:M20" si="9">R67</f>
        <v>2.9227000000000003</v>
      </c>
      <c r="M17" s="126">
        <f t="shared" si="9"/>
        <v>0.44431965985300304</v>
      </c>
      <c r="N17" s="6">
        <f t="shared" ref="N17:O20" si="10">R84</f>
        <v>2.9227000000000003</v>
      </c>
      <c r="O17" s="126">
        <f t="shared" si="10"/>
        <v>0.46489739108267553</v>
      </c>
      <c r="Q17" s="127" t="s">
        <v>793</v>
      </c>
      <c r="R17" s="21">
        <f>T17/$C$6</f>
        <v>1.8735220681442786</v>
      </c>
      <c r="S17" s="23">
        <f>R17/$R$13</f>
        <v>0.22701957400167505</v>
      </c>
      <c r="T17" s="543">
        <f>'Labor Planning'!F18</f>
        <v>195093.6</v>
      </c>
    </row>
    <row r="18" spans="5:28" ht="14.4">
      <c r="E18" s="44" t="s">
        <v>793</v>
      </c>
      <c r="F18" s="301">
        <f t="shared" si="6"/>
        <v>1.8735220681442786</v>
      </c>
      <c r="G18" s="23">
        <f t="shared" si="6"/>
        <v>0.22701957400167505</v>
      </c>
      <c r="H18" s="301">
        <f>R34</f>
        <v>1.6656873390174416</v>
      </c>
      <c r="I18" s="126">
        <f t="shared" si="7"/>
        <v>0.2368526507605542</v>
      </c>
      <c r="J18" s="6">
        <f t="shared" si="8"/>
        <v>1.610326322962446</v>
      </c>
      <c r="K18" s="23">
        <f t="shared" si="8"/>
        <v>0.23773430541356655</v>
      </c>
      <c r="L18" s="301">
        <f t="shared" si="9"/>
        <v>1.6286053404172336</v>
      </c>
      <c r="M18" s="126">
        <f t="shared" si="9"/>
        <v>0.24758660515583858</v>
      </c>
      <c r="N18" s="6">
        <f t="shared" si="10"/>
        <v>1.5148541347098308</v>
      </c>
      <c r="O18" s="126">
        <f t="shared" si="10"/>
        <v>0.24095929623204712</v>
      </c>
      <c r="Q18" s="127" t="s">
        <v>807</v>
      </c>
      <c r="R18" s="21">
        <f>T18/$C$6</f>
        <v>2.4913866822878656</v>
      </c>
      <c r="S18" s="23">
        <f>R18/$R$13</f>
        <v>0.3018878469078603</v>
      </c>
      <c r="T18" s="123">
        <f>'Manufacturing Overhead'!I15</f>
        <v>259433.07800000001</v>
      </c>
    </row>
    <row r="19" spans="5:28" ht="14.4">
      <c r="E19" s="44" t="s">
        <v>807</v>
      </c>
      <c r="F19" s="301">
        <f t="shared" si="6"/>
        <v>2.4913866822878656</v>
      </c>
      <c r="G19" s="23">
        <f t="shared" si="6"/>
        <v>0.3018878469078603</v>
      </c>
      <c r="H19" s="301">
        <f t="shared" si="7"/>
        <v>1.5789127812787671</v>
      </c>
      <c r="I19" s="126">
        <f t="shared" si="7"/>
        <v>0.22451373004143321</v>
      </c>
      <c r="J19" s="6">
        <f t="shared" si="8"/>
        <v>1.4706162644047698</v>
      </c>
      <c r="K19" s="23">
        <f t="shared" si="8"/>
        <v>0.21710875066923635</v>
      </c>
      <c r="L19" s="301">
        <f t="shared" si="9"/>
        <v>1.3260223315071082</v>
      </c>
      <c r="M19" s="126">
        <f t="shared" si="9"/>
        <v>0.20158681742660017</v>
      </c>
      <c r="N19" s="6">
        <f t="shared" si="10"/>
        <v>1.1908373063829998</v>
      </c>
      <c r="O19" s="126">
        <f t="shared" si="10"/>
        <v>0.18941976834481036</v>
      </c>
      <c r="Q19" s="128" t="s">
        <v>808</v>
      </c>
      <c r="R19" s="544">
        <f>T19/$C$6</f>
        <v>0.93868080897322625</v>
      </c>
      <c r="S19" s="52">
        <f>R19/$R$13</f>
        <v>0.11374241115169985</v>
      </c>
      <c r="T19" s="124">
        <f>'Logistics &amp; Transportation'!I21</f>
        <v>97746.709999999992</v>
      </c>
    </row>
    <row r="20" spans="5:28" ht="14.4">
      <c r="E20" s="51" t="s">
        <v>808</v>
      </c>
      <c r="F20" s="302">
        <f t="shared" si="6"/>
        <v>0.93868080897322625</v>
      </c>
      <c r="G20" s="52">
        <f t="shared" si="6"/>
        <v>0.11374241115169985</v>
      </c>
      <c r="H20" s="302">
        <f t="shared" si="7"/>
        <v>0.86528884870530598</v>
      </c>
      <c r="I20" s="53">
        <f t="shared" si="7"/>
        <v>0.12303987230298198</v>
      </c>
      <c r="J20" s="129">
        <f t="shared" si="8"/>
        <v>0.76999624511468256</v>
      </c>
      <c r="K20" s="52">
        <f t="shared" si="8"/>
        <v>0.11367542087161321</v>
      </c>
      <c r="L20" s="302">
        <f t="shared" si="9"/>
        <v>0.70059418048015154</v>
      </c>
      <c r="M20" s="53">
        <f t="shared" si="9"/>
        <v>0.10650691756455823</v>
      </c>
      <c r="N20" s="129">
        <f t="shared" si="10"/>
        <v>0.65837216752513772</v>
      </c>
      <c r="O20" s="53">
        <f t="shared" si="10"/>
        <v>0.10472354434046692</v>
      </c>
      <c r="W20" s="6"/>
      <c r="AB20" s="6"/>
    </row>
    <row r="21" spans="5:28" ht="14.4">
      <c r="E21" s="791"/>
      <c r="F21" s="594"/>
      <c r="G21" s="594"/>
      <c r="H21" s="594"/>
      <c r="I21" s="594"/>
      <c r="J21" s="594"/>
      <c r="K21" s="789"/>
      <c r="L21" s="1295"/>
      <c r="M21" s="1295"/>
      <c r="N21" s="1295"/>
      <c r="O21" s="1295"/>
      <c r="W21" s="6"/>
      <c r="AB21" s="6"/>
    </row>
    <row r="22" spans="5:28" ht="30" customHeight="1">
      <c r="E22" s="1313" t="s">
        <v>805</v>
      </c>
      <c r="F22" s="1215" t="s">
        <v>157</v>
      </c>
      <c r="G22" s="1182" t="s">
        <v>158</v>
      </c>
      <c r="H22" s="1182" t="s">
        <v>159</v>
      </c>
      <c r="I22" s="1182" t="s">
        <v>160</v>
      </c>
      <c r="J22" s="1182" t="s">
        <v>161</v>
      </c>
      <c r="K22" s="32"/>
      <c r="M22" s="32"/>
      <c r="O22" s="32"/>
      <c r="Q22" s="1307" t="s">
        <v>76</v>
      </c>
      <c r="R22" s="1308"/>
      <c r="S22" s="1308"/>
      <c r="T22" s="1309"/>
    </row>
    <row r="23" spans="5:28" ht="14.4">
      <c r="E23" s="1314"/>
      <c r="F23" s="793" t="s">
        <v>149</v>
      </c>
      <c r="G23" s="793" t="s">
        <v>149</v>
      </c>
      <c r="H23" s="793" t="s">
        <v>149</v>
      </c>
      <c r="I23" s="793" t="s">
        <v>149</v>
      </c>
      <c r="J23" s="799" t="s">
        <v>149</v>
      </c>
      <c r="K23" s="32"/>
      <c r="L23" s="6"/>
      <c r="M23" s="32"/>
      <c r="O23" s="32"/>
      <c r="Q23" s="49"/>
      <c r="R23" s="228" t="s">
        <v>466</v>
      </c>
      <c r="S23" s="228" t="s">
        <v>796</v>
      </c>
      <c r="T23" s="1199" t="s">
        <v>149</v>
      </c>
    </row>
    <row r="24" spans="5:28" ht="14.4">
      <c r="E24" s="44" t="s">
        <v>809</v>
      </c>
      <c r="F24" s="797">
        <f>F17*C6</f>
        <v>307095.68120000005</v>
      </c>
      <c r="G24" s="797">
        <f>H17*C7</f>
        <v>556008.6026000001</v>
      </c>
      <c r="H24" s="797">
        <f>J17*C8</f>
        <v>736859.43320000009</v>
      </c>
      <c r="I24" s="797">
        <f>L17*C9</f>
        <v>971166.44680000015</v>
      </c>
      <c r="J24" s="800">
        <f>N17*C10</f>
        <v>1319827.0206000002</v>
      </c>
      <c r="K24" s="34"/>
      <c r="M24" s="34"/>
      <c r="O24" s="34"/>
      <c r="Q24" s="88" t="s">
        <v>797</v>
      </c>
      <c r="R24" s="6">
        <f>'Distribution Reach'!K30</f>
        <v>32.545901317082759</v>
      </c>
      <c r="S24" s="8">
        <v>1</v>
      </c>
      <c r="T24" s="11"/>
    </row>
    <row r="25" spans="5:28" ht="14.4">
      <c r="E25" s="44" t="s">
        <v>485</v>
      </c>
      <c r="F25" s="305">
        <f>'Labor Planning'!F18</f>
        <v>195093.6</v>
      </c>
      <c r="G25" s="305">
        <f>'Labor Planning'!G18</f>
        <v>316877.02800000005</v>
      </c>
      <c r="H25" s="305">
        <f>'Labor Planning'!H18</f>
        <v>405989.03124000004</v>
      </c>
      <c r="I25" s="305">
        <f>'Labor Planning'!I18</f>
        <v>541159.49693520006</v>
      </c>
      <c r="J25" s="586">
        <f>'Labor Planning'!J18</f>
        <v>684074.80044399598</v>
      </c>
      <c r="K25" s="34"/>
      <c r="M25" s="34"/>
      <c r="O25" s="34"/>
      <c r="Q25" s="127" t="s">
        <v>798</v>
      </c>
      <c r="R25" s="6">
        <f>R24-R26</f>
        <v>13.370287006093964</v>
      </c>
      <c r="S25" s="8">
        <f>R25/R24</f>
        <v>0.41081323500099659</v>
      </c>
      <c r="T25" s="12"/>
    </row>
    <row r="26" spans="5:28" ht="14.4">
      <c r="E26" s="44" t="s">
        <v>25</v>
      </c>
      <c r="F26" s="305">
        <f>'Manufacturing Overhead'!I15</f>
        <v>259433.07800000001</v>
      </c>
      <c r="G26" s="305">
        <f>'Manufacturing Overhead'!J15</f>
        <v>300369.20968491008</v>
      </c>
      <c r="H26" s="305">
        <f>'Manufacturing Overhead'!K15</f>
        <v>370765.89011667296</v>
      </c>
      <c r="I26" s="305">
        <f>'Manufacturing Overhead'!L15</f>
        <v>440616.00440250797</v>
      </c>
      <c r="J26" s="586">
        <f>'Manufacturing Overhead'!M15</f>
        <v>537755.92914182227</v>
      </c>
      <c r="K26" s="34"/>
      <c r="M26" s="34"/>
      <c r="O26" s="34"/>
      <c r="Q26" s="994" t="s">
        <v>799</v>
      </c>
      <c r="R26" s="995">
        <f>'Distribution Reach'!I29</f>
        <v>19.175614310988795</v>
      </c>
      <c r="S26" s="996">
        <f>R26/R24</f>
        <v>0.58918676499900346</v>
      </c>
      <c r="T26" s="997"/>
    </row>
    <row r="27" spans="5:28" ht="14.4">
      <c r="E27" s="51" t="s">
        <v>810</v>
      </c>
      <c r="F27" s="798">
        <f>'Logistics &amp; Transportation'!I21</f>
        <v>97746.709999999992</v>
      </c>
      <c r="G27" s="798">
        <f>'Logistics &amp; Transportation'!I22</f>
        <v>164610.82</v>
      </c>
      <c r="H27" s="798">
        <f>'Logistics &amp; Transportation'!I23</f>
        <v>194128.37333333332</v>
      </c>
      <c r="I27" s="798">
        <f>'Logistics &amp; Transportation'!I24</f>
        <v>232796.23666666666</v>
      </c>
      <c r="J27" s="803">
        <f>'Logistics &amp; Transportation'!I25</f>
        <v>297306.38666666666</v>
      </c>
      <c r="K27" s="34"/>
      <c r="M27" s="34"/>
      <c r="O27" s="34"/>
      <c r="Q27" s="127" t="s">
        <v>800</v>
      </c>
      <c r="R27" s="495">
        <f>T27/$C$7</f>
        <v>2.5739167032806929</v>
      </c>
      <c r="S27" s="496">
        <f>R27/$R$26</f>
        <v>0.13422864381485197</v>
      </c>
      <c r="T27" s="18">
        <f>'IMC Schedule'!U13</f>
        <v>489656.76579871244</v>
      </c>
    </row>
    <row r="28" spans="5:28" ht="14.4">
      <c r="F28" s="6"/>
      <c r="G28" s="8"/>
      <c r="H28" s="6"/>
      <c r="I28" s="8"/>
      <c r="J28" s="6"/>
      <c r="K28" s="8"/>
      <c r="L28" s="6"/>
      <c r="M28" s="8"/>
      <c r="N28" s="6"/>
      <c r="O28" s="8"/>
      <c r="Q28" s="127" t="s">
        <v>801</v>
      </c>
      <c r="R28" s="495">
        <f>T28/$C$7</f>
        <v>3.2372869773651951</v>
      </c>
      <c r="S28" s="496">
        <f>R28/$R$26</f>
        <v>0.16882311694755106</v>
      </c>
      <c r="T28" s="14">
        <f>'General and Administrative'!G17</f>
        <v>615855</v>
      </c>
    </row>
    <row r="29" spans="5:28" ht="14.4">
      <c r="E29" s="32"/>
      <c r="F29" s="789"/>
      <c r="G29" s="790"/>
      <c r="H29" s="789"/>
      <c r="I29" s="790"/>
      <c r="J29" s="789"/>
      <c r="K29" s="790"/>
      <c r="L29" s="789"/>
      <c r="M29" s="790"/>
      <c r="N29" s="789"/>
      <c r="O29" s="790"/>
      <c r="Q29" s="127" t="s">
        <v>802</v>
      </c>
      <c r="R29" s="6">
        <f>R26-R27-R28-R30</f>
        <v>6.3318216613413956</v>
      </c>
      <c r="S29" s="496">
        <f>R29/$R$26</f>
        <v>0.33020176348211572</v>
      </c>
      <c r="T29" s="18">
        <f>R29*$C$7</f>
        <v>1204553.0892102644</v>
      </c>
    </row>
    <row r="30" spans="5:28" ht="14.4">
      <c r="Q30" s="616" t="s">
        <v>804</v>
      </c>
      <c r="R30" s="998">
        <f>SUM(R33:R36)</f>
        <v>7.0325889690015142</v>
      </c>
      <c r="S30" s="999">
        <f>R30/$R$26</f>
        <v>0.36674647575548142</v>
      </c>
      <c r="T30" s="1000">
        <f>R30*$C$7</f>
        <v>1337865.6602849101</v>
      </c>
    </row>
    <row r="31" spans="5:28" ht="14.4">
      <c r="Q31" s="657"/>
      <c r="R31" s="655"/>
      <c r="S31" s="655"/>
      <c r="T31" s="656"/>
    </row>
    <row r="32" spans="5:28" ht="14.4">
      <c r="Q32" s="42" t="s">
        <v>805</v>
      </c>
      <c r="R32" s="9"/>
      <c r="S32" s="9"/>
      <c r="T32" s="542"/>
    </row>
    <row r="33" spans="17:20" ht="14.4">
      <c r="Q33" s="44" t="s">
        <v>806</v>
      </c>
      <c r="R33" s="6">
        <f>'Bill of Materials'!G34</f>
        <v>2.9227000000000003</v>
      </c>
      <c r="S33" s="23">
        <f>R33/$R$30</f>
        <v>0.4155937468950307</v>
      </c>
      <c r="T33" s="123">
        <f>R33*C7</f>
        <v>556008.6026000001</v>
      </c>
    </row>
    <row r="34" spans="17:20" ht="14.4">
      <c r="Q34" s="44" t="s">
        <v>793</v>
      </c>
      <c r="R34" s="21">
        <f>T34/$C$7</f>
        <v>1.6656873390174416</v>
      </c>
      <c r="S34" s="23">
        <f>R34/$R$30</f>
        <v>0.2368526507605542</v>
      </c>
      <c r="T34" s="543">
        <f>'Labor Planning'!G18</f>
        <v>316877.02800000005</v>
      </c>
    </row>
    <row r="35" spans="17:20" ht="14.4">
      <c r="Q35" s="44" t="s">
        <v>807</v>
      </c>
      <c r="R35" s="21">
        <f>T35/$C$7</f>
        <v>1.5789127812787671</v>
      </c>
      <c r="S35" s="23">
        <f>R35/$R$30</f>
        <v>0.22451373004143321</v>
      </c>
      <c r="T35" s="123">
        <f>'Manufacturing Overhead'!J15</f>
        <v>300369.20968491008</v>
      </c>
    </row>
    <row r="36" spans="17:20" ht="14.4">
      <c r="Q36" s="51" t="s">
        <v>808</v>
      </c>
      <c r="R36" s="544">
        <f>T36/$C$7</f>
        <v>0.86528884870530598</v>
      </c>
      <c r="S36" s="52">
        <f>R36/$R$30</f>
        <v>0.12303987230298198</v>
      </c>
      <c r="T36" s="124">
        <f>'Logistics &amp; Transportation'!I22</f>
        <v>164610.82</v>
      </c>
    </row>
    <row r="37" spans="17:20" ht="14.4"/>
    <row r="38" spans="17:20" ht="14.4"/>
    <row r="39" spans="17:20" ht="30" customHeight="1">
      <c r="Q39" s="1307" t="s">
        <v>77</v>
      </c>
      <c r="R39" s="1308"/>
      <c r="S39" s="1308"/>
      <c r="T39" s="1309"/>
    </row>
    <row r="40" spans="17:20" ht="14.4">
      <c r="Q40" s="49"/>
      <c r="R40" s="228" t="s">
        <v>466</v>
      </c>
      <c r="S40" s="228" t="s">
        <v>796</v>
      </c>
      <c r="T40" s="1199" t="s">
        <v>149</v>
      </c>
    </row>
    <row r="41" spans="17:20" ht="14.4">
      <c r="Q41" s="88" t="s">
        <v>797</v>
      </c>
      <c r="R41" s="6">
        <f>'Distribution Reach'!K48</f>
        <v>32.157939548744153</v>
      </c>
      <c r="S41" s="8">
        <v>1</v>
      </c>
      <c r="T41" s="11"/>
    </row>
    <row r="42" spans="17:20" ht="14.4">
      <c r="Q42" s="127" t="s">
        <v>798</v>
      </c>
      <c r="R42" s="6">
        <f>R41-R43</f>
        <v>13.515772669220951</v>
      </c>
      <c r="S42" s="8">
        <f>R42/R41</f>
        <v>0.42029349077959738</v>
      </c>
      <c r="T42" s="12"/>
    </row>
    <row r="43" spans="17:20" ht="14.4">
      <c r="Q43" s="994" t="s">
        <v>799</v>
      </c>
      <c r="R43" s="995">
        <f>'Distribution Reach'!I47</f>
        <v>18.642166879523202</v>
      </c>
      <c r="S43" s="996">
        <f>R43/R41</f>
        <v>0.57970650922040257</v>
      </c>
      <c r="T43" s="997"/>
    </row>
    <row r="44" spans="17:20" ht="14.4">
      <c r="Q44" s="127" t="s">
        <v>800</v>
      </c>
      <c r="R44" s="495">
        <f>T44/$C$8</f>
        <v>2.4812022726104166</v>
      </c>
      <c r="S44" s="496">
        <f>R44/$R$43</f>
        <v>0.13309623761258146</v>
      </c>
      <c r="T44" s="18">
        <f>'IMC Schedule'!V13</f>
        <v>625550.79216144781</v>
      </c>
    </row>
    <row r="45" spans="17:20" ht="14.4">
      <c r="Q45" s="127" t="s">
        <v>801</v>
      </c>
      <c r="R45" s="495">
        <f>T45/$C$8</f>
        <v>3.2193259451998286</v>
      </c>
      <c r="S45" s="496">
        <f>R45/$R$43</f>
        <v>0.17269054429160688</v>
      </c>
      <c r="T45" s="14">
        <f>'General and Administrative'!H17</f>
        <v>811643.58</v>
      </c>
    </row>
    <row r="46" spans="17:20" ht="14.4">
      <c r="Q46" s="127" t="s">
        <v>802</v>
      </c>
      <c r="R46" s="6">
        <f>R43-R44-R45-R47</f>
        <v>6.1679998292310572</v>
      </c>
      <c r="S46" s="496">
        <f>R46/$R$43</f>
        <v>0.33086281595333578</v>
      </c>
      <c r="T46" s="18">
        <f>R46*$C$8</f>
        <v>1555051.4449464171</v>
      </c>
    </row>
    <row r="47" spans="17:20" ht="14.4">
      <c r="Q47" s="190" t="s">
        <v>804</v>
      </c>
      <c r="R47" s="998">
        <f>SUM(R50:R53)</f>
        <v>6.7736388324818986</v>
      </c>
      <c r="S47" s="999">
        <f>R47/$R$43</f>
        <v>0.36335040214247577</v>
      </c>
      <c r="T47" s="1000">
        <f>R47*$C$8</f>
        <v>1707742.7278900063</v>
      </c>
    </row>
    <row r="48" spans="17:20" ht="14.4" customHeight="1">
      <c r="Q48" s="1310"/>
      <c r="R48" s="1311"/>
      <c r="S48" s="1311"/>
      <c r="T48" s="1312"/>
    </row>
    <row r="49" spans="17:20" ht="14.4">
      <c r="Q49" s="191" t="s">
        <v>805</v>
      </c>
      <c r="R49" s="9"/>
      <c r="S49" s="9"/>
      <c r="T49" s="542"/>
    </row>
    <row r="50" spans="17:20" ht="14.4">
      <c r="Q50" s="127" t="s">
        <v>806</v>
      </c>
      <c r="R50" s="6">
        <f>'Bill of Materials'!H34</f>
        <v>2.9227000000000003</v>
      </c>
      <c r="S50" s="23">
        <f>R50/$R$47</f>
        <v>0.4314815230455839</v>
      </c>
      <c r="T50" s="123">
        <f>R50*C8</f>
        <v>736859.43320000009</v>
      </c>
    </row>
    <row r="51" spans="17:20" ht="14.4">
      <c r="Q51" s="127" t="s">
        <v>793</v>
      </c>
      <c r="R51" s="21">
        <f>T51/$C$8</f>
        <v>1.610326322962446</v>
      </c>
      <c r="S51" s="23">
        <f>R51/$R$47</f>
        <v>0.23773430541356655</v>
      </c>
      <c r="T51" s="543">
        <f>'Labor Planning'!H18</f>
        <v>405989.03124000004</v>
      </c>
    </row>
    <row r="52" spans="17:20" ht="14.4">
      <c r="Q52" s="127" t="s">
        <v>807</v>
      </c>
      <c r="R52" s="21">
        <f>T52/$C$8</f>
        <v>1.4706162644047698</v>
      </c>
      <c r="S52" s="23">
        <f>R52/$R$47</f>
        <v>0.21710875066923635</v>
      </c>
      <c r="T52" s="123">
        <f>'Manufacturing Overhead'!K15</f>
        <v>370765.89011667296</v>
      </c>
    </row>
    <row r="53" spans="17:20" ht="14.4">
      <c r="Q53" s="128" t="s">
        <v>808</v>
      </c>
      <c r="R53" s="544">
        <f>T53/$C$8</f>
        <v>0.76999624511468256</v>
      </c>
      <c r="S53" s="52">
        <f>R53/$R$47</f>
        <v>0.11367542087161321</v>
      </c>
      <c r="T53" s="124">
        <f>'Logistics &amp; Transportation'!I23</f>
        <v>194128.37333333332</v>
      </c>
    </row>
    <row r="54" spans="17:20" ht="14.4"/>
    <row r="55" spans="17:20" ht="14.4"/>
    <row r="56" spans="17:20" ht="30" customHeight="1">
      <c r="Q56" s="1307" t="s">
        <v>78</v>
      </c>
      <c r="R56" s="1308"/>
      <c r="S56" s="1308"/>
      <c r="T56" s="1309"/>
    </row>
    <row r="57" spans="17:20" ht="14.4">
      <c r="Q57" s="49"/>
      <c r="R57" s="228" t="s">
        <v>466</v>
      </c>
      <c r="S57" s="228" t="s">
        <v>796</v>
      </c>
      <c r="T57" s="1199" t="s">
        <v>149</v>
      </c>
    </row>
    <row r="58" spans="17:20" ht="14.4">
      <c r="Q58" s="88" t="s">
        <v>797</v>
      </c>
      <c r="R58" s="6">
        <f>'Distribution Reach'!K70</f>
        <v>31.683918557601849</v>
      </c>
      <c r="S58" s="8">
        <v>1</v>
      </c>
      <c r="T58" s="11"/>
    </row>
    <row r="59" spans="17:20" ht="14.4">
      <c r="Q59" s="127" t="s">
        <v>798</v>
      </c>
      <c r="R59" s="6">
        <f>R58-R60</f>
        <v>13.831725123061794</v>
      </c>
      <c r="S59" s="8">
        <f>R59/R58</f>
        <v>0.43655348683956202</v>
      </c>
      <c r="T59" s="12"/>
    </row>
    <row r="60" spans="17:20" ht="14.4">
      <c r="Q60" s="994" t="s">
        <v>799</v>
      </c>
      <c r="R60" s="995">
        <f>'Distribution Reach'!I69</f>
        <v>17.852193434540055</v>
      </c>
      <c r="S60" s="996">
        <f>R60/R58</f>
        <v>0.56344651316043792</v>
      </c>
      <c r="T60" s="997"/>
    </row>
    <row r="61" spans="17:20" ht="14.4">
      <c r="Q61" s="127" t="s">
        <v>800</v>
      </c>
      <c r="R61" s="495">
        <f>T61/$C$9</f>
        <v>2.2234749510572089</v>
      </c>
      <c r="S61" s="496">
        <f>R61/$R$60</f>
        <v>0.12454911824758046</v>
      </c>
      <c r="T61" s="18">
        <f>'IMC Schedule'!W13</f>
        <v>738825.15063709358</v>
      </c>
    </row>
    <row r="62" spans="17:20" ht="14.4">
      <c r="Q62" s="127" t="s">
        <v>801</v>
      </c>
      <c r="R62" s="495">
        <f>T62/$C$9</f>
        <v>2.9843532893548894</v>
      </c>
      <c r="S62" s="496">
        <f>R62/$R$60</f>
        <v>0.16717011835536266</v>
      </c>
      <c r="T62" s="14">
        <f>'General and Administrative'!I17</f>
        <v>991652.84840000013</v>
      </c>
    </row>
    <row r="63" spans="17:20" ht="14.4">
      <c r="Q63" s="127" t="s">
        <v>802</v>
      </c>
      <c r="R63" s="6">
        <f>R60-R61-R62-R64</f>
        <v>6.0664433417234633</v>
      </c>
      <c r="S63" s="496">
        <f>R63/$R$60</f>
        <v>0.33981501287042037</v>
      </c>
      <c r="T63" s="18">
        <f>R63*$C$9</f>
        <v>2015782.0593612392</v>
      </c>
    </row>
    <row r="64" spans="17:20" ht="14.4">
      <c r="Q64" s="190" t="s">
        <v>804</v>
      </c>
      <c r="R64" s="998">
        <f>SUM(R67:R70)</f>
        <v>6.5779218524044936</v>
      </c>
      <c r="S64" s="999">
        <f>R64/$R$60</f>
        <v>0.36846575052663649</v>
      </c>
      <c r="T64" s="1000">
        <f>R64*$C$9</f>
        <v>2185738.1848043748</v>
      </c>
    </row>
    <row r="65" spans="17:20" ht="14.4" customHeight="1">
      <c r="Q65" s="1310"/>
      <c r="R65" s="1311"/>
      <c r="S65" s="1311"/>
      <c r="T65" s="1312"/>
    </row>
    <row r="66" spans="17:20" ht="14.4">
      <c r="Q66" s="130" t="s">
        <v>805</v>
      </c>
      <c r="R66" s="9"/>
      <c r="S66" s="9"/>
      <c r="T66" s="542"/>
    </row>
    <row r="67" spans="17:20" ht="14.4">
      <c r="Q67" s="127" t="s">
        <v>806</v>
      </c>
      <c r="R67" s="6">
        <f>'Bill of Materials'!I34</f>
        <v>2.9227000000000003</v>
      </c>
      <c r="S67" s="23">
        <f>R67/$R$64</f>
        <v>0.44431965985300304</v>
      </c>
      <c r="T67" s="123">
        <f>R67*C9</f>
        <v>971166.44680000015</v>
      </c>
    </row>
    <row r="68" spans="17:20" ht="14.4">
      <c r="Q68" s="127" t="s">
        <v>793</v>
      </c>
      <c r="R68" s="21">
        <f>T68/$C$9</f>
        <v>1.6286053404172336</v>
      </c>
      <c r="S68" s="23">
        <f>R68/$R$64</f>
        <v>0.24758660515583858</v>
      </c>
      <c r="T68" s="543">
        <f>'Labor Planning'!I18</f>
        <v>541159.49693520006</v>
      </c>
    </row>
    <row r="69" spans="17:20" ht="14.4">
      <c r="Q69" s="127" t="s">
        <v>807</v>
      </c>
      <c r="R69" s="21">
        <f>T69/$C$9</f>
        <v>1.3260223315071082</v>
      </c>
      <c r="S69" s="23">
        <f>R69/$R$64</f>
        <v>0.20158681742660017</v>
      </c>
      <c r="T69" s="123">
        <f>'Manufacturing Overhead'!L15</f>
        <v>440616.00440250797</v>
      </c>
    </row>
    <row r="70" spans="17:20" ht="14.4">
      <c r="Q70" s="128" t="s">
        <v>808</v>
      </c>
      <c r="R70" s="544">
        <f>T70/$C$9</f>
        <v>0.70059418048015154</v>
      </c>
      <c r="S70" s="52">
        <f>R70/$R$64</f>
        <v>0.10650691756455823</v>
      </c>
      <c r="T70" s="124">
        <f>'Logistics &amp; Transportation'!I24</f>
        <v>232796.23666666666</v>
      </c>
    </row>
    <row r="73" spans="17:20" ht="30" customHeight="1">
      <c r="Q73" s="1307" t="s">
        <v>79</v>
      </c>
      <c r="R73" s="1308"/>
      <c r="S73" s="1308"/>
      <c r="T73" s="1309"/>
    </row>
    <row r="74" spans="17:20" ht="15" customHeight="1">
      <c r="Q74" s="49"/>
      <c r="R74" s="228" t="s">
        <v>466</v>
      </c>
      <c r="S74" s="228" t="s">
        <v>796</v>
      </c>
      <c r="T74" s="1199" t="s">
        <v>149</v>
      </c>
    </row>
    <row r="75" spans="17:20" ht="15" customHeight="1">
      <c r="Q75" s="88" t="s">
        <v>797</v>
      </c>
      <c r="R75" s="6">
        <f>'Distribution Reach'!K88</f>
        <v>31.543757550085754</v>
      </c>
      <c r="S75" s="8">
        <v>1</v>
      </c>
      <c r="T75" s="11"/>
    </row>
    <row r="76" spans="17:20" ht="15" customHeight="1">
      <c r="Q76" s="127" t="s">
        <v>798</v>
      </c>
      <c r="R76" s="6">
        <f>R75-R77</f>
        <v>13.85596415815046</v>
      </c>
      <c r="S76" s="8">
        <f>R76/R75</f>
        <v>0.43926168707547625</v>
      </c>
      <c r="T76" s="12"/>
    </row>
    <row r="77" spans="17:20" ht="15" customHeight="1">
      <c r="Q77" s="994" t="s">
        <v>799</v>
      </c>
      <c r="R77" s="995">
        <f>'Distribution Reach'!I87</f>
        <v>17.687793391935294</v>
      </c>
      <c r="S77" s="996">
        <f>R77/R75</f>
        <v>0.5607383129245237</v>
      </c>
      <c r="T77" s="997"/>
    </row>
    <row r="78" spans="17:20" ht="15" customHeight="1">
      <c r="Q78" s="127" t="s">
        <v>800</v>
      </c>
      <c r="R78" s="495">
        <f>T78/$C$10</f>
        <v>1.8618937837050666</v>
      </c>
      <c r="S78" s="496">
        <f>R78/$R$77</f>
        <v>0.10526433356882112</v>
      </c>
      <c r="T78" s="18">
        <f>'IMC Schedule'!X13</f>
        <v>840790.27105796663</v>
      </c>
    </row>
    <row r="79" spans="17:20" ht="15" customHeight="1">
      <c r="Q79" s="127" t="s">
        <v>801</v>
      </c>
      <c r="R79" s="495">
        <f>T79/$C$10</f>
        <v>2.4938107225507</v>
      </c>
      <c r="S79" s="496">
        <f>R79/$R$77</f>
        <v>0.14099049368632646</v>
      </c>
      <c r="T79" s="14">
        <f>'General and Administrative'!J17</f>
        <v>1126150.058468</v>
      </c>
    </row>
    <row r="80" spans="17:20" ht="15" customHeight="1">
      <c r="Q80" s="127" t="s">
        <v>802</v>
      </c>
      <c r="R80" s="6">
        <f>R77-R78-R79-R81</f>
        <v>7.0453252770615578</v>
      </c>
      <c r="S80" s="496">
        <f>R80/$R$77</f>
        <v>0.39831567007526536</v>
      </c>
      <c r="T80" s="18">
        <f>R80*$C$10</f>
        <v>3181513.8979649041</v>
      </c>
    </row>
    <row r="81" spans="17:20" ht="15" customHeight="1">
      <c r="Q81" s="616" t="s">
        <v>804</v>
      </c>
      <c r="R81" s="998">
        <f>SUM(R84:R87)</f>
        <v>6.286763608617969</v>
      </c>
      <c r="S81" s="999">
        <f>R81/$R$77</f>
        <v>0.35542950266958701</v>
      </c>
      <c r="T81" s="1000">
        <f>R81*$C$10</f>
        <v>2838964.1368524851</v>
      </c>
    </row>
    <row r="82" spans="17:20" ht="15" customHeight="1">
      <c r="Q82" s="1310"/>
      <c r="R82" s="1311"/>
      <c r="S82" s="1311"/>
      <c r="T82" s="1312"/>
    </row>
    <row r="83" spans="17:20" ht="15" customHeight="1">
      <c r="Q83" s="191" t="s">
        <v>805</v>
      </c>
      <c r="R83" s="9"/>
      <c r="S83" s="9"/>
      <c r="T83" s="542"/>
    </row>
    <row r="84" spans="17:20" ht="15" customHeight="1">
      <c r="Q84" s="127" t="s">
        <v>806</v>
      </c>
      <c r="R84" s="6">
        <f>'Bill of Materials'!J34</f>
        <v>2.9227000000000003</v>
      </c>
      <c r="S84" s="23">
        <f>R84/$R$81</f>
        <v>0.46489739108267553</v>
      </c>
      <c r="T84" s="123">
        <f>R84*C10</f>
        <v>1319827.0206000002</v>
      </c>
    </row>
    <row r="85" spans="17:20" ht="15" customHeight="1">
      <c r="Q85" s="127" t="s">
        <v>793</v>
      </c>
      <c r="R85" s="21">
        <f>T85/$C$10</f>
        <v>1.5148541347098308</v>
      </c>
      <c r="S85" s="23">
        <f>R85/$R$81</f>
        <v>0.24095929623204712</v>
      </c>
      <c r="T85" s="543">
        <f>'Labor Planning'!J18</f>
        <v>684074.80044399598</v>
      </c>
    </row>
    <row r="86" spans="17:20" ht="15" customHeight="1">
      <c r="Q86" s="127" t="s">
        <v>807</v>
      </c>
      <c r="R86" s="21">
        <f>T86/$C$10</f>
        <v>1.1908373063829998</v>
      </c>
      <c r="S86" s="23">
        <f>R86/$R$81</f>
        <v>0.18941976834481036</v>
      </c>
      <c r="T86" s="123">
        <f>'Manufacturing Overhead'!M15</f>
        <v>537755.92914182227</v>
      </c>
    </row>
    <row r="87" spans="17:20" ht="15" customHeight="1">
      <c r="Q87" s="128" t="s">
        <v>808</v>
      </c>
      <c r="R87" s="544">
        <f>T87/$C$10</f>
        <v>0.65837216752513772</v>
      </c>
      <c r="S87" s="52">
        <f>R87/$R$81</f>
        <v>0.10472354434046692</v>
      </c>
      <c r="T87" s="124">
        <f>'Logistics &amp; Transportation'!I25</f>
        <v>297306.38666666666</v>
      </c>
    </row>
  </sheetData>
  <mergeCells count="24">
    <mergeCell ref="Q82:T82"/>
    <mergeCell ref="E15:E16"/>
    <mergeCell ref="E22:E23"/>
    <mergeCell ref="N21:O21"/>
    <mergeCell ref="F15:G15"/>
    <mergeCell ref="H15:I15"/>
    <mergeCell ref="J15:K15"/>
    <mergeCell ref="L15:M15"/>
    <mergeCell ref="N15:O15"/>
    <mergeCell ref="L21:M21"/>
    <mergeCell ref="Q5:T5"/>
    <mergeCell ref="Q22:T22"/>
    <mergeCell ref="Q39:T39"/>
    <mergeCell ref="Q56:T56"/>
    <mergeCell ref="Q73:T73"/>
    <mergeCell ref="Q48:T48"/>
    <mergeCell ref="Q65:T65"/>
    <mergeCell ref="B5:C5"/>
    <mergeCell ref="L5:M5"/>
    <mergeCell ref="N5:O5"/>
    <mergeCell ref="E5:E6"/>
    <mergeCell ref="F5:G5"/>
    <mergeCell ref="H5:I5"/>
    <mergeCell ref="J5:K5"/>
  </mergeCells>
  <hyperlinks>
    <hyperlink ref="A3" location="'Index'!A1" display="Back to Index" xr:uid="{E0B8ADBB-7AB6-4EA6-AAC2-9C6AFBD51FF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3C24-AA1E-4802-BBA5-25376B9CC688}">
  <sheetPr>
    <tabColor rgb="FF00B0F0"/>
  </sheetPr>
  <dimension ref="A1:W35"/>
  <sheetViews>
    <sheetView topLeftCell="D10" workbookViewId="0">
      <selection activeCell="C11" sqref="C11"/>
    </sheetView>
  </sheetViews>
  <sheetFormatPr defaultColWidth="8.88671875" defaultRowHeight="15" customHeight="1"/>
  <cols>
    <col min="2" max="2" width="30.109375" customWidth="1"/>
    <col min="3" max="4" width="12.6640625" customWidth="1"/>
    <col min="5" max="5" width="27.44140625" customWidth="1"/>
    <col min="6" max="6" width="16.6640625" style="6" customWidth="1"/>
    <col min="7" max="7" width="14.44140625" customWidth="1"/>
    <col min="8" max="8" width="13.33203125" customWidth="1"/>
    <col min="9" max="9" width="17.33203125" customWidth="1"/>
    <col min="10" max="10" width="20.109375" customWidth="1"/>
    <col min="11" max="11" width="19" customWidth="1"/>
    <col min="12" max="12" width="16" customWidth="1"/>
    <col min="13" max="13" width="19.44140625" customWidth="1"/>
    <col min="14" max="14" width="23.109375" customWidth="1"/>
    <col min="15" max="15" width="13.88671875" customWidth="1"/>
    <col min="18" max="18" width="22.109375" customWidth="1"/>
    <col min="19" max="20" width="12" bestFit="1" customWidth="1"/>
    <col min="21" max="23" width="12.5546875" bestFit="1" customWidth="1"/>
    <col min="16384" max="16384" width="8.88671875" bestFit="1" customWidth="1"/>
  </cols>
  <sheetData>
    <row r="1" spans="1:23" ht="28.8">
      <c r="A1" s="1" t="s">
        <v>28</v>
      </c>
      <c r="C1" s="1"/>
      <c r="D1" s="1"/>
    </row>
    <row r="2" spans="1:23" ht="28.8">
      <c r="A2" s="1145" t="s">
        <v>811</v>
      </c>
      <c r="C2" s="1"/>
      <c r="D2" s="1"/>
    </row>
    <row r="3" spans="1:23" ht="15" customHeight="1">
      <c r="A3" s="284" t="s">
        <v>32</v>
      </c>
      <c r="C3" s="284"/>
      <c r="D3" s="284"/>
    </row>
    <row r="4" spans="1:23" ht="14.4">
      <c r="R4" s="98"/>
      <c r="S4" s="100" t="s">
        <v>157</v>
      </c>
      <c r="T4" s="100" t="s">
        <v>158</v>
      </c>
      <c r="U4" s="100" t="s">
        <v>159</v>
      </c>
      <c r="V4" s="100" t="s">
        <v>160</v>
      </c>
      <c r="W4" s="103" t="s">
        <v>161</v>
      </c>
    </row>
    <row r="5" spans="1:23" ht="14.4" customHeight="1">
      <c r="B5" s="1261" t="s">
        <v>299</v>
      </c>
      <c r="C5" s="1265"/>
      <c r="E5" s="1185" t="s">
        <v>614</v>
      </c>
      <c r="F5" s="966" t="s">
        <v>812</v>
      </c>
      <c r="G5" s="1184" t="s">
        <v>813</v>
      </c>
      <c r="H5" s="1184" t="s">
        <v>682</v>
      </c>
      <c r="I5" s="1184" t="s">
        <v>772</v>
      </c>
      <c r="J5" s="1184" t="s">
        <v>814</v>
      </c>
      <c r="K5" s="1184" t="s">
        <v>815</v>
      </c>
      <c r="L5" s="1184" t="s">
        <v>816</v>
      </c>
      <c r="M5" s="1184" t="s">
        <v>817</v>
      </c>
      <c r="N5" s="1237" t="s">
        <v>818</v>
      </c>
      <c r="O5" s="1265"/>
      <c r="R5" s="88" t="s">
        <v>819</v>
      </c>
      <c r="S5" s="617">
        <f>SUM($K$6,$K$7,$K$8)</f>
        <v>2.3991000000000002</v>
      </c>
      <c r="T5" s="617">
        <f>SUM($K$6,$K$7,$K$8)</f>
        <v>2.3991000000000002</v>
      </c>
      <c r="U5" s="617">
        <f>SUM($K$6,$K$7,$K$8)</f>
        <v>2.3991000000000002</v>
      </c>
      <c r="V5" s="617">
        <f>SUM($K$6,$K$7,$K$8)</f>
        <v>2.3991000000000002</v>
      </c>
      <c r="W5" s="828">
        <f>SUM($K$6,$K$7,$K$8)</f>
        <v>2.3991000000000002</v>
      </c>
    </row>
    <row r="6" spans="1:23" ht="14.4">
      <c r="B6" s="73" t="s">
        <v>417</v>
      </c>
      <c r="C6" s="928">
        <f>'Operations Assumptions'!C26</f>
        <v>30</v>
      </c>
      <c r="E6" s="321" t="s">
        <v>629</v>
      </c>
      <c r="F6" s="886">
        <v>541</v>
      </c>
      <c r="G6" s="887">
        <v>500</v>
      </c>
      <c r="H6" s="856" t="s">
        <v>820</v>
      </c>
      <c r="I6" s="888">
        <f>F6/G6</f>
        <v>1.0820000000000001</v>
      </c>
      <c r="J6" s="887">
        <v>0.5</v>
      </c>
      <c r="K6" s="888">
        <f t="shared" ref="K6:K13" si="0">I6*J6*(1+$C$8)</f>
        <v>0.59510000000000007</v>
      </c>
      <c r="L6" s="887">
        <f>$C$7</f>
        <v>4</v>
      </c>
      <c r="M6" s="856" t="s">
        <v>821</v>
      </c>
      <c r="N6" s="856" t="s">
        <v>822</v>
      </c>
      <c r="O6" s="857"/>
      <c r="R6" s="128" t="s">
        <v>823</v>
      </c>
      <c r="S6" s="129">
        <f>SUM($K$9,$K$10,$K$12,$K$13)</f>
        <v>0.55000000000000004</v>
      </c>
      <c r="T6" s="129">
        <f>SUM($K$9,$K$11,$K$12,$K$13)</f>
        <v>0.52360000000000007</v>
      </c>
      <c r="U6" s="129">
        <f>SUM($K$9,$K$11,$K$12,$K$13)</f>
        <v>0.52360000000000007</v>
      </c>
      <c r="V6" s="129">
        <f>SUM($K$9,$K$11,$K$12,$K$13)</f>
        <v>0.52360000000000007</v>
      </c>
      <c r="W6" s="548">
        <f>SUM($K$9,$K$11,$K$12,$K$13)</f>
        <v>0.52360000000000007</v>
      </c>
    </row>
    <row r="7" spans="1:23" ht="14.4">
      <c r="B7" s="73" t="s">
        <v>418</v>
      </c>
      <c r="C7" s="946">
        <f>'Operations Assumptions'!C27</f>
        <v>4</v>
      </c>
      <c r="E7" s="10" t="s">
        <v>824</v>
      </c>
      <c r="F7" s="889">
        <f t="shared" ref="F7:F13" si="1">G7*I7</f>
        <v>260</v>
      </c>
      <c r="G7" s="890">
        <v>1000</v>
      </c>
      <c r="H7" t="s">
        <v>825</v>
      </c>
      <c r="I7" s="606">
        <v>0.26</v>
      </c>
      <c r="J7" s="891">
        <v>2</v>
      </c>
      <c r="K7" s="606">
        <f t="shared" si="0"/>
        <v>0.57200000000000006</v>
      </c>
      <c r="L7" s="890">
        <f>$C$7</f>
        <v>4</v>
      </c>
      <c r="M7" t="s">
        <v>826</v>
      </c>
      <c r="N7" t="s">
        <v>827</v>
      </c>
      <c r="O7" s="892" t="s">
        <v>828</v>
      </c>
      <c r="P7" s="284"/>
    </row>
    <row r="8" spans="1:23" ht="14.4">
      <c r="B8" s="51" t="s">
        <v>829</v>
      </c>
      <c r="C8" s="929">
        <f>'Operations Assumptions'!C28</f>
        <v>0.1</v>
      </c>
      <c r="E8" s="10" t="s">
        <v>639</v>
      </c>
      <c r="F8" s="889">
        <f>G8*I8</f>
        <v>28.000000000000004</v>
      </c>
      <c r="G8" s="890">
        <v>100</v>
      </c>
      <c r="H8" t="s">
        <v>830</v>
      </c>
      <c r="I8" s="606">
        <v>0.28000000000000003</v>
      </c>
      <c r="J8" s="891">
        <v>4</v>
      </c>
      <c r="K8" s="606">
        <f t="shared" si="0"/>
        <v>1.2320000000000002</v>
      </c>
      <c r="L8" s="890">
        <f>$C$7</f>
        <v>4</v>
      </c>
      <c r="M8" t="s">
        <v>831</v>
      </c>
      <c r="N8" t="s">
        <v>832</v>
      </c>
      <c r="O8" s="893" t="s">
        <v>828</v>
      </c>
      <c r="P8" s="637"/>
    </row>
    <row r="9" spans="1:23" ht="14.4" customHeight="1">
      <c r="E9" s="10" t="s">
        <v>637</v>
      </c>
      <c r="F9" s="889">
        <f>G9*I9</f>
        <v>90</v>
      </c>
      <c r="G9" s="890">
        <v>3000</v>
      </c>
      <c r="H9" t="s">
        <v>833</v>
      </c>
      <c r="I9" s="606">
        <v>0.03</v>
      </c>
      <c r="J9" s="891">
        <v>4</v>
      </c>
      <c r="K9" s="606">
        <f t="shared" si="0"/>
        <v>0.13200000000000001</v>
      </c>
      <c r="L9" s="890">
        <f>$C$6</f>
        <v>30</v>
      </c>
      <c r="M9" t="s">
        <v>433</v>
      </c>
      <c r="N9" t="s">
        <v>834</v>
      </c>
      <c r="O9" s="892" t="s">
        <v>828</v>
      </c>
      <c r="P9" s="636"/>
      <c r="R9" s="98"/>
      <c r="S9" s="75" t="s">
        <v>157</v>
      </c>
      <c r="T9" s="75" t="s">
        <v>158</v>
      </c>
      <c r="U9" s="75" t="s">
        <v>159</v>
      </c>
      <c r="V9" s="75" t="s">
        <v>160</v>
      </c>
      <c r="W9" s="76" t="s">
        <v>161</v>
      </c>
    </row>
    <row r="10" spans="1:23" ht="14.4">
      <c r="E10" s="10" t="s">
        <v>641</v>
      </c>
      <c r="F10" s="889">
        <f t="shared" si="1"/>
        <v>4000</v>
      </c>
      <c r="G10" s="890">
        <v>1000</v>
      </c>
      <c r="H10" t="s">
        <v>835</v>
      </c>
      <c r="I10" s="606">
        <v>4</v>
      </c>
      <c r="J10" s="894">
        <v>0.02</v>
      </c>
      <c r="K10" s="606">
        <f t="shared" si="0"/>
        <v>8.8000000000000009E-2</v>
      </c>
      <c r="L10" s="890">
        <f>$C$6</f>
        <v>30</v>
      </c>
      <c r="M10" t="s">
        <v>433</v>
      </c>
      <c r="N10" t="s">
        <v>834</v>
      </c>
      <c r="O10" s="892" t="s">
        <v>828</v>
      </c>
      <c r="P10" s="63"/>
      <c r="R10" s="88" t="s">
        <v>376</v>
      </c>
      <c r="S10">
        <f>'BASES Model'!C16</f>
        <v>104132</v>
      </c>
      <c r="T10">
        <f>'BASES Model'!D16</f>
        <v>190238</v>
      </c>
      <c r="U10">
        <f>'BASES Model'!E16</f>
        <v>252116</v>
      </c>
      <c r="V10">
        <f>'BASES Model'!F16</f>
        <v>332284</v>
      </c>
      <c r="W10" s="50">
        <f>'BASES Model'!G16</f>
        <v>451578</v>
      </c>
    </row>
    <row r="11" spans="1:23" ht="14.4">
      <c r="E11" s="10" t="s">
        <v>641</v>
      </c>
      <c r="F11" s="889">
        <f t="shared" si="1"/>
        <v>8400</v>
      </c>
      <c r="G11" s="890">
        <v>3000</v>
      </c>
      <c r="H11" t="s">
        <v>835</v>
      </c>
      <c r="I11" s="606">
        <v>2.8</v>
      </c>
      <c r="J11" s="894">
        <v>0.02</v>
      </c>
      <c r="K11" s="606">
        <f t="shared" si="0"/>
        <v>6.1600000000000002E-2</v>
      </c>
      <c r="L11" s="890">
        <f>$C$6</f>
        <v>30</v>
      </c>
      <c r="M11" t="s">
        <v>433</v>
      </c>
      <c r="N11" t="s">
        <v>834</v>
      </c>
      <c r="O11" s="892"/>
      <c r="P11" s="63"/>
      <c r="R11" s="127" t="s">
        <v>836</v>
      </c>
      <c r="S11" s="6">
        <f>SUM(S12:S13)</f>
        <v>3.2440100000000003</v>
      </c>
      <c r="T11" s="6">
        <f>SUM(T12:T13)</f>
        <v>3.2149700000000005</v>
      </c>
      <c r="U11" s="6">
        <f>SUM(U12:U13)</f>
        <v>3.2149700000000005</v>
      </c>
      <c r="V11" s="6">
        <f>SUM(V12:V13)</f>
        <v>3.2149700000000005</v>
      </c>
      <c r="W11" s="307">
        <f>SUM(W12:W13)</f>
        <v>3.2149700000000005</v>
      </c>
    </row>
    <row r="12" spans="1:23" ht="14.4">
      <c r="E12" s="10" t="s">
        <v>643</v>
      </c>
      <c r="F12" s="889">
        <f t="shared" si="1"/>
        <v>60</v>
      </c>
      <c r="G12" s="890">
        <v>1000</v>
      </c>
      <c r="H12" t="s">
        <v>837</v>
      </c>
      <c r="I12" s="606">
        <v>0.06</v>
      </c>
      <c r="J12" s="891">
        <v>2</v>
      </c>
      <c r="K12" s="606">
        <f t="shared" si="0"/>
        <v>0.13200000000000001</v>
      </c>
      <c r="L12" s="890">
        <f>$C$6</f>
        <v>30</v>
      </c>
      <c r="M12" t="s">
        <v>433</v>
      </c>
      <c r="N12" t="s">
        <v>838</v>
      </c>
      <c r="O12" s="892" t="s">
        <v>828</v>
      </c>
      <c r="P12" s="63"/>
      <c r="R12" s="127" t="s">
        <v>839</v>
      </c>
      <c r="S12" s="6">
        <f t="shared" ref="S12:W13" si="2">S5*1.1</f>
        <v>2.6390100000000003</v>
      </c>
      <c r="T12" s="6">
        <f t="shared" si="2"/>
        <v>2.6390100000000003</v>
      </c>
      <c r="U12" s="6">
        <f t="shared" si="2"/>
        <v>2.6390100000000003</v>
      </c>
      <c r="V12" s="6">
        <f t="shared" si="2"/>
        <v>2.6390100000000003</v>
      </c>
      <c r="W12" s="307">
        <f t="shared" si="2"/>
        <v>2.6390100000000003</v>
      </c>
    </row>
    <row r="13" spans="1:23" ht="14.4">
      <c r="B13" s="67"/>
      <c r="C13" s="67"/>
      <c r="D13" s="67"/>
      <c r="E13" s="15" t="s">
        <v>840</v>
      </c>
      <c r="F13" s="895">
        <f t="shared" si="1"/>
        <v>540</v>
      </c>
      <c r="G13" s="896">
        <v>3000</v>
      </c>
      <c r="H13" s="863" t="s">
        <v>841</v>
      </c>
      <c r="I13" s="897">
        <v>0.18</v>
      </c>
      <c r="J13" s="898">
        <v>1</v>
      </c>
      <c r="K13" s="897">
        <f t="shared" si="0"/>
        <v>0.19800000000000001</v>
      </c>
      <c r="L13" s="896">
        <f>$C$6</f>
        <v>30</v>
      </c>
      <c r="M13" s="863" t="s">
        <v>433</v>
      </c>
      <c r="N13" s="863" t="s">
        <v>834</v>
      </c>
      <c r="O13" s="899" t="s">
        <v>828</v>
      </c>
      <c r="P13" s="63"/>
      <c r="R13" s="127" t="s">
        <v>842</v>
      </c>
      <c r="S13" s="6">
        <f t="shared" si="2"/>
        <v>0.60500000000000009</v>
      </c>
      <c r="T13" s="6">
        <f t="shared" si="2"/>
        <v>0.57596000000000014</v>
      </c>
      <c r="U13" s="6">
        <f t="shared" si="2"/>
        <v>0.57596000000000014</v>
      </c>
      <c r="V13" s="6">
        <f t="shared" si="2"/>
        <v>0.57596000000000014</v>
      </c>
      <c r="W13" s="307">
        <f t="shared" si="2"/>
        <v>0.57596000000000014</v>
      </c>
    </row>
    <row r="14" spans="1:23" ht="14.4">
      <c r="B14" s="67"/>
      <c r="C14" s="67"/>
      <c r="D14" s="67"/>
      <c r="I14" s="6"/>
      <c r="K14" s="606"/>
      <c r="O14" s="607"/>
      <c r="P14" s="63"/>
      <c r="R14" s="127"/>
      <c r="W14" s="50"/>
    </row>
    <row r="15" spans="1:23" ht="14.4">
      <c r="E15" s="1261" t="s">
        <v>621</v>
      </c>
      <c r="F15" s="1272"/>
      <c r="G15" s="1272"/>
      <c r="H15" s="1272"/>
      <c r="I15" s="1272"/>
      <c r="J15" s="1262"/>
      <c r="K15" s="606"/>
      <c r="P15" s="63"/>
      <c r="R15" s="127" t="s">
        <v>843</v>
      </c>
      <c r="S15" s="6">
        <f>S19/S10</f>
        <v>1.3412975838359007</v>
      </c>
      <c r="T15" s="6">
        <f>T19/T10</f>
        <v>1.101294168357531</v>
      </c>
      <c r="U15" s="6">
        <f>U19/U10</f>
        <v>1.2326476701201035</v>
      </c>
      <c r="V15" s="6">
        <f>V19/V10</f>
        <v>1.3871194520350061</v>
      </c>
      <c r="W15" s="307">
        <f>W19/W10</f>
        <v>1.329979759864298</v>
      </c>
    </row>
    <row r="16" spans="1:23" ht="14.4">
      <c r="E16" s="191" t="s">
        <v>476</v>
      </c>
      <c r="F16" s="622" t="s">
        <v>75</v>
      </c>
      <c r="G16" s="622" t="s">
        <v>76</v>
      </c>
      <c r="H16" s="622" t="s">
        <v>77</v>
      </c>
      <c r="I16" s="622" t="s">
        <v>78</v>
      </c>
      <c r="J16" s="623" t="s">
        <v>79</v>
      </c>
      <c r="R16" s="127" t="s">
        <v>844</v>
      </c>
      <c r="S16" s="6">
        <f>S20/S10</f>
        <v>0.74730428686666917</v>
      </c>
      <c r="T16" s="6">
        <f>T20/T10</f>
        <v>0.62650556974155625</v>
      </c>
      <c r="U16" s="6">
        <f>U20/U10</f>
        <v>0.56276314954944828</v>
      </c>
      <c r="V16" s="6">
        <f>V20/V10</f>
        <v>0.48302654954843199</v>
      </c>
      <c r="W16" s="307">
        <f>W20/W10</f>
        <v>0.43064518439836974</v>
      </c>
    </row>
    <row r="17" spans="5:23" ht="14.4">
      <c r="E17" s="127" t="s">
        <v>629</v>
      </c>
      <c r="F17" s="460">
        <f>'Inventory Management'!AB11</f>
        <v>5027.4475816764716</v>
      </c>
      <c r="G17" s="460" cm="1">
        <f t="array" ref="G17:G23">'Inventory Management'!AB26:AB32</f>
        <v>6795.2287646857831</v>
      </c>
      <c r="H17" s="460" cm="1">
        <f t="array" ref="H17:H23">'Inventory Management'!AB41:AB47</f>
        <v>7822.6815365131133</v>
      </c>
      <c r="I17" s="460" cm="1">
        <f t="array" ref="I17:I23">'Inventory Management'!AB56:AB62</f>
        <v>8980.6994245373971</v>
      </c>
      <c r="J17" s="638" cm="1">
        <f t="array" ref="J17:J23">'Inventory Management'!AB71:AB77</f>
        <v>10469.400992361321</v>
      </c>
      <c r="R17" s="127" t="s">
        <v>845</v>
      </c>
      <c r="S17" s="6">
        <f>S21/S10</f>
        <v>0.70817126339645842</v>
      </c>
      <c r="T17" s="6">
        <f>T21/T10</f>
        <v>0.64797569360485285</v>
      </c>
      <c r="U17" s="6">
        <f>U21/U10</f>
        <v>0.69808379211685623</v>
      </c>
      <c r="V17" s="6">
        <f>V21/V10</f>
        <v>0.65713871266747714</v>
      </c>
      <c r="W17" s="307">
        <f>W21/W10</f>
        <v>0.62907958315064061</v>
      </c>
    </row>
    <row r="18" spans="5:23" ht="14.4">
      <c r="E18" s="127" t="s">
        <v>633</v>
      </c>
      <c r="F18" s="460">
        <f>'Inventory Management'!AB12</f>
        <v>10255.917237567706</v>
      </c>
      <c r="G18" s="460">
        <v>13862.164187441871</v>
      </c>
      <c r="H18" s="460">
        <v>15958.152344887119</v>
      </c>
      <c r="I18" s="460">
        <v>18320.491370058939</v>
      </c>
      <c r="J18" s="638">
        <v>21357.420114316101</v>
      </c>
      <c r="R18" s="127"/>
      <c r="W18" s="50"/>
    </row>
    <row r="19" spans="5:23" ht="15" customHeight="1">
      <c r="E19" s="127" t="s">
        <v>637</v>
      </c>
      <c r="F19" s="460">
        <f>'Inventory Management'!AB13</f>
        <v>30192.602835682555</v>
      </c>
      <c r="G19" s="460">
        <v>40809.106397753487</v>
      </c>
      <c r="H19" s="460">
        <v>46979.528459490677</v>
      </c>
      <c r="I19" s="460">
        <v>53934.06624466119</v>
      </c>
      <c r="J19" s="638">
        <v>62874.54239044671</v>
      </c>
      <c r="R19" s="127" t="s">
        <v>846</v>
      </c>
      <c r="S19" s="34">
        <v>139672</v>
      </c>
      <c r="T19" s="34">
        <v>209508</v>
      </c>
      <c r="U19" s="34">
        <v>310770.2</v>
      </c>
      <c r="V19" s="34">
        <v>460917.6</v>
      </c>
      <c r="W19" s="123">
        <v>600589.6</v>
      </c>
    </row>
    <row r="20" spans="5:23" ht="15" customHeight="1">
      <c r="E20" s="127" t="s">
        <v>639</v>
      </c>
      <c r="F20" s="460">
        <f>'Inventory Management'!AB14</f>
        <v>9882.8491373038305</v>
      </c>
      <c r="G20" s="460">
        <v>13357.915650800858</v>
      </c>
      <c r="H20" s="460">
        <v>15377.660377067725</v>
      </c>
      <c r="I20" s="460">
        <v>17654.067221637324</v>
      </c>
      <c r="J20" s="638">
        <v>20580.524984995125</v>
      </c>
      <c r="R20" s="127" t="s">
        <v>847</v>
      </c>
      <c r="S20" s="34">
        <v>77818.289999999994</v>
      </c>
      <c r="T20" s="34">
        <v>119185.16657649417</v>
      </c>
      <c r="U20" s="34">
        <v>141881.5942118087</v>
      </c>
      <c r="V20" s="34">
        <v>160501.99399015118</v>
      </c>
      <c r="W20" s="123">
        <v>194469.89108024701</v>
      </c>
    </row>
    <row r="21" spans="5:23" ht="15" customHeight="1">
      <c r="E21" s="127" t="s">
        <v>641</v>
      </c>
      <c r="F21" s="460">
        <f>'Inventory Management'!AB15</f>
        <v>2614.756106207517</v>
      </c>
      <c r="G21" s="639">
        <v>4224.1438248941113</v>
      </c>
      <c r="H21" s="460">
        <v>4862.843187605773</v>
      </c>
      <c r="I21" s="460">
        <v>5582.7062386094558</v>
      </c>
      <c r="J21" s="638">
        <v>6508.1334394587266</v>
      </c>
      <c r="R21" s="127" t="s">
        <v>848</v>
      </c>
      <c r="S21" s="34">
        <v>73743.290000000008</v>
      </c>
      <c r="T21" s="34">
        <v>123269.6</v>
      </c>
      <c r="U21" s="34">
        <v>175998.09333333332</v>
      </c>
      <c r="V21" s="34">
        <v>218356.68</v>
      </c>
      <c r="W21" s="123">
        <v>284078.5</v>
      </c>
    </row>
    <row r="22" spans="5:23" ht="15" customHeight="1">
      <c r="E22" s="127" t="s">
        <v>643</v>
      </c>
      <c r="F22" s="460">
        <f>'Inventory Management'!AB16</f>
        <v>21349.39420678332</v>
      </c>
      <c r="G22" s="460">
        <v>28856.395868014813</v>
      </c>
      <c r="H22" s="460">
        <v>33219.543150652258</v>
      </c>
      <c r="I22" s="640">
        <v>38137.143978564396</v>
      </c>
      <c r="J22" s="638">
        <v>44459.015288285911</v>
      </c>
      <c r="R22" s="190" t="s">
        <v>849</v>
      </c>
      <c r="S22" s="952">
        <f>S11*S10</f>
        <v>337805.24932</v>
      </c>
      <c r="T22" s="952">
        <f>T11*T10</f>
        <v>611609.46286000009</v>
      </c>
      <c r="U22" s="952">
        <f>U11*U10</f>
        <v>810545.37652000017</v>
      </c>
      <c r="V22" s="952">
        <f>V11*V10</f>
        <v>1068283.0914800002</v>
      </c>
      <c r="W22" s="953">
        <f>W11*W10</f>
        <v>1451809.7226600002</v>
      </c>
    </row>
    <row r="23" spans="5:23" ht="15" customHeight="1">
      <c r="E23" s="128" t="s">
        <v>645</v>
      </c>
      <c r="F23" s="624">
        <f>'Inventory Management'!AB17</f>
        <v>12326.078492321785</v>
      </c>
      <c r="G23" s="624">
        <v>16660.247922240756</v>
      </c>
      <c r="H23" s="624">
        <v>19179.31218038547</v>
      </c>
      <c r="I23" s="624">
        <v>22018.49034214767</v>
      </c>
      <c r="J23" s="641">
        <v>25668.424444597556</v>
      </c>
      <c r="R23" s="127"/>
      <c r="W23" s="50"/>
    </row>
    <row r="24" spans="5:23" ht="15" customHeight="1">
      <c r="I24" s="284"/>
      <c r="R24" s="190" t="s">
        <v>850</v>
      </c>
      <c r="S24" s="948">
        <f>S13*S10</f>
        <v>62999.860000000008</v>
      </c>
      <c r="T24" s="948">
        <f t="shared" ref="T24:W24" si="3">T13*T10</f>
        <v>109569.47848000002</v>
      </c>
      <c r="U24" s="948">
        <f t="shared" si="3"/>
        <v>145208.73136000003</v>
      </c>
      <c r="V24" s="948">
        <f t="shared" si="3"/>
        <v>191382.29264000006</v>
      </c>
      <c r="W24" s="949">
        <f t="shared" si="3"/>
        <v>260090.86488000007</v>
      </c>
    </row>
    <row r="25" spans="5:23" ht="15" customHeight="1">
      <c r="E25" s="1239" t="s">
        <v>851</v>
      </c>
      <c r="F25" s="1237"/>
      <c r="G25" s="1237"/>
      <c r="H25" s="1237"/>
      <c r="I25" s="1237"/>
      <c r="J25" s="1265"/>
      <c r="R25" s="616" t="s">
        <v>852</v>
      </c>
      <c r="S25" s="950">
        <f>SUM(S12,S15,S16,S17)*S10</f>
        <v>566038.96932000003</v>
      </c>
      <c r="T25" s="950">
        <f t="shared" ref="T25:W25" si="4">SUM(T12,T15,T16,T17)*T10</f>
        <v>954002.75095649413</v>
      </c>
      <c r="U25" s="950">
        <f t="shared" si="4"/>
        <v>1293986.5327051422</v>
      </c>
      <c r="V25" s="950">
        <f t="shared" si="4"/>
        <v>1716677.0728301511</v>
      </c>
      <c r="W25" s="951">
        <f t="shared" si="4"/>
        <v>2270856.8488602471</v>
      </c>
    </row>
    <row r="26" spans="5:23" ht="15" customHeight="1">
      <c r="E26" s="878" t="s">
        <v>476</v>
      </c>
      <c r="F26" s="879" t="s">
        <v>75</v>
      </c>
      <c r="G26" s="879" t="s">
        <v>76</v>
      </c>
      <c r="H26" s="879" t="s">
        <v>77</v>
      </c>
      <c r="I26" s="879" t="s">
        <v>78</v>
      </c>
      <c r="J26" s="880" t="s">
        <v>79</v>
      </c>
    </row>
    <row r="27" spans="5:23" ht="15" customHeight="1">
      <c r="E27" s="881" t="s">
        <v>629</v>
      </c>
      <c r="F27" s="109">
        <f>K6</f>
        <v>0.59510000000000007</v>
      </c>
      <c r="G27" s="109">
        <f>K6</f>
        <v>0.59510000000000007</v>
      </c>
      <c r="H27" s="109">
        <f>K6</f>
        <v>0.59510000000000007</v>
      </c>
      <c r="I27" s="109">
        <f>K6</f>
        <v>0.59510000000000007</v>
      </c>
      <c r="J27" s="882">
        <f>K6</f>
        <v>0.59510000000000007</v>
      </c>
    </row>
    <row r="28" spans="5:23" ht="15" customHeight="1">
      <c r="E28" s="881" t="s">
        <v>633</v>
      </c>
      <c r="F28" s="109">
        <f>K7</f>
        <v>0.57200000000000006</v>
      </c>
      <c r="G28" s="109">
        <f>K7</f>
        <v>0.57200000000000006</v>
      </c>
      <c r="H28" s="109">
        <f>K7</f>
        <v>0.57200000000000006</v>
      </c>
      <c r="I28" s="109">
        <f>K7</f>
        <v>0.57200000000000006</v>
      </c>
      <c r="J28" s="882">
        <f>K7</f>
        <v>0.57200000000000006</v>
      </c>
    </row>
    <row r="29" spans="5:23" ht="15" customHeight="1">
      <c r="E29" s="881" t="s">
        <v>637</v>
      </c>
      <c r="F29" s="109">
        <f>K9</f>
        <v>0.13200000000000001</v>
      </c>
      <c r="G29" s="109">
        <f>K9</f>
        <v>0.13200000000000001</v>
      </c>
      <c r="H29" s="109">
        <f>K9</f>
        <v>0.13200000000000001</v>
      </c>
      <c r="I29" s="109">
        <f>K9</f>
        <v>0.13200000000000001</v>
      </c>
      <c r="J29" s="882">
        <f>K9</f>
        <v>0.13200000000000001</v>
      </c>
    </row>
    <row r="30" spans="5:23" ht="15" customHeight="1">
      <c r="E30" s="881" t="s">
        <v>639</v>
      </c>
      <c r="F30" s="109">
        <f>K8</f>
        <v>1.2320000000000002</v>
      </c>
      <c r="G30" s="109">
        <f>K8</f>
        <v>1.2320000000000002</v>
      </c>
      <c r="H30" s="109">
        <f>K8</f>
        <v>1.2320000000000002</v>
      </c>
      <c r="I30" s="109">
        <f>K8</f>
        <v>1.2320000000000002</v>
      </c>
      <c r="J30" s="882">
        <f>K8</f>
        <v>1.2320000000000002</v>
      </c>
    </row>
    <row r="31" spans="5:23" ht="15" customHeight="1">
      <c r="E31" s="881" t="s">
        <v>641</v>
      </c>
      <c r="F31" s="109">
        <f>K10</f>
        <v>8.8000000000000009E-2</v>
      </c>
      <c r="G31" s="109">
        <f>$K$11</f>
        <v>6.1600000000000002E-2</v>
      </c>
      <c r="H31" s="109">
        <f t="shared" ref="H31:J31" si="5">$K$11</f>
        <v>6.1600000000000002E-2</v>
      </c>
      <c r="I31" s="109">
        <f t="shared" si="5"/>
        <v>6.1600000000000002E-2</v>
      </c>
      <c r="J31" s="882">
        <f t="shared" si="5"/>
        <v>6.1600000000000002E-2</v>
      </c>
    </row>
    <row r="32" spans="5:23" ht="15" customHeight="1">
      <c r="E32" s="881" t="s">
        <v>643</v>
      </c>
      <c r="F32" s="109">
        <f>K12</f>
        <v>0.13200000000000001</v>
      </c>
      <c r="G32" s="109">
        <f>K12</f>
        <v>0.13200000000000001</v>
      </c>
      <c r="H32" s="109">
        <f>K12</f>
        <v>0.13200000000000001</v>
      </c>
      <c r="I32" s="625">
        <f>K12</f>
        <v>0.13200000000000001</v>
      </c>
      <c r="J32" s="882">
        <f>K12</f>
        <v>0.13200000000000001</v>
      </c>
    </row>
    <row r="33" spans="5:10" ht="15" customHeight="1">
      <c r="E33" s="881" t="s">
        <v>645</v>
      </c>
      <c r="F33" s="109">
        <f>K13</f>
        <v>0.19800000000000001</v>
      </c>
      <c r="G33" s="109">
        <f>K13</f>
        <v>0.19800000000000001</v>
      </c>
      <c r="H33" s="109">
        <f>K13</f>
        <v>0.19800000000000001</v>
      </c>
      <c r="I33" s="625">
        <f>K13</f>
        <v>0.19800000000000001</v>
      </c>
      <c r="J33" s="882">
        <f>K13</f>
        <v>0.19800000000000001</v>
      </c>
    </row>
    <row r="34" spans="5:10" ht="15" customHeight="1">
      <c r="E34" s="883" t="s">
        <v>149</v>
      </c>
      <c r="F34" s="884">
        <f>SUM(F27:F33)</f>
        <v>2.9491000000000005</v>
      </c>
      <c r="G34" s="884">
        <f>SUM(G27:G33)</f>
        <v>2.9227000000000003</v>
      </c>
      <c r="H34" s="884">
        <f t="shared" ref="H34:J34" si="6">SUM(H27:H33)</f>
        <v>2.9227000000000003</v>
      </c>
      <c r="I34" s="884">
        <f t="shared" si="6"/>
        <v>2.9227000000000003</v>
      </c>
      <c r="J34" s="885">
        <f t="shared" si="6"/>
        <v>2.9227000000000003</v>
      </c>
    </row>
    <row r="35" spans="5:10" ht="15" customHeight="1">
      <c r="E35" s="32"/>
      <c r="F35" s="109"/>
      <c r="G35" s="109"/>
      <c r="H35" s="109"/>
      <c r="I35" s="109"/>
      <c r="J35" s="109"/>
    </row>
  </sheetData>
  <mergeCells count="4">
    <mergeCell ref="E15:J15"/>
    <mergeCell ref="E25:J25"/>
    <mergeCell ref="N5:O5"/>
    <mergeCell ref="B5:C5"/>
  </mergeCells>
  <hyperlinks>
    <hyperlink ref="O8" r:id="rId1" xr:uid="{B7C0821B-3DA0-4EFE-AC79-11B2CC8B3DD1}"/>
    <hyperlink ref="O7" r:id="rId2" xr:uid="{1247CC34-9A9B-4CD7-BB98-EDAE42F129EB}"/>
    <hyperlink ref="A3" location="'Index'!A1" display="Back to Index" xr:uid="{4C9A36C5-9777-45B5-9CA9-C9059FA0177C}"/>
    <hyperlink ref="O13" r:id="rId3" xr:uid="{CDC64725-9F5C-49AC-84C7-B8656F54BA58}"/>
    <hyperlink ref="O12" r:id="rId4" xr:uid="{0AE9581D-0BA1-4A49-B533-8D4FE041468E}"/>
    <hyperlink ref="O9" r:id="rId5" xr:uid="{BF037A1B-8005-44E3-A2F5-5EC54E59710F}"/>
    <hyperlink ref="O10" r:id="rId6" xr:uid="{86FA56BB-A893-47D0-93E6-BEB55F1ADFC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52BC-8D4C-49DD-BA71-2B71A19F7D6C}">
  <sheetPr>
    <tabColor rgb="FF00B0F0"/>
  </sheetPr>
  <dimension ref="A1:AN146"/>
  <sheetViews>
    <sheetView workbookViewId="0">
      <selection activeCell="D3" sqref="D3"/>
    </sheetView>
  </sheetViews>
  <sheetFormatPr defaultColWidth="8.88671875" defaultRowHeight="15" customHeight="1"/>
  <cols>
    <col min="2" max="2" width="18.6640625" customWidth="1"/>
    <col min="3" max="3" width="17.88671875" customWidth="1"/>
    <col min="4" max="4" width="14.6640625" customWidth="1"/>
    <col min="6" max="6" width="18.88671875" customWidth="1"/>
    <col min="7" max="7" width="19.6640625" customWidth="1"/>
    <col min="8" max="9" width="14.6640625" customWidth="1"/>
    <col min="11" max="11" width="14.6640625" customWidth="1"/>
    <col min="12" max="12" width="20.44140625" customWidth="1"/>
    <col min="13" max="13" width="63" customWidth="1"/>
    <col min="14" max="16" width="10.6640625" customWidth="1"/>
    <col min="17" max="17" width="15" customWidth="1"/>
    <col min="18" max="18" width="10" customWidth="1"/>
    <col min="19" max="28" width="10.6640625" customWidth="1"/>
    <col min="29" max="29" width="6.88671875" customWidth="1"/>
    <col min="30" max="30" width="22.6640625" customWidth="1"/>
    <col min="31" max="32" width="12.6640625" customWidth="1"/>
    <col min="33" max="33" width="10.6640625" customWidth="1"/>
    <col min="34" max="34" width="16.6640625" customWidth="1"/>
    <col min="35" max="36" width="12.6640625" customWidth="1"/>
    <col min="37" max="37" width="10.6640625" customWidth="1"/>
    <col min="38" max="39" width="12.6640625" customWidth="1"/>
    <col min="40" max="41" width="10.6640625" customWidth="1"/>
    <col min="42" max="42" width="16.6640625" customWidth="1"/>
    <col min="43" max="44" width="10.6640625" customWidth="1"/>
    <col min="45" max="45" width="4.5546875" customWidth="1"/>
    <col min="46" max="46" width="13.109375" customWidth="1"/>
    <col min="47" max="48" width="10.6640625" customWidth="1"/>
    <col min="50" max="51" width="10.6640625" customWidth="1"/>
  </cols>
  <sheetData>
    <row r="1" spans="1:39" ht="28.8">
      <c r="A1" s="1" t="s">
        <v>853</v>
      </c>
    </row>
    <row r="2" spans="1:39" ht="18">
      <c r="A2" s="1143" t="s">
        <v>854</v>
      </c>
    </row>
    <row r="3" spans="1:39" ht="14.4">
      <c r="A3" s="284" t="s">
        <v>32</v>
      </c>
    </row>
    <row r="4" spans="1:39" ht="14.4">
      <c r="A4" s="284"/>
    </row>
    <row r="5" spans="1:39" ht="14.4" customHeight="1">
      <c r="B5" s="1261" t="s">
        <v>855</v>
      </c>
      <c r="C5" s="1261"/>
      <c r="D5" s="1234"/>
      <c r="F5" s="1261" t="s">
        <v>856</v>
      </c>
      <c r="G5" s="1261"/>
      <c r="H5" s="1261"/>
      <c r="I5" s="1234"/>
      <c r="K5" s="1261" t="s">
        <v>857</v>
      </c>
      <c r="L5" s="1261"/>
      <c r="M5" s="1261"/>
      <c r="N5" s="1261"/>
      <c r="O5" s="1234"/>
      <c r="Q5" s="1323" t="s">
        <v>858</v>
      </c>
      <c r="R5" s="1324"/>
      <c r="S5" s="1324"/>
      <c r="T5" s="1324"/>
      <c r="U5" s="1324"/>
      <c r="V5" s="1324"/>
      <c r="W5" s="1325"/>
      <c r="X5" s="1325"/>
      <c r="Y5" s="1324"/>
      <c r="Z5" s="1324"/>
      <c r="AA5" s="1325"/>
      <c r="AB5" s="1326"/>
    </row>
    <row r="6" spans="1:39" ht="14.4">
      <c r="B6" s="1072" t="s">
        <v>859</v>
      </c>
      <c r="C6" s="234" t="s">
        <v>860</v>
      </c>
      <c r="D6" s="235" t="s">
        <v>162</v>
      </c>
      <c r="F6" s="1072" t="s">
        <v>859</v>
      </c>
      <c r="G6" s="234" t="s">
        <v>860</v>
      </c>
      <c r="H6" s="234" t="s">
        <v>861</v>
      </c>
      <c r="I6" s="1072" t="s">
        <v>862</v>
      </c>
      <c r="K6" s="32"/>
      <c r="Q6" s="221"/>
      <c r="R6" s="934"/>
      <c r="S6" s="1327" t="str">
        <f>F37</f>
        <v>Amazon</v>
      </c>
      <c r="T6" s="1328"/>
      <c r="U6" s="1327" t="str">
        <f>F38</f>
        <v>Williams Sonoma</v>
      </c>
      <c r="V6" s="1328"/>
      <c r="W6" s="1331" t="str">
        <f>F39</f>
        <v>Target</v>
      </c>
      <c r="X6" s="1331"/>
      <c r="Y6" s="1327" t="str">
        <f>F40</f>
        <v>Le Creuset</v>
      </c>
      <c r="Z6" s="1332"/>
      <c r="AA6" s="1329" t="str">
        <f>F41</f>
        <v>Kroger</v>
      </c>
      <c r="AB6" s="1330"/>
    </row>
    <row r="7" spans="1:39" ht="14.4">
      <c r="B7" s="127" t="s">
        <v>863</v>
      </c>
      <c r="C7" s="40">
        <v>3721871.1</v>
      </c>
      <c r="D7" s="126">
        <f t="shared" ref="D7:D38" si="0">C7/$C$58</f>
        <v>0.11220612242826</v>
      </c>
      <c r="F7" s="127" t="str">
        <f>B7</f>
        <v>California</v>
      </c>
      <c r="G7" s="229">
        <f>C7</f>
        <v>3721871.1</v>
      </c>
      <c r="H7" s="23">
        <f t="shared" ref="H7:H31" si="1">G7/$G$32</f>
        <v>0.13383590521929423</v>
      </c>
      <c r="I7" s="201">
        <f t="shared" ref="I7:I31" si="2">VLOOKUP(F7,$B$7:$D$57,3,FALSE)</f>
        <v>0.11220612242826</v>
      </c>
      <c r="K7" s="1261" t="s">
        <v>384</v>
      </c>
      <c r="L7" s="1261"/>
      <c r="M7" s="1261"/>
      <c r="N7" s="1261"/>
      <c r="O7" s="1234"/>
      <c r="Q7" s="195"/>
      <c r="R7" s="196"/>
      <c r="S7" s="1315">
        <f>H37</f>
        <v>0.53595173748578395</v>
      </c>
      <c r="T7" s="1316"/>
      <c r="U7" s="1315">
        <f>H38</f>
        <v>0.14601561459077422</v>
      </c>
      <c r="V7" s="1317"/>
      <c r="W7" s="1316">
        <f>H39</f>
        <v>0.11381873185357351</v>
      </c>
      <c r="X7" s="1316"/>
      <c r="Y7" s="1315">
        <f>H40</f>
        <v>0.11166947440908087</v>
      </c>
      <c r="Z7" s="1317"/>
      <c r="AA7" s="1318">
        <f>H41</f>
        <v>9.2544441660787569E-2</v>
      </c>
      <c r="AB7" s="1319"/>
      <c r="AD7" s="1261" t="s">
        <v>864</v>
      </c>
      <c r="AE7" s="1272"/>
      <c r="AF7" s="1262"/>
      <c r="AH7" s="1239" t="s">
        <v>865</v>
      </c>
      <c r="AI7" s="1272"/>
      <c r="AJ7" s="1262"/>
      <c r="AL7" s="1239" t="s">
        <v>866</v>
      </c>
      <c r="AM7" s="1265"/>
    </row>
    <row r="8" spans="1:39" ht="14.4">
      <c r="B8" s="127" t="s">
        <v>867</v>
      </c>
      <c r="C8" s="40">
        <v>3206117.32</v>
      </c>
      <c r="D8" s="126">
        <f>C8/$C$58</f>
        <v>9.6657294909349448E-2</v>
      </c>
      <c r="F8" s="127" t="str">
        <f t="shared" ref="F8:F31" si="3">B8</f>
        <v>Texas</v>
      </c>
      <c r="G8" s="229">
        <f t="shared" ref="G8:G31" si="4">C8</f>
        <v>3206117.32</v>
      </c>
      <c r="H8" s="23">
        <f t="shared" si="1"/>
        <v>0.11528975674666905</v>
      </c>
      <c r="I8" s="201">
        <f t="shared" si="2"/>
        <v>9.6657294909349448E-2</v>
      </c>
      <c r="K8" s="45" t="s">
        <v>859</v>
      </c>
      <c r="L8" s="204" t="s">
        <v>868</v>
      </c>
      <c r="M8" s="204" t="s">
        <v>869</v>
      </c>
      <c r="N8" s="204" t="s">
        <v>870</v>
      </c>
      <c r="O8" s="205" t="s">
        <v>871</v>
      </c>
      <c r="P8" s="32"/>
      <c r="Q8" s="192" t="s">
        <v>859</v>
      </c>
      <c r="R8" s="1094" t="s">
        <v>162</v>
      </c>
      <c r="S8" s="52" t="s">
        <v>870</v>
      </c>
      <c r="T8" s="52" t="s">
        <v>871</v>
      </c>
      <c r="U8" s="52" t="s">
        <v>870</v>
      </c>
      <c r="V8" s="52" t="s">
        <v>871</v>
      </c>
      <c r="W8" s="52" t="s">
        <v>870</v>
      </c>
      <c r="X8" s="52" t="s">
        <v>871</v>
      </c>
      <c r="Y8" s="52" t="s">
        <v>870</v>
      </c>
      <c r="Z8" s="52" t="s">
        <v>871</v>
      </c>
      <c r="AA8" s="649" t="s">
        <v>870</v>
      </c>
      <c r="AB8" s="650" t="s">
        <v>871</v>
      </c>
      <c r="AC8" s="32"/>
      <c r="AD8" s="233" t="s">
        <v>859</v>
      </c>
      <c r="AE8" s="35" t="s">
        <v>870</v>
      </c>
      <c r="AF8" s="61" t="s">
        <v>871</v>
      </c>
      <c r="AH8" s="1095" t="s">
        <v>872</v>
      </c>
      <c r="AI8" t="s">
        <v>870</v>
      </c>
      <c r="AJ8" s="50" t="s">
        <v>871</v>
      </c>
      <c r="AL8" s="49" t="s">
        <v>870</v>
      </c>
      <c r="AM8" s="1096">
        <f>SUMPRODUCT(AE9:AE33,$R$9:$R$33)</f>
        <v>36.625867151238502</v>
      </c>
    </row>
    <row r="9" spans="1:39" ht="14.4">
      <c r="B9" s="127" t="s">
        <v>873</v>
      </c>
      <c r="C9" s="40">
        <v>1958388.63</v>
      </c>
      <c r="D9" s="126">
        <f t="shared" si="0"/>
        <v>5.9041054479262424E-2</v>
      </c>
      <c r="F9" s="127" t="str">
        <f t="shared" si="3"/>
        <v>Florida</v>
      </c>
      <c r="G9" s="229">
        <f t="shared" si="4"/>
        <v>1958388.63</v>
      </c>
      <c r="H9" s="23">
        <f t="shared" si="1"/>
        <v>7.04222978241303E-2</v>
      </c>
      <c r="I9" s="201">
        <f t="shared" si="2"/>
        <v>5.9041054479262424E-2</v>
      </c>
      <c r="K9" s="44" t="s">
        <v>863</v>
      </c>
      <c r="L9" t="s">
        <v>874</v>
      </c>
      <c r="M9" t="s">
        <v>875</v>
      </c>
      <c r="N9" s="202">
        <v>34.075213599999998</v>
      </c>
      <c r="O9" s="203">
        <v>-117.6106904</v>
      </c>
      <c r="Q9" s="1091" t="str">
        <f>K9</f>
        <v>California</v>
      </c>
      <c r="R9" s="1089">
        <f>H7</f>
        <v>0.13383590521929423</v>
      </c>
      <c r="S9" s="29">
        <f t="shared" ref="S9:S33" si="5">N9</f>
        <v>34.075213599999998</v>
      </c>
      <c r="T9" s="29">
        <f t="shared" ref="T9:T33" si="6">O9</f>
        <v>-117.6106904</v>
      </c>
      <c r="U9" s="202">
        <f t="shared" ref="U9:U33" si="7">N37</f>
        <v>34.012281000000002</v>
      </c>
      <c r="V9" s="202">
        <f t="shared" ref="V9:V33" si="8">O37</f>
        <v>-117.615167</v>
      </c>
      <c r="W9" s="202">
        <f t="shared" ref="W9:W33" si="9">N65</f>
        <v>34.15428</v>
      </c>
      <c r="X9" s="202">
        <f t="shared" ref="X9:X33" si="10">O65</f>
        <v>-117.43155</v>
      </c>
      <c r="Y9" s="202">
        <f t="shared" ref="Y9:Y33" si="11">N93</f>
        <v>35.052785</v>
      </c>
      <c r="Z9" s="202">
        <f t="shared" ref="Z9:Z33" si="12">O93</f>
        <v>-89.904936000000006</v>
      </c>
      <c r="AA9" s="261">
        <f t="shared" ref="AA9:AA33" si="13">N121</f>
        <v>33.899000000000001</v>
      </c>
      <c r="AB9" s="647">
        <f t="shared" ref="AB9:AB33" si="14">O121</f>
        <v>-118.167</v>
      </c>
      <c r="AD9" s="127" t="str">
        <f>K9</f>
        <v>California</v>
      </c>
      <c r="AE9" s="202">
        <f>(S9*$S$7+U9*$U$7+W9*$W$7+Y9*$Y$7+AA9*$AA$7)</f>
        <v>34.167880990323745</v>
      </c>
      <c r="AF9" s="203">
        <f>(T9*$S$7+V9*$U$7+X9*$W$7+Z9*$Y$7+AB9*$AA$7)</f>
        <v>-114.54855084971599</v>
      </c>
      <c r="AH9" s="127" t="str">
        <f>F37</f>
        <v>Amazon</v>
      </c>
      <c r="AI9" s="211">
        <f>SUMPRODUCT($R$9:$R$33,S9:S33)</f>
        <v>36.711776297183164</v>
      </c>
      <c r="AJ9" s="212">
        <f>SUMPRODUCT($R$9:$R$33,T9:T33)</f>
        <v>-89.778568912655587</v>
      </c>
      <c r="AL9" s="44" t="s">
        <v>871</v>
      </c>
      <c r="AM9" s="1097">
        <f>SUMPRODUCT(AF9:AF33,$R$9:$R$33)</f>
        <v>-89.415350803740637</v>
      </c>
    </row>
    <row r="10" spans="1:39" ht="14.4">
      <c r="B10" s="127" t="s">
        <v>876</v>
      </c>
      <c r="C10" s="40">
        <v>1949234</v>
      </c>
      <c r="D10" s="126">
        <f t="shared" si="0"/>
        <v>5.8765062778591913E-2</v>
      </c>
      <c r="F10" s="127" t="str">
        <f t="shared" si="3"/>
        <v>New York</v>
      </c>
      <c r="G10" s="229">
        <f t="shared" si="4"/>
        <v>1949234</v>
      </c>
      <c r="H10" s="23">
        <f t="shared" si="1"/>
        <v>7.009310367417769E-2</v>
      </c>
      <c r="I10" s="201">
        <f t="shared" si="2"/>
        <v>5.8765062778591913E-2</v>
      </c>
      <c r="K10" s="44" t="s">
        <v>867</v>
      </c>
      <c r="L10" t="s">
        <v>877</v>
      </c>
      <c r="M10" t="s">
        <v>878</v>
      </c>
      <c r="N10" s="202">
        <v>29.921246</v>
      </c>
      <c r="O10" s="203">
        <v>-95.434511000000001</v>
      </c>
      <c r="Q10" s="1092" t="str">
        <f t="shared" ref="Q10:Q33" si="15">K10</f>
        <v>Texas</v>
      </c>
      <c r="R10" s="1089">
        <f t="shared" ref="R10:R33" si="16">H8</f>
        <v>0.11528975674666905</v>
      </c>
      <c r="S10" s="29">
        <f t="shared" si="5"/>
        <v>29.921246</v>
      </c>
      <c r="T10" s="29">
        <f t="shared" si="6"/>
        <v>-95.434511000000001</v>
      </c>
      <c r="U10" s="202">
        <f t="shared" si="7"/>
        <v>32.6596519</v>
      </c>
      <c r="V10" s="202">
        <f t="shared" si="8"/>
        <v>-97.071066299999998</v>
      </c>
      <c r="W10" s="202">
        <f t="shared" si="9"/>
        <v>32.446449000000001</v>
      </c>
      <c r="X10" s="202">
        <f t="shared" si="10"/>
        <v>-97.040679999999995</v>
      </c>
      <c r="Y10" s="202">
        <f t="shared" si="11"/>
        <v>35.052785</v>
      </c>
      <c r="Z10" s="202">
        <f t="shared" si="12"/>
        <v>-89.904936000000006</v>
      </c>
      <c r="AA10" s="261">
        <f t="shared" si="13"/>
        <v>29.783999999999999</v>
      </c>
      <c r="AB10" s="647">
        <f t="shared" si="14"/>
        <v>-95.271000000000001</v>
      </c>
      <c r="AD10" s="127" t="str">
        <f t="shared" ref="AD10:AD33" si="17">K10</f>
        <v>Texas</v>
      </c>
      <c r="AE10" s="202">
        <f>(S10*$S$7+U10*$U$7+W10*$W$7+Y10*$Y$7+AA10*$AA$7)</f>
        <v>31.168846332219868</v>
      </c>
      <c r="AF10" s="203">
        <f t="shared" ref="AF10:AF33" si="18">(T10*$S$7+V10*$U$7+X10*$W$7+Z10*$Y$7+AB10*$AA$7)</f>
        <v>-95.223668978507831</v>
      </c>
      <c r="AH10" s="127" t="str">
        <f t="shared" ref="AH10:AH13" si="19">F38</f>
        <v>Williams Sonoma</v>
      </c>
      <c r="AI10" s="202">
        <f>SUMPRODUCT($R$9:$R$33,U9:U33)</f>
        <v>35.730460056999938</v>
      </c>
      <c r="AJ10" s="203">
        <f>SUMPRODUCT($R$9:$R$33,V9:V33)</f>
        <v>-90.657799448597089</v>
      </c>
      <c r="AL10" s="1273" t="s">
        <v>879</v>
      </c>
      <c r="AM10" s="1274"/>
    </row>
    <row r="11" spans="1:39" ht="14.4">
      <c r="B11" s="127" t="s">
        <v>880</v>
      </c>
      <c r="C11" s="40">
        <v>1292555.02</v>
      </c>
      <c r="D11" s="126">
        <f t="shared" si="0"/>
        <v>3.8967654419676721E-2</v>
      </c>
      <c r="F11" s="127" t="str">
        <f t="shared" si="3"/>
        <v>Illinois</v>
      </c>
      <c r="G11" s="229">
        <f t="shared" si="4"/>
        <v>1292555.02</v>
      </c>
      <c r="H11" s="23">
        <f t="shared" si="1"/>
        <v>4.6479382681319334E-2</v>
      </c>
      <c r="I11" s="201">
        <f t="shared" si="2"/>
        <v>3.8967654419676721E-2</v>
      </c>
      <c r="K11" s="44" t="s">
        <v>873</v>
      </c>
      <c r="L11" t="s">
        <v>881</v>
      </c>
      <c r="M11" t="s">
        <v>882</v>
      </c>
      <c r="N11" s="202">
        <v>25.451647699999999</v>
      </c>
      <c r="O11" s="203">
        <v>-80.452860400000006</v>
      </c>
      <c r="Q11" s="1092" t="str">
        <f t="shared" si="15"/>
        <v>Florida</v>
      </c>
      <c r="R11" s="1089">
        <f t="shared" si="16"/>
        <v>7.04222978241303E-2</v>
      </c>
      <c r="S11" s="29">
        <f t="shared" si="5"/>
        <v>25.451647699999999</v>
      </c>
      <c r="T11" s="29">
        <f t="shared" si="6"/>
        <v>-80.452860400000006</v>
      </c>
      <c r="U11" s="202">
        <f t="shared" si="7"/>
        <v>34.1126918</v>
      </c>
      <c r="V11" s="202">
        <f t="shared" si="8"/>
        <v>-83.761765400000002</v>
      </c>
      <c r="W11" s="202">
        <f t="shared" si="9"/>
        <v>25.921050000000001</v>
      </c>
      <c r="X11" s="202">
        <f t="shared" si="10"/>
        <v>-80.361940000000004</v>
      </c>
      <c r="Y11" s="202">
        <f t="shared" si="11"/>
        <v>35.052785</v>
      </c>
      <c r="Z11" s="202">
        <f t="shared" si="12"/>
        <v>-89.904936000000006</v>
      </c>
      <c r="AA11" s="261">
        <f t="shared" si="13"/>
        <v>33.747999999999998</v>
      </c>
      <c r="AB11" s="647">
        <f t="shared" si="14"/>
        <v>-84.387</v>
      </c>
      <c r="AD11" s="127" t="str">
        <f t="shared" si="17"/>
        <v>Florida</v>
      </c>
      <c r="AE11" s="202">
        <f t="shared" ref="AE11:AE33" si="20">(S11*$S$7+U11*$U$7+W11*$W$7+Y11*$Y$7+AA11*$AA$7)</f>
        <v>28.609657399219568</v>
      </c>
      <c r="AF11" s="203">
        <f t="shared" si="18"/>
        <v>-82.345254819594359</v>
      </c>
      <c r="AH11" s="127" t="str">
        <f t="shared" si="19"/>
        <v>Target</v>
      </c>
      <c r="AI11" s="202">
        <f>SUMPRODUCT($R$9:$R$33,W9:W33)</f>
        <v>36.855526369443531</v>
      </c>
      <c r="AJ11" s="203">
        <f>SUMPRODUCT($R$9:$R$33,X9:X33)</f>
        <v>-89.823263351567491</v>
      </c>
    </row>
    <row r="12" spans="1:39" ht="14.4">
      <c r="B12" s="127" t="s">
        <v>883</v>
      </c>
      <c r="C12" s="40">
        <v>1256915.6599999999</v>
      </c>
      <c r="D12" s="126">
        <f t="shared" si="0"/>
        <v>3.78932071097135E-2</v>
      </c>
      <c r="F12" s="127" t="str">
        <f t="shared" si="3"/>
        <v>Pennsylvania</v>
      </c>
      <c r="G12" s="229">
        <f t="shared" si="4"/>
        <v>1256915.6599999999</v>
      </c>
      <c r="H12" s="23">
        <f t="shared" si="1"/>
        <v>4.519781599647732E-2</v>
      </c>
      <c r="I12" s="201">
        <f t="shared" si="2"/>
        <v>3.78932071097135E-2</v>
      </c>
      <c r="K12" s="44" t="s">
        <v>876</v>
      </c>
      <c r="L12" t="s">
        <v>884</v>
      </c>
      <c r="M12" t="s">
        <v>885</v>
      </c>
      <c r="N12" s="202">
        <v>43.120598299999997</v>
      </c>
      <c r="O12" s="203">
        <v>-76.2076043</v>
      </c>
      <c r="Q12" s="1092" t="str">
        <f t="shared" si="15"/>
        <v>New York</v>
      </c>
      <c r="R12" s="1089">
        <f t="shared" si="16"/>
        <v>7.009310367417769E-2</v>
      </c>
      <c r="S12" s="29">
        <f t="shared" si="5"/>
        <v>43.120598299999997</v>
      </c>
      <c r="T12" s="29">
        <f t="shared" si="6"/>
        <v>-76.2076043</v>
      </c>
      <c r="U12" s="202">
        <f t="shared" si="7"/>
        <v>40.313870999999999</v>
      </c>
      <c r="V12" s="202">
        <f t="shared" si="8"/>
        <v>-74.465034000000003</v>
      </c>
      <c r="W12" s="202">
        <f t="shared" si="9"/>
        <v>40.526919999999997</v>
      </c>
      <c r="X12" s="202">
        <f t="shared" si="10"/>
        <v>-74.255489999999995</v>
      </c>
      <c r="Y12" s="202">
        <f t="shared" si="11"/>
        <v>40.756340000000002</v>
      </c>
      <c r="Z12" s="202">
        <f t="shared" si="12"/>
        <v>-73.498620000000003</v>
      </c>
      <c r="AA12" s="261">
        <f t="shared" si="13"/>
        <v>39.103000000000002</v>
      </c>
      <c r="AB12" s="647">
        <f t="shared" si="14"/>
        <v>-84.512</v>
      </c>
      <c r="AD12" s="127" t="str">
        <f t="shared" si="17"/>
        <v>New York</v>
      </c>
      <c r="AE12" s="202">
        <f t="shared" si="20"/>
        <v>41.779741240140531</v>
      </c>
      <c r="AF12" s="203">
        <f t="shared" si="18"/>
        <v>-76.196989463041959</v>
      </c>
      <c r="AH12" s="127" t="str">
        <f t="shared" si="19"/>
        <v>Le Creuset</v>
      </c>
      <c r="AI12" s="202">
        <f>SUMPRODUCT($R$9:$R$33,Y9:Y33)</f>
        <v>37.36193492067234</v>
      </c>
      <c r="AJ12" s="203">
        <f>SUMPRODUCT($R$9:$R$33,Z9:Z33)</f>
        <v>-83.262650041518782</v>
      </c>
      <c r="AL12" s="284" t="s">
        <v>886</v>
      </c>
      <c r="AM12" s="284"/>
    </row>
    <row r="13" spans="1:39" ht="14.4">
      <c r="A13" s="40"/>
      <c r="B13" s="127" t="s">
        <v>887</v>
      </c>
      <c r="C13" s="40">
        <v>1169077.5900000001</v>
      </c>
      <c r="D13" s="126">
        <f t="shared" si="0"/>
        <v>3.5245084976660034E-2</v>
      </c>
      <c r="F13" s="127" t="str">
        <f t="shared" si="3"/>
        <v>Ohio</v>
      </c>
      <c r="G13" s="229">
        <f t="shared" si="4"/>
        <v>1169077.5900000001</v>
      </c>
      <c r="H13" s="23">
        <f t="shared" si="1"/>
        <v>4.2039219877668767E-2</v>
      </c>
      <c r="I13" s="201">
        <f t="shared" si="2"/>
        <v>3.5245084976660034E-2</v>
      </c>
      <c r="K13" s="44" t="s">
        <v>880</v>
      </c>
      <c r="L13" t="s">
        <v>888</v>
      </c>
      <c r="M13" t="s">
        <v>889</v>
      </c>
      <c r="N13" s="202">
        <v>41.871513999999998</v>
      </c>
      <c r="O13" s="203">
        <v>-87.647203000000005</v>
      </c>
      <c r="Q13" s="1092" t="str">
        <f t="shared" si="15"/>
        <v>Illinois</v>
      </c>
      <c r="R13" s="1089">
        <f t="shared" si="16"/>
        <v>4.6479382681319334E-2</v>
      </c>
      <c r="S13" s="29">
        <f t="shared" si="5"/>
        <v>41.871513999999998</v>
      </c>
      <c r="T13" s="29">
        <f t="shared" si="6"/>
        <v>-87.647203000000005</v>
      </c>
      <c r="U13" s="202">
        <f t="shared" si="7"/>
        <v>35.052785</v>
      </c>
      <c r="V13" s="202">
        <f t="shared" si="8"/>
        <v>-89.904936000000006</v>
      </c>
      <c r="W13" s="202">
        <f t="shared" si="9"/>
        <v>41.922240000000002</v>
      </c>
      <c r="X13" s="202">
        <f t="shared" si="10"/>
        <v>-87.959710000000001</v>
      </c>
      <c r="Y13" s="202">
        <f t="shared" si="11"/>
        <v>40.756340000000002</v>
      </c>
      <c r="Z13" s="202">
        <f t="shared" si="12"/>
        <v>-73.498620000000003</v>
      </c>
      <c r="AA13" s="261">
        <f t="shared" si="13"/>
        <v>41.511000000000003</v>
      </c>
      <c r="AB13" s="647">
        <f t="shared" si="14"/>
        <v>-87.953000000000003</v>
      </c>
      <c r="AD13" s="127" t="str">
        <f t="shared" si="17"/>
        <v>Illinois</v>
      </c>
      <c r="AE13" s="202">
        <f t="shared" si="20"/>
        <v>40.723752202033509</v>
      </c>
      <c r="AF13" s="203">
        <f t="shared" si="18"/>
        <v>-86.460771407395541</v>
      </c>
      <c r="AH13" s="128" t="str">
        <f t="shared" si="19"/>
        <v>Kroger</v>
      </c>
      <c r="AI13" s="224">
        <f>SUMPRODUCT($R$9:$R$33,AA9:AA33)</f>
        <v>36.370470280790869</v>
      </c>
      <c r="AJ13" s="225">
        <f>SUMPRODUCT($R$9:$R$33,AB9:AB33)</f>
        <v>-92.274047529656329</v>
      </c>
    </row>
    <row r="14" spans="1:39" ht="14.4">
      <c r="B14" s="127" t="s">
        <v>890</v>
      </c>
      <c r="C14" s="40">
        <v>1075506.54</v>
      </c>
      <c r="D14" s="126">
        <f t="shared" si="0"/>
        <v>3.2424126268003832E-2</v>
      </c>
      <c r="F14" s="127" t="str">
        <f t="shared" si="3"/>
        <v>Georgia</v>
      </c>
      <c r="G14" s="229">
        <f t="shared" si="4"/>
        <v>1075506.54</v>
      </c>
      <c r="H14" s="23">
        <f t="shared" si="1"/>
        <v>3.8674469771446701E-2</v>
      </c>
      <c r="I14" s="201">
        <f t="shared" si="2"/>
        <v>3.2424126268003832E-2</v>
      </c>
      <c r="K14" s="44" t="s">
        <v>883</v>
      </c>
      <c r="L14" t="s">
        <v>891</v>
      </c>
      <c r="M14" t="s">
        <v>892</v>
      </c>
      <c r="N14" s="202">
        <v>39.932160799999998</v>
      </c>
      <c r="O14" s="203">
        <v>-76.844149900000005</v>
      </c>
      <c r="Q14" s="1092" t="str">
        <f t="shared" si="15"/>
        <v>Pennsylvania</v>
      </c>
      <c r="R14" s="1089">
        <f t="shared" si="16"/>
        <v>4.519781599647732E-2</v>
      </c>
      <c r="S14" s="29">
        <f t="shared" si="5"/>
        <v>39.932160799999998</v>
      </c>
      <c r="T14" s="29">
        <f t="shared" si="6"/>
        <v>-76.844149900000005</v>
      </c>
      <c r="U14" s="202">
        <f t="shared" si="7"/>
        <v>40.313870999999999</v>
      </c>
      <c r="V14" s="202">
        <f t="shared" si="8"/>
        <v>-74.465034000000003</v>
      </c>
      <c r="W14" s="202">
        <f t="shared" si="9"/>
        <v>40.523915000000002</v>
      </c>
      <c r="X14" s="202">
        <f t="shared" si="10"/>
        <v>-74.259600199999994</v>
      </c>
      <c r="Y14" s="202">
        <f t="shared" si="11"/>
        <v>40.756340000000002</v>
      </c>
      <c r="Z14" s="202">
        <f t="shared" si="12"/>
        <v>-73.498620000000003</v>
      </c>
      <c r="AA14" s="261">
        <f t="shared" si="13"/>
        <v>39.103000000000002</v>
      </c>
      <c r="AB14" s="647">
        <f t="shared" si="14"/>
        <v>-84.512</v>
      </c>
      <c r="AD14" s="127" t="str">
        <f t="shared" si="17"/>
        <v>Pennsylvania</v>
      </c>
      <c r="AE14" s="202">
        <f t="shared" si="20"/>
        <v>40.070550596861487</v>
      </c>
      <c r="AF14" s="203">
        <f t="shared" si="18"/>
        <v>-76.538615001102556</v>
      </c>
    </row>
    <row r="15" spans="1:39" ht="14.4">
      <c r="B15" s="127" t="s">
        <v>893</v>
      </c>
      <c r="C15" s="40">
        <v>1071990.58</v>
      </c>
      <c r="D15" s="126">
        <f t="shared" si="0"/>
        <v>3.2318127906531061E-2</v>
      </c>
      <c r="F15" s="127" t="str">
        <f t="shared" si="3"/>
        <v>North Carolina</v>
      </c>
      <c r="G15" s="229">
        <f t="shared" si="4"/>
        <v>1071990.58</v>
      </c>
      <c r="H15" s="23">
        <f t="shared" si="1"/>
        <v>3.854803828667152E-2</v>
      </c>
      <c r="I15" s="201">
        <f t="shared" si="2"/>
        <v>3.2318127906531061E-2</v>
      </c>
      <c r="K15" s="44" t="s">
        <v>887</v>
      </c>
      <c r="L15" t="s">
        <v>894</v>
      </c>
      <c r="M15" t="s">
        <v>895</v>
      </c>
      <c r="N15" s="202">
        <v>39.927056</v>
      </c>
      <c r="O15" s="203">
        <v>-82.680396000000002</v>
      </c>
      <c r="Q15" s="1092" t="str">
        <f t="shared" si="15"/>
        <v>Ohio</v>
      </c>
      <c r="R15" s="1089">
        <f t="shared" si="16"/>
        <v>4.2039219877668767E-2</v>
      </c>
      <c r="S15" s="29">
        <f t="shared" si="5"/>
        <v>39.927056</v>
      </c>
      <c r="T15" s="29">
        <f t="shared" si="6"/>
        <v>-82.680396000000002</v>
      </c>
      <c r="U15" s="202">
        <f t="shared" si="7"/>
        <v>35.052785</v>
      </c>
      <c r="V15" s="202">
        <f t="shared" si="8"/>
        <v>-89.904936000000006</v>
      </c>
      <c r="W15" s="202">
        <f t="shared" si="9"/>
        <v>39.94970703125</v>
      </c>
      <c r="X15" s="202">
        <f t="shared" si="10"/>
        <v>-83.341392517089801</v>
      </c>
      <c r="Y15" s="202">
        <f t="shared" si="11"/>
        <v>40.756340000000002</v>
      </c>
      <c r="Z15" s="202">
        <f t="shared" si="12"/>
        <v>-73.498620000000003</v>
      </c>
      <c r="AA15" s="261">
        <f t="shared" si="13"/>
        <v>39.103000000000002</v>
      </c>
      <c r="AB15" s="647">
        <f t="shared" si="14"/>
        <v>-84.512</v>
      </c>
      <c r="AD15" s="127" t="str">
        <f t="shared" si="17"/>
        <v>Ohio</v>
      </c>
      <c r="AE15" s="202">
        <f t="shared" si="20"/>
        <v>39.234258341903711</v>
      </c>
      <c r="AF15" s="203">
        <f t="shared" si="18"/>
        <v>-82.954706103032194</v>
      </c>
    </row>
    <row r="16" spans="1:39" ht="14.4">
      <c r="B16" s="127" t="s">
        <v>896</v>
      </c>
      <c r="C16" s="40">
        <v>939675.62699999998</v>
      </c>
      <c r="D16" s="126">
        <f t="shared" si="0"/>
        <v>2.8329126832472507E-2</v>
      </c>
      <c r="F16" s="127" t="str">
        <f t="shared" si="3"/>
        <v>Michigan</v>
      </c>
      <c r="G16" s="229">
        <f t="shared" si="4"/>
        <v>939675.62699999998</v>
      </c>
      <c r="H16" s="23">
        <f t="shared" si="1"/>
        <v>3.3790084281009318E-2</v>
      </c>
      <c r="I16" s="201">
        <f t="shared" si="2"/>
        <v>2.8329126832472507E-2</v>
      </c>
      <c r="K16" s="44" t="s">
        <v>890</v>
      </c>
      <c r="L16" t="s">
        <v>897</v>
      </c>
      <c r="M16" t="s">
        <v>898</v>
      </c>
      <c r="N16" s="202">
        <v>33.573999000000001</v>
      </c>
      <c r="O16" s="203">
        <v>-82.312057999999993</v>
      </c>
      <c r="Q16" s="1092" t="str">
        <f t="shared" si="15"/>
        <v>Georgia</v>
      </c>
      <c r="R16" s="1089">
        <f t="shared" si="16"/>
        <v>3.8674469771446701E-2</v>
      </c>
      <c r="S16" s="29">
        <f t="shared" si="5"/>
        <v>33.573999000000001</v>
      </c>
      <c r="T16" s="29">
        <f t="shared" si="6"/>
        <v>-82.312057999999993</v>
      </c>
      <c r="U16" s="202">
        <f t="shared" si="7"/>
        <v>34.1126918</v>
      </c>
      <c r="V16" s="202">
        <f t="shared" si="8"/>
        <v>-83.761765400000002</v>
      </c>
      <c r="W16" s="202">
        <f t="shared" si="9"/>
        <v>33.393903999999999</v>
      </c>
      <c r="X16" s="202">
        <f t="shared" si="10"/>
        <v>-84.586794999999995</v>
      </c>
      <c r="Y16" s="202">
        <f t="shared" si="11"/>
        <v>35.052785</v>
      </c>
      <c r="Z16" s="202">
        <f t="shared" si="12"/>
        <v>-89.904936000000006</v>
      </c>
      <c r="AA16" s="261">
        <f t="shared" si="13"/>
        <v>33.747999999999998</v>
      </c>
      <c r="AB16" s="647">
        <f t="shared" si="14"/>
        <v>-84.387</v>
      </c>
      <c r="AD16" s="127" t="str">
        <f t="shared" si="17"/>
        <v>Georgia</v>
      </c>
      <c r="AE16" s="202">
        <f t="shared" si="20"/>
        <v>33.813396456531386</v>
      </c>
      <c r="AF16" s="203">
        <f t="shared" si="18"/>
        <v>-83.822562642009004</v>
      </c>
    </row>
    <row r="17" spans="2:32" ht="14.4">
      <c r="B17" s="127" t="s">
        <v>899</v>
      </c>
      <c r="C17" s="40">
        <v>915248.01699999999</v>
      </c>
      <c r="D17" s="126">
        <f t="shared" si="0"/>
        <v>2.7592688808520043E-2</v>
      </c>
      <c r="F17" s="127" t="str">
        <f t="shared" si="3"/>
        <v>Washington</v>
      </c>
      <c r="G17" s="229">
        <f t="shared" si="4"/>
        <v>915248.01699999999</v>
      </c>
      <c r="H17" s="23">
        <f t="shared" si="1"/>
        <v>3.2911684355580985E-2</v>
      </c>
      <c r="I17" s="201">
        <f t="shared" si="2"/>
        <v>2.7592688808520043E-2</v>
      </c>
      <c r="K17" s="44" t="s">
        <v>893</v>
      </c>
      <c r="L17" t="s">
        <v>900</v>
      </c>
      <c r="M17" t="s">
        <v>901</v>
      </c>
      <c r="N17" s="202">
        <v>35.716371899999999</v>
      </c>
      <c r="O17" s="203">
        <v>-78.587615299999996</v>
      </c>
      <c r="Q17" s="1092" t="str">
        <f t="shared" si="15"/>
        <v>North Carolina</v>
      </c>
      <c r="R17" s="1089">
        <f t="shared" si="16"/>
        <v>3.854803828667152E-2</v>
      </c>
      <c r="S17" s="29">
        <f t="shared" si="5"/>
        <v>35.716371899999999</v>
      </c>
      <c r="T17" s="29">
        <f t="shared" si="6"/>
        <v>-78.587615299999996</v>
      </c>
      <c r="U17" s="202">
        <f t="shared" si="7"/>
        <v>34.1126918</v>
      </c>
      <c r="V17" s="202">
        <f t="shared" si="8"/>
        <v>-83.761765400000002</v>
      </c>
      <c r="W17" s="202">
        <f t="shared" si="9"/>
        <v>35.6245727539062</v>
      </c>
      <c r="X17" s="202">
        <f t="shared" si="10"/>
        <v>-81.311599731445298</v>
      </c>
      <c r="Y17" s="202">
        <f t="shared" si="11"/>
        <v>35.052785</v>
      </c>
      <c r="Z17" s="202">
        <f t="shared" si="12"/>
        <v>-89.904936000000006</v>
      </c>
      <c r="AA17" s="261">
        <f t="shared" si="13"/>
        <v>33.747999999999998</v>
      </c>
      <c r="AB17" s="647">
        <f t="shared" si="14"/>
        <v>-84.387</v>
      </c>
      <c r="AD17" s="127" t="str">
        <f t="shared" si="17"/>
        <v>North Carolina</v>
      </c>
      <c r="AE17" s="202">
        <f>(S17*$S$7+U17*$U$7+W17*$W$7+Y17*$Y$7+AA17*$AA$7)</f>
        <v>35.215496823383837</v>
      </c>
      <c r="AF17" s="203">
        <f t="shared" si="18"/>
        <v>-81.453662533738026</v>
      </c>
    </row>
    <row r="18" spans="2:32" ht="14.4">
      <c r="B18" s="127" t="s">
        <v>902</v>
      </c>
      <c r="C18" s="40">
        <v>898780.28799999994</v>
      </c>
      <c r="D18" s="126">
        <f t="shared" si="0"/>
        <v>2.7096223464438296E-2</v>
      </c>
      <c r="F18" s="127" t="str">
        <f t="shared" si="3"/>
        <v>Virginia</v>
      </c>
      <c r="G18" s="229">
        <f t="shared" si="4"/>
        <v>898780.28799999994</v>
      </c>
      <c r="H18" s="23">
        <f t="shared" si="1"/>
        <v>3.2319516234116212E-2</v>
      </c>
      <c r="I18" s="201">
        <f t="shared" si="2"/>
        <v>2.7096223464438296E-2</v>
      </c>
      <c r="K18" s="44" t="s">
        <v>896</v>
      </c>
      <c r="L18" t="s">
        <v>903</v>
      </c>
      <c r="M18" t="s">
        <v>904</v>
      </c>
      <c r="N18" s="202">
        <v>42.441541399999998</v>
      </c>
      <c r="O18" s="203">
        <v>-83.121932599999994</v>
      </c>
      <c r="Q18" s="1092" t="str">
        <f t="shared" si="15"/>
        <v>Michigan</v>
      </c>
      <c r="R18" s="1089">
        <f t="shared" si="16"/>
        <v>3.3790084281009318E-2</v>
      </c>
      <c r="S18" s="29">
        <f t="shared" si="5"/>
        <v>42.441541399999998</v>
      </c>
      <c r="T18" s="29">
        <f t="shared" si="6"/>
        <v>-83.121932599999994</v>
      </c>
      <c r="U18" s="202">
        <f t="shared" si="7"/>
        <v>35.052785</v>
      </c>
      <c r="V18" s="202">
        <f t="shared" si="8"/>
        <v>-89.904936000000006</v>
      </c>
      <c r="W18" s="202">
        <f t="shared" si="9"/>
        <v>42.274650999999999</v>
      </c>
      <c r="X18" s="202">
        <f t="shared" si="10"/>
        <v>-85.383037000000002</v>
      </c>
      <c r="Y18" s="202">
        <f t="shared" si="11"/>
        <v>40.756340000000002</v>
      </c>
      <c r="Z18" s="202">
        <f t="shared" si="12"/>
        <v>-73.498620000000003</v>
      </c>
      <c r="AA18" s="261">
        <f t="shared" si="13"/>
        <v>42.680999999999997</v>
      </c>
      <c r="AB18" s="647">
        <f t="shared" si="14"/>
        <v>-82.736000000000004</v>
      </c>
      <c r="AD18" s="127" t="str">
        <f t="shared" si="17"/>
        <v>Michigan</v>
      </c>
      <c r="AE18" s="202">
        <f t="shared" si="20"/>
        <v>41.177647347332375</v>
      </c>
      <c r="AF18" s="203">
        <f t="shared" si="18"/>
        <v>-83.259366868516878</v>
      </c>
    </row>
    <row r="19" spans="2:32" ht="14.4">
      <c r="B19" s="127" t="s">
        <v>905</v>
      </c>
      <c r="C19" s="40">
        <v>878009.67799999996</v>
      </c>
      <c r="D19" s="126">
        <f t="shared" si="0"/>
        <v>2.6470035843762868E-2</v>
      </c>
      <c r="F19" s="127" t="str">
        <f t="shared" si="3"/>
        <v>New Jersey</v>
      </c>
      <c r="G19" s="229">
        <f t="shared" si="4"/>
        <v>878009.67799999996</v>
      </c>
      <c r="H19" s="23">
        <f t="shared" si="1"/>
        <v>3.157261949411172E-2</v>
      </c>
      <c r="I19" s="201">
        <f t="shared" si="2"/>
        <v>2.6470035843762868E-2</v>
      </c>
      <c r="K19" s="44" t="s">
        <v>899</v>
      </c>
      <c r="L19" t="s">
        <v>906</v>
      </c>
      <c r="M19" t="s">
        <v>907</v>
      </c>
      <c r="N19" s="202">
        <v>38.977177400000002</v>
      </c>
      <c r="O19" s="203">
        <v>-77.020621300000002</v>
      </c>
      <c r="Q19" s="1092" t="str">
        <f t="shared" si="15"/>
        <v>Washington</v>
      </c>
      <c r="R19" s="1089">
        <f t="shared" si="16"/>
        <v>3.2911684355580985E-2</v>
      </c>
      <c r="S19" s="29">
        <f t="shared" si="5"/>
        <v>38.977177400000002</v>
      </c>
      <c r="T19" s="29">
        <f t="shared" si="6"/>
        <v>-77.020621300000002</v>
      </c>
      <c r="U19" s="202">
        <f t="shared" si="7"/>
        <v>40.313870999999999</v>
      </c>
      <c r="V19" s="202">
        <f t="shared" si="8"/>
        <v>-74.465034000000003</v>
      </c>
      <c r="W19" s="202">
        <f t="shared" si="9"/>
        <v>38.869230000000002</v>
      </c>
      <c r="X19" s="202">
        <f t="shared" si="10"/>
        <v>-76.731183999999999</v>
      </c>
      <c r="Y19" s="202">
        <f t="shared" si="11"/>
        <v>40.756340000000002</v>
      </c>
      <c r="Z19" s="202">
        <f t="shared" si="12"/>
        <v>-73.498620000000003</v>
      </c>
      <c r="AA19" s="261">
        <f t="shared" si="13"/>
        <v>37.292999999999999</v>
      </c>
      <c r="AB19" s="647">
        <f t="shared" si="14"/>
        <v>-80.054000000000002</v>
      </c>
      <c r="AD19" s="127" t="str">
        <f t="shared" si="17"/>
        <v>Washington</v>
      </c>
      <c r="AE19" s="202">
        <f t="shared" si="20"/>
        <v>39.202885996638244</v>
      </c>
      <c r="AF19" s="203">
        <f t="shared" si="18"/>
        <v>-76.501944567411144</v>
      </c>
    </row>
    <row r="20" spans="2:32" ht="14.4">
      <c r="B20" s="127" t="s">
        <v>908</v>
      </c>
      <c r="C20" s="40">
        <v>727582.20299999998</v>
      </c>
      <c r="D20" s="126">
        <f t="shared" si="0"/>
        <v>2.1934982580788763E-2</v>
      </c>
      <c r="F20" s="127" t="str">
        <f t="shared" si="3"/>
        <v>Colorado</v>
      </c>
      <c r="G20" s="229">
        <f t="shared" si="4"/>
        <v>727582.20299999998</v>
      </c>
      <c r="H20" s="23">
        <f t="shared" si="1"/>
        <v>2.6163351750670055E-2</v>
      </c>
      <c r="I20" s="201">
        <f t="shared" si="2"/>
        <v>2.1934982580788763E-2</v>
      </c>
      <c r="K20" s="44" t="s">
        <v>902</v>
      </c>
      <c r="L20" s="215" t="s">
        <v>909</v>
      </c>
      <c r="M20" t="s">
        <v>910</v>
      </c>
      <c r="N20" s="202">
        <v>38.986756</v>
      </c>
      <c r="O20" s="203">
        <v>-77.439851000000004</v>
      </c>
      <c r="Q20" s="1092" t="str">
        <f t="shared" si="15"/>
        <v>Virginia</v>
      </c>
      <c r="R20" s="1089">
        <f t="shared" si="16"/>
        <v>3.2319516234116212E-2</v>
      </c>
      <c r="S20" s="29">
        <f t="shared" si="5"/>
        <v>38.986756</v>
      </c>
      <c r="T20" s="29">
        <f t="shared" si="6"/>
        <v>-77.439851000000004</v>
      </c>
      <c r="U20" s="202">
        <f t="shared" si="7"/>
        <v>40.313870999999999</v>
      </c>
      <c r="V20" s="202">
        <f t="shared" si="8"/>
        <v>-74.465034000000003</v>
      </c>
      <c r="W20" s="202">
        <f t="shared" si="9"/>
        <v>36.707286500000002</v>
      </c>
      <c r="X20" s="202">
        <f t="shared" si="10"/>
        <v>-76.664906500000001</v>
      </c>
      <c r="Y20" s="202">
        <f t="shared" si="11"/>
        <v>40.756340000000002</v>
      </c>
      <c r="Z20" s="202">
        <f t="shared" si="12"/>
        <v>-73.498620000000003</v>
      </c>
      <c r="AA20" s="261">
        <f t="shared" si="13"/>
        <v>37.292999999999999</v>
      </c>
      <c r="AB20" s="647">
        <f t="shared" si="14"/>
        <v>-80.054000000000002</v>
      </c>
      <c r="AD20" s="127" t="str">
        <f t="shared" si="17"/>
        <v>Virginia</v>
      </c>
      <c r="AE20" s="202">
        <f t="shared" si="20"/>
        <v>38.961949996441852</v>
      </c>
      <c r="AF20" s="203">
        <f t="shared" si="18"/>
        <v>-76.719087832531358</v>
      </c>
    </row>
    <row r="21" spans="2:32" ht="14.4">
      <c r="B21" s="127" t="s">
        <v>911</v>
      </c>
      <c r="C21" s="40">
        <v>725230.44099999999</v>
      </c>
      <c r="D21" s="126">
        <f t="shared" si="0"/>
        <v>2.1864082195524447E-2</v>
      </c>
      <c r="F21" s="127" t="str">
        <f t="shared" si="3"/>
        <v>Tennessee</v>
      </c>
      <c r="G21" s="229">
        <f t="shared" si="4"/>
        <v>725230.44099999999</v>
      </c>
      <c r="H21" s="23">
        <f t="shared" si="1"/>
        <v>2.6078784019098068E-2</v>
      </c>
      <c r="I21" s="201">
        <f t="shared" si="2"/>
        <v>2.1864082195524447E-2</v>
      </c>
      <c r="K21" s="44" t="s">
        <v>905</v>
      </c>
      <c r="L21" s="215" t="s">
        <v>912</v>
      </c>
      <c r="M21" t="s">
        <v>913</v>
      </c>
      <c r="N21" s="202">
        <v>40.200749999999999</v>
      </c>
      <c r="O21" s="203">
        <v>-74.578925999999996</v>
      </c>
      <c r="Q21" s="1092" t="str">
        <f t="shared" si="15"/>
        <v>New Jersey</v>
      </c>
      <c r="R21" s="1089">
        <f t="shared" si="16"/>
        <v>3.157261949411172E-2</v>
      </c>
      <c r="S21" s="29">
        <f t="shared" si="5"/>
        <v>40.200749999999999</v>
      </c>
      <c r="T21" s="29">
        <f t="shared" si="6"/>
        <v>-74.578925999999996</v>
      </c>
      <c r="U21" s="202">
        <f t="shared" si="7"/>
        <v>40.313870999999999</v>
      </c>
      <c r="V21" s="202">
        <f t="shared" si="8"/>
        <v>-74.465034000000003</v>
      </c>
      <c r="W21" s="202">
        <f t="shared" si="9"/>
        <v>40.526919999999997</v>
      </c>
      <c r="X21" s="202">
        <f t="shared" si="10"/>
        <v>-74.255489999999995</v>
      </c>
      <c r="Y21" s="202">
        <f t="shared" si="11"/>
        <v>40.756340000000002</v>
      </c>
      <c r="Z21" s="202">
        <f t="shared" si="12"/>
        <v>-73.498620000000003</v>
      </c>
      <c r="AA21" s="261">
        <f t="shared" si="13"/>
        <v>37.292999999999999</v>
      </c>
      <c r="AB21" s="647">
        <f t="shared" si="14"/>
        <v>-80.054000000000002</v>
      </c>
      <c r="AD21" s="127" t="str">
        <f t="shared" si="17"/>
        <v>New Jersey</v>
      </c>
      <c r="AE21" s="202">
        <f t="shared" si="20"/>
        <v>40.047338031154595</v>
      </c>
      <c r="AF21" s="203">
        <f t="shared" si="18"/>
        <v>-74.911533377427759</v>
      </c>
    </row>
    <row r="22" spans="2:32" ht="14.4">
      <c r="B22" s="127" t="s">
        <v>914</v>
      </c>
      <c r="C22" s="40">
        <v>718034.11899999995</v>
      </c>
      <c r="D22" s="126">
        <f t="shared" si="0"/>
        <v>2.1647129118518318E-2</v>
      </c>
      <c r="F22" s="127" t="str">
        <f t="shared" si="3"/>
        <v>Massachusetts</v>
      </c>
      <c r="G22" s="229">
        <f t="shared" si="4"/>
        <v>718034.11899999995</v>
      </c>
      <c r="H22" s="23">
        <f t="shared" si="1"/>
        <v>2.5820009267570665E-2</v>
      </c>
      <c r="I22" s="201">
        <f t="shared" si="2"/>
        <v>2.1647129118518318E-2</v>
      </c>
      <c r="K22" s="44" t="s">
        <v>908</v>
      </c>
      <c r="L22" t="s">
        <v>915</v>
      </c>
      <c r="M22" t="s">
        <v>916</v>
      </c>
      <c r="N22" s="202">
        <v>39.813837599999999</v>
      </c>
      <c r="O22" s="203">
        <v>-104.9989647</v>
      </c>
      <c r="Q22" s="1092" t="str">
        <f t="shared" si="15"/>
        <v>Colorado</v>
      </c>
      <c r="R22" s="1089">
        <f t="shared" si="16"/>
        <v>2.6163351750670055E-2</v>
      </c>
      <c r="S22" s="29">
        <f t="shared" si="5"/>
        <v>39.813837599999999</v>
      </c>
      <c r="T22" s="29">
        <f t="shared" si="6"/>
        <v>-104.9989647</v>
      </c>
      <c r="U22" s="202">
        <f t="shared" si="7"/>
        <v>32.6596519</v>
      </c>
      <c r="V22" s="202">
        <f t="shared" si="8"/>
        <v>-97.071066299999998</v>
      </c>
      <c r="W22" s="202">
        <f t="shared" si="9"/>
        <v>38.966207099999998</v>
      </c>
      <c r="X22" s="202">
        <f t="shared" si="10"/>
        <v>-95.692740999999998</v>
      </c>
      <c r="Y22" s="202">
        <f t="shared" si="11"/>
        <v>35.052785</v>
      </c>
      <c r="Z22" s="202">
        <f t="shared" si="12"/>
        <v>-89.904936000000006</v>
      </c>
      <c r="AA22" s="261">
        <f t="shared" si="13"/>
        <v>39.738999999999997</v>
      </c>
      <c r="AB22" s="647">
        <f t="shared" si="14"/>
        <v>-104.991</v>
      </c>
      <c r="AD22" s="127" t="str">
        <f t="shared" si="17"/>
        <v>Colorado</v>
      </c>
      <c r="AE22" s="202">
        <f t="shared" si="20"/>
        <v>38.134148504144349</v>
      </c>
      <c r="AF22" s="203">
        <f t="shared" si="18"/>
        <v>-101.09586582247206</v>
      </c>
    </row>
    <row r="23" spans="2:32" ht="14.4">
      <c r="B23" s="127" t="s">
        <v>917</v>
      </c>
      <c r="C23" s="40">
        <v>714572.94900000002</v>
      </c>
      <c r="D23" s="126">
        <f t="shared" si="0"/>
        <v>2.1542782553489504E-2</v>
      </c>
      <c r="F23" s="127" t="str">
        <f t="shared" si="3"/>
        <v>Arizona</v>
      </c>
      <c r="G23" s="229">
        <f t="shared" si="4"/>
        <v>714572.94900000002</v>
      </c>
      <c r="H23" s="23">
        <f t="shared" si="1"/>
        <v>2.5695547993221896E-2</v>
      </c>
      <c r="I23" s="201">
        <f t="shared" si="2"/>
        <v>2.1542782553489504E-2</v>
      </c>
      <c r="K23" s="44" t="s">
        <v>911</v>
      </c>
      <c r="L23" t="s">
        <v>918</v>
      </c>
      <c r="M23" t="s">
        <v>919</v>
      </c>
      <c r="N23" s="202">
        <v>36.128422999999998</v>
      </c>
      <c r="O23" s="203">
        <v>-86.693565000000007</v>
      </c>
      <c r="Q23" s="1092" t="str">
        <f t="shared" si="15"/>
        <v>Tennessee</v>
      </c>
      <c r="R23" s="1089">
        <f t="shared" si="16"/>
        <v>2.6078784019098068E-2</v>
      </c>
      <c r="S23" s="29">
        <f t="shared" si="5"/>
        <v>36.128422999999998</v>
      </c>
      <c r="T23" s="29">
        <f t="shared" si="6"/>
        <v>-86.693565000000007</v>
      </c>
      <c r="U23" s="202">
        <f t="shared" si="7"/>
        <v>35.052785</v>
      </c>
      <c r="V23" s="202">
        <f t="shared" si="8"/>
        <v>-89.904936000000006</v>
      </c>
      <c r="W23" s="202">
        <f t="shared" si="9"/>
        <v>41.922240000000002</v>
      </c>
      <c r="X23" s="202">
        <f t="shared" si="10"/>
        <v>-87.959710000000001</v>
      </c>
      <c r="Y23" s="202">
        <f t="shared" si="11"/>
        <v>35.052785</v>
      </c>
      <c r="Z23" s="202">
        <f t="shared" si="12"/>
        <v>-89.904936000000006</v>
      </c>
      <c r="AA23" s="261">
        <f t="shared" si="13"/>
        <v>35.116999999999997</v>
      </c>
      <c r="AB23" s="647">
        <f t="shared" si="14"/>
        <v>-89.971000000000004</v>
      </c>
      <c r="AD23" s="127" t="str">
        <f t="shared" si="17"/>
        <v>Tennessee</v>
      </c>
      <c r="AE23" s="202">
        <f t="shared" si="20"/>
        <v>36.417090452952174</v>
      </c>
      <c r="AF23" s="203">
        <f t="shared" si="18"/>
        <v>-87.968506832343849</v>
      </c>
    </row>
    <row r="24" spans="2:32" ht="14.4">
      <c r="B24" s="127" t="s">
        <v>920</v>
      </c>
      <c r="C24" s="40">
        <v>687251</v>
      </c>
      <c r="D24" s="126">
        <f t="shared" si="0"/>
        <v>2.0719086656425075E-2</v>
      </c>
      <c r="F24" s="127" t="str">
        <f t="shared" si="3"/>
        <v>Indiana</v>
      </c>
      <c r="G24" s="229">
        <f t="shared" si="4"/>
        <v>687251</v>
      </c>
      <c r="H24" s="23">
        <f t="shared" si="1"/>
        <v>2.4713069643348254E-2</v>
      </c>
      <c r="I24" s="201">
        <f t="shared" si="2"/>
        <v>2.0719086656425075E-2</v>
      </c>
      <c r="K24" s="44" t="s">
        <v>914</v>
      </c>
      <c r="L24" t="s">
        <v>921</v>
      </c>
      <c r="M24" t="s">
        <v>922</v>
      </c>
      <c r="N24" s="202">
        <v>42.431899100000003</v>
      </c>
      <c r="O24" s="203">
        <v>-71.021821000000003</v>
      </c>
      <c r="Q24" s="1092" t="str">
        <f t="shared" si="15"/>
        <v>Massachusetts</v>
      </c>
      <c r="R24" s="1089">
        <f t="shared" si="16"/>
        <v>2.5820009267570665E-2</v>
      </c>
      <c r="S24" s="29">
        <f t="shared" si="5"/>
        <v>42.431899100000003</v>
      </c>
      <c r="T24" s="29">
        <f t="shared" si="6"/>
        <v>-71.021821000000003</v>
      </c>
      <c r="U24" s="202">
        <f t="shared" si="7"/>
        <v>40.313870999999999</v>
      </c>
      <c r="V24" s="202">
        <f t="shared" si="8"/>
        <v>-74.465034000000003</v>
      </c>
      <c r="W24" s="202">
        <f t="shared" si="9"/>
        <v>40.526919999999997</v>
      </c>
      <c r="X24" s="202">
        <f t="shared" si="10"/>
        <v>-74.255489999999995</v>
      </c>
      <c r="Y24" s="202">
        <f t="shared" si="11"/>
        <v>40.756340000000002</v>
      </c>
      <c r="Z24" s="202">
        <f t="shared" si="12"/>
        <v>-73.498620000000003</v>
      </c>
      <c r="AA24" s="261">
        <f t="shared" si="13"/>
        <v>37.292999999999999</v>
      </c>
      <c r="AB24" s="647">
        <f t="shared" si="14"/>
        <v>-80.054000000000002</v>
      </c>
      <c r="AD24" s="127" t="str">
        <f t="shared" si="17"/>
        <v>Massachusetts</v>
      </c>
      <c r="AE24" s="202">
        <f t="shared" si="20"/>
        <v>41.243126267889437</v>
      </c>
      <c r="AF24" s="203">
        <f t="shared" si="18"/>
        <v>-73.005096772258398</v>
      </c>
    </row>
    <row r="25" spans="2:32" ht="14.4">
      <c r="B25" s="127" t="s">
        <v>923</v>
      </c>
      <c r="C25" s="40">
        <v>633328.44099999999</v>
      </c>
      <c r="D25" s="126">
        <f t="shared" si="0"/>
        <v>1.9093441626214576E-2</v>
      </c>
      <c r="F25" s="127" t="str">
        <f t="shared" si="3"/>
        <v>Minnesota</v>
      </c>
      <c r="G25" s="229">
        <f t="shared" si="4"/>
        <v>633328.44099999999</v>
      </c>
      <c r="H25" s="23">
        <f t="shared" si="1"/>
        <v>2.2774051794098773E-2</v>
      </c>
      <c r="I25" s="201">
        <f t="shared" si="2"/>
        <v>1.9093441626214576E-2</v>
      </c>
      <c r="K25" s="44" t="s">
        <v>917</v>
      </c>
      <c r="L25" t="s">
        <v>924</v>
      </c>
      <c r="M25" t="s">
        <v>925</v>
      </c>
      <c r="N25" s="202">
        <v>33.431179999999998</v>
      </c>
      <c r="O25" s="203">
        <v>-112.1594932</v>
      </c>
      <c r="Q25" s="1092" t="str">
        <f t="shared" si="15"/>
        <v>Arizona</v>
      </c>
      <c r="R25" s="1089">
        <f t="shared" si="16"/>
        <v>2.5695547993221896E-2</v>
      </c>
      <c r="S25" s="29">
        <f t="shared" si="5"/>
        <v>33.431179999999998</v>
      </c>
      <c r="T25" s="29">
        <f t="shared" si="6"/>
        <v>-112.1594932</v>
      </c>
      <c r="U25" s="202">
        <f t="shared" si="7"/>
        <v>34.012281000000002</v>
      </c>
      <c r="V25" s="202">
        <f t="shared" si="8"/>
        <v>-117.615167</v>
      </c>
      <c r="W25" s="202">
        <f t="shared" si="9"/>
        <v>32.090090699999998</v>
      </c>
      <c r="X25" s="202">
        <f t="shared" si="10"/>
        <v>-110.8031467</v>
      </c>
      <c r="Y25" s="202">
        <f t="shared" si="11"/>
        <v>35.052785</v>
      </c>
      <c r="Z25" s="202">
        <f t="shared" si="12"/>
        <v>-89.904936000000006</v>
      </c>
      <c r="AA25" s="261">
        <f t="shared" si="13"/>
        <v>33.450000000000003</v>
      </c>
      <c r="AB25" s="647">
        <f t="shared" si="14"/>
        <v>-112.259</v>
      </c>
      <c r="AD25" s="127" t="str">
        <f t="shared" si="17"/>
        <v>Arizona</v>
      </c>
      <c r="AE25" s="202">
        <f t="shared" si="20"/>
        <v>33.546214200667116</v>
      </c>
      <c r="AF25" s="203">
        <f t="shared" si="18"/>
        <v>-110.32578321984641</v>
      </c>
    </row>
    <row r="26" spans="2:32" ht="14.4">
      <c r="B26" s="127" t="s">
        <v>926</v>
      </c>
      <c r="C26" s="40">
        <v>627773.32200000004</v>
      </c>
      <c r="D26" s="126">
        <f t="shared" si="0"/>
        <v>1.8925967163539729E-2</v>
      </c>
      <c r="F26" s="127" t="str">
        <f t="shared" si="3"/>
        <v>Missouri</v>
      </c>
      <c r="G26" s="229">
        <f t="shared" si="4"/>
        <v>627773.32200000004</v>
      </c>
      <c r="H26" s="23">
        <f t="shared" si="1"/>
        <v>2.2574293564974209E-2</v>
      </c>
      <c r="I26" s="201">
        <f t="shared" si="2"/>
        <v>1.8925967163539729E-2</v>
      </c>
      <c r="K26" s="44" t="s">
        <v>920</v>
      </c>
      <c r="L26" t="s">
        <v>927</v>
      </c>
      <c r="M26" t="s">
        <v>928</v>
      </c>
      <c r="N26" s="202">
        <v>39.754683200000002</v>
      </c>
      <c r="O26" s="203">
        <v>-86.289099800000002</v>
      </c>
      <c r="Q26" s="1092" t="str">
        <f t="shared" si="15"/>
        <v>Indiana</v>
      </c>
      <c r="R26" s="1089">
        <f t="shared" si="16"/>
        <v>2.4713069643348254E-2</v>
      </c>
      <c r="S26" s="29">
        <f t="shared" si="5"/>
        <v>39.754683200000002</v>
      </c>
      <c r="T26" s="29">
        <f t="shared" si="6"/>
        <v>-86.289099800000002</v>
      </c>
      <c r="U26" s="202">
        <f t="shared" si="7"/>
        <v>35.052785</v>
      </c>
      <c r="V26" s="202">
        <f t="shared" si="8"/>
        <v>-89.904936000000006</v>
      </c>
      <c r="W26" s="202">
        <f t="shared" si="9"/>
        <v>39.749461699999998</v>
      </c>
      <c r="X26" s="202">
        <f t="shared" si="10"/>
        <v>-86.295311999999996</v>
      </c>
      <c r="Y26" s="202">
        <f t="shared" si="11"/>
        <v>35.052785</v>
      </c>
      <c r="Z26" s="202">
        <f t="shared" si="12"/>
        <v>-89.904936000000006</v>
      </c>
      <c r="AA26" s="261">
        <f t="shared" si="13"/>
        <v>39.521000000000001</v>
      </c>
      <c r="AB26" s="647">
        <f t="shared" si="14"/>
        <v>-85.775999999999996</v>
      </c>
      <c r="AD26" s="127" t="str">
        <f t="shared" si="17"/>
        <v>Indiana</v>
      </c>
      <c r="AE26" s="202">
        <f t="shared" si="20"/>
        <v>38.520853758086865</v>
      </c>
      <c r="AF26" s="203">
        <f t="shared" si="18"/>
        <v>-87.174069403224678</v>
      </c>
    </row>
    <row r="27" spans="2:32" ht="14.4">
      <c r="B27" s="127" t="s">
        <v>929</v>
      </c>
      <c r="C27" s="40">
        <v>625278.72900000005</v>
      </c>
      <c r="D27" s="126">
        <f t="shared" si="0"/>
        <v>1.8850760741810971E-2</v>
      </c>
      <c r="F27" s="127" t="str">
        <f t="shared" si="3"/>
        <v>Maryland</v>
      </c>
      <c r="G27" s="229">
        <f t="shared" si="4"/>
        <v>625278.72900000005</v>
      </c>
      <c r="H27" s="23">
        <f t="shared" si="1"/>
        <v>2.2484589729634852E-2</v>
      </c>
      <c r="I27" s="201">
        <f t="shared" si="2"/>
        <v>1.8850760741810971E-2</v>
      </c>
      <c r="K27" s="44" t="s">
        <v>923</v>
      </c>
      <c r="L27" t="s">
        <v>930</v>
      </c>
      <c r="M27" t="s">
        <v>931</v>
      </c>
      <c r="N27" s="202">
        <v>45.120615000000001</v>
      </c>
      <c r="O27" s="203">
        <v>-93.415329</v>
      </c>
      <c r="Q27" s="1092" t="str">
        <f t="shared" si="15"/>
        <v>Minnesota</v>
      </c>
      <c r="R27" s="1089">
        <f t="shared" si="16"/>
        <v>2.2774051794098773E-2</v>
      </c>
      <c r="S27" s="29">
        <f t="shared" si="5"/>
        <v>45.120615000000001</v>
      </c>
      <c r="T27" s="29">
        <f t="shared" si="6"/>
        <v>-93.415329</v>
      </c>
      <c r="U27" s="202">
        <f t="shared" si="7"/>
        <v>35.052785</v>
      </c>
      <c r="V27" s="202">
        <f t="shared" si="8"/>
        <v>-89.904936000000006</v>
      </c>
      <c r="W27" s="202">
        <f t="shared" si="9"/>
        <v>45.100411700000002</v>
      </c>
      <c r="X27" s="202">
        <f t="shared" si="10"/>
        <v>-93.244088700000006</v>
      </c>
      <c r="Y27" s="202">
        <f t="shared" si="11"/>
        <v>35.052785</v>
      </c>
      <c r="Z27" s="202">
        <f t="shared" si="12"/>
        <v>-89.904936000000006</v>
      </c>
      <c r="AA27" s="261">
        <f t="shared" si="13"/>
        <v>43.176000000000002</v>
      </c>
      <c r="AB27" s="647">
        <f t="shared" si="14"/>
        <v>-89.793999999999997</v>
      </c>
      <c r="AD27" s="127" t="str">
        <f t="shared" si="17"/>
        <v>Minnesota</v>
      </c>
      <c r="AE27" s="202">
        <f t="shared" si="20"/>
        <v>42.344022507009143</v>
      </c>
      <c r="AF27" s="203">
        <f t="shared" si="18"/>
        <v>-92.156128843207313</v>
      </c>
    </row>
    <row r="28" spans="2:32" ht="14.4">
      <c r="B28" s="127" t="s">
        <v>932</v>
      </c>
      <c r="C28" s="40">
        <v>616071.10199999996</v>
      </c>
      <c r="D28" s="126">
        <f t="shared" si="0"/>
        <v>1.8573171299652223E-2</v>
      </c>
      <c r="F28" s="127" t="str">
        <f t="shared" si="3"/>
        <v>Wisconsin</v>
      </c>
      <c r="G28" s="229">
        <f t="shared" si="4"/>
        <v>616071.10199999996</v>
      </c>
      <c r="H28" s="23">
        <f t="shared" si="1"/>
        <v>2.2153489844293141E-2</v>
      </c>
      <c r="I28" s="201">
        <f t="shared" si="2"/>
        <v>1.8573171299652223E-2</v>
      </c>
      <c r="K28" s="44" t="s">
        <v>926</v>
      </c>
      <c r="L28" t="s">
        <v>933</v>
      </c>
      <c r="M28" t="s">
        <v>934</v>
      </c>
      <c r="N28" s="202">
        <v>38.809025499999997</v>
      </c>
      <c r="O28" s="203">
        <v>-90.571733600000002</v>
      </c>
      <c r="Q28" s="1092" t="str">
        <f t="shared" si="15"/>
        <v>Missouri</v>
      </c>
      <c r="R28" s="1089">
        <f t="shared" si="16"/>
        <v>2.2574293564974209E-2</v>
      </c>
      <c r="S28" s="29">
        <f t="shared" si="5"/>
        <v>38.809025499999997</v>
      </c>
      <c r="T28" s="29">
        <f t="shared" si="6"/>
        <v>-90.571733600000002</v>
      </c>
      <c r="U28" s="202">
        <f t="shared" si="7"/>
        <v>35.052785</v>
      </c>
      <c r="V28" s="202">
        <f t="shared" si="8"/>
        <v>-89.904936000000006</v>
      </c>
      <c r="W28" s="202">
        <f t="shared" si="9"/>
        <v>38.848698499999998</v>
      </c>
      <c r="X28" s="202">
        <f t="shared" si="10"/>
        <v>-94.8195075</v>
      </c>
      <c r="Y28" s="202">
        <f t="shared" si="11"/>
        <v>35.052785</v>
      </c>
      <c r="Z28" s="202">
        <f t="shared" si="12"/>
        <v>-89.904936000000006</v>
      </c>
      <c r="AA28" s="261">
        <f t="shared" si="13"/>
        <v>38.06</v>
      </c>
      <c r="AB28" s="647">
        <f t="shared" si="14"/>
        <v>-97.929000000000002</v>
      </c>
      <c r="AD28" s="127" t="str">
        <f t="shared" si="17"/>
        <v>Missouri</v>
      </c>
      <c r="AE28" s="202">
        <f t="shared" si="20"/>
        <v>37.77629571631428</v>
      </c>
      <c r="AF28" s="203">
        <f t="shared" si="18"/>
        <v>-91.564260150735507</v>
      </c>
    </row>
    <row r="29" spans="2:32" ht="14.4">
      <c r="B29" s="127" t="s">
        <v>935</v>
      </c>
      <c r="C29" s="40">
        <v>499357.01699999999</v>
      </c>
      <c r="D29" s="126">
        <f t="shared" si="0"/>
        <v>1.5054501641637377E-2</v>
      </c>
      <c r="F29" s="127" t="str">
        <f t="shared" si="3"/>
        <v>South Carolina</v>
      </c>
      <c r="G29" s="229">
        <f t="shared" si="4"/>
        <v>499357.01699999999</v>
      </c>
      <c r="H29" s="23">
        <f t="shared" si="1"/>
        <v>1.7956532239335611E-2</v>
      </c>
      <c r="I29" s="201">
        <f t="shared" si="2"/>
        <v>1.5054501641637377E-2</v>
      </c>
      <c r="K29" s="44" t="s">
        <v>929</v>
      </c>
      <c r="L29" t="s">
        <v>936</v>
      </c>
      <c r="M29" t="s">
        <v>937</v>
      </c>
      <c r="N29" s="202">
        <v>39.267657499999999</v>
      </c>
      <c r="O29" s="203">
        <v>-76.549045300000003</v>
      </c>
      <c r="Q29" s="1092" t="str">
        <f t="shared" si="15"/>
        <v>Maryland</v>
      </c>
      <c r="R29" s="1089">
        <f t="shared" si="16"/>
        <v>2.2484589729634852E-2</v>
      </c>
      <c r="S29" s="29">
        <f t="shared" si="5"/>
        <v>39.267657499999999</v>
      </c>
      <c r="T29" s="29">
        <f t="shared" si="6"/>
        <v>-76.549045300000003</v>
      </c>
      <c r="U29" s="202">
        <f t="shared" si="7"/>
        <v>40.313870999999999</v>
      </c>
      <c r="V29" s="202">
        <f t="shared" si="8"/>
        <v>-74.465034000000003</v>
      </c>
      <c r="W29" s="202">
        <f t="shared" si="9"/>
        <v>38.869230000000002</v>
      </c>
      <c r="X29" s="202">
        <f t="shared" si="10"/>
        <v>-76.731183999999999</v>
      </c>
      <c r="Y29" s="202">
        <f t="shared" si="11"/>
        <v>40.756340000000002</v>
      </c>
      <c r="Z29" s="202">
        <f t="shared" si="12"/>
        <v>-73.498620000000003</v>
      </c>
      <c r="AA29" s="261">
        <f t="shared" si="13"/>
        <v>37.292999999999999</v>
      </c>
      <c r="AB29" s="647">
        <f t="shared" si="14"/>
        <v>-80.054000000000002</v>
      </c>
      <c r="AD29" s="127" t="str">
        <f t="shared" si="17"/>
        <v>Maryland</v>
      </c>
      <c r="AE29" s="202">
        <f t="shared" si="20"/>
        <v>39.358569310938286</v>
      </c>
      <c r="AF29" s="203">
        <f t="shared" si="18"/>
        <v>-76.249202590854551</v>
      </c>
    </row>
    <row r="30" spans="2:32" ht="14.4">
      <c r="B30" s="127" t="s">
        <v>938</v>
      </c>
      <c r="C30" s="40">
        <v>456330</v>
      </c>
      <c r="D30" s="126">
        <f t="shared" si="0"/>
        <v>1.3757332930656273E-2</v>
      </c>
      <c r="F30" s="127" t="str">
        <f t="shared" si="3"/>
        <v>Oregon</v>
      </c>
      <c r="G30" s="229">
        <f t="shared" si="4"/>
        <v>456330</v>
      </c>
      <c r="H30" s="23">
        <f t="shared" si="1"/>
        <v>1.6409310528975742E-2</v>
      </c>
      <c r="I30" s="201">
        <f t="shared" si="2"/>
        <v>1.3757332930656273E-2</v>
      </c>
      <c r="K30" s="44" t="s">
        <v>932</v>
      </c>
      <c r="L30" t="s">
        <v>939</v>
      </c>
      <c r="M30" t="s">
        <v>940</v>
      </c>
      <c r="N30" s="202">
        <v>44.285511999999997</v>
      </c>
      <c r="O30" s="203">
        <v>-88.507007000000002</v>
      </c>
      <c r="Q30" s="1092" t="str">
        <f t="shared" si="15"/>
        <v>Wisconsin</v>
      </c>
      <c r="R30" s="1089">
        <f t="shared" si="16"/>
        <v>2.2153489844293141E-2</v>
      </c>
      <c r="S30" s="29">
        <f t="shared" si="5"/>
        <v>44.285511999999997</v>
      </c>
      <c r="T30" s="29">
        <f t="shared" si="6"/>
        <v>-88.507007000000002</v>
      </c>
      <c r="U30" s="202">
        <f t="shared" si="7"/>
        <v>35.052785</v>
      </c>
      <c r="V30" s="202">
        <f t="shared" si="8"/>
        <v>-89.904936000000006</v>
      </c>
      <c r="W30" s="202">
        <f t="shared" si="9"/>
        <v>43.084753999999997</v>
      </c>
      <c r="X30" s="202">
        <f t="shared" si="10"/>
        <v>-88.510047</v>
      </c>
      <c r="Y30" s="202">
        <f t="shared" si="11"/>
        <v>40.756340000000002</v>
      </c>
      <c r="Z30" s="202">
        <f t="shared" si="12"/>
        <v>-73.498620000000003</v>
      </c>
      <c r="AA30" s="261">
        <f t="shared" si="13"/>
        <v>43.176000000000002</v>
      </c>
      <c r="AB30" s="647">
        <f t="shared" si="14"/>
        <v>-89.793999999999997</v>
      </c>
      <c r="AD30" s="127" t="str">
        <f t="shared" si="17"/>
        <v>Wisconsin</v>
      </c>
      <c r="AE30" s="202">
        <f t="shared" si="20"/>
        <v>42.303940989027943</v>
      </c>
      <c r="AF30" s="203">
        <f t="shared" si="18"/>
        <v>-87.154597831622382</v>
      </c>
    </row>
    <row r="31" spans="2:32" ht="14.4">
      <c r="B31" s="127" t="s">
        <v>941</v>
      </c>
      <c r="C31" s="40">
        <v>445032.91499999998</v>
      </c>
      <c r="D31" s="126">
        <f t="shared" si="0"/>
        <v>1.3416750984496862E-2</v>
      </c>
      <c r="F31" s="127" t="str">
        <f t="shared" si="3"/>
        <v>Alabama</v>
      </c>
      <c r="G31" s="229">
        <f t="shared" si="4"/>
        <v>445032.91499999998</v>
      </c>
      <c r="H31" s="23">
        <f t="shared" si="1"/>
        <v>1.6003075182105642E-2</v>
      </c>
      <c r="I31" s="201">
        <f t="shared" si="2"/>
        <v>1.3416750984496862E-2</v>
      </c>
      <c r="K31" s="44" t="s">
        <v>935</v>
      </c>
      <c r="L31" t="s">
        <v>942</v>
      </c>
      <c r="M31" t="s">
        <v>943</v>
      </c>
      <c r="N31" s="202">
        <v>33.981637999999997</v>
      </c>
      <c r="O31" s="203">
        <v>-81.070121</v>
      </c>
      <c r="Q31" s="1092" t="str">
        <f t="shared" si="15"/>
        <v>South Carolina</v>
      </c>
      <c r="R31" s="1089">
        <f t="shared" si="16"/>
        <v>1.7956532239335611E-2</v>
      </c>
      <c r="S31" s="29">
        <f t="shared" si="5"/>
        <v>33.981637999999997</v>
      </c>
      <c r="T31" s="29">
        <f t="shared" si="6"/>
        <v>-81.070121</v>
      </c>
      <c r="U31" s="202">
        <f t="shared" si="7"/>
        <v>34.1126918</v>
      </c>
      <c r="V31" s="202">
        <f t="shared" si="8"/>
        <v>-83.761765400000002</v>
      </c>
      <c r="W31" s="202">
        <f t="shared" si="9"/>
        <v>34.260264999999997</v>
      </c>
      <c r="X31" s="202">
        <f t="shared" si="10"/>
        <v>-80.731307999999999</v>
      </c>
      <c r="Y31" s="202">
        <f t="shared" si="11"/>
        <v>35.052785</v>
      </c>
      <c r="Z31" s="202">
        <f t="shared" si="12"/>
        <v>-89.904936000000006</v>
      </c>
      <c r="AA31" s="261">
        <f t="shared" si="13"/>
        <v>33.747999999999998</v>
      </c>
      <c r="AB31" s="647">
        <f t="shared" si="14"/>
        <v>-84.387</v>
      </c>
      <c r="AD31" s="127" t="str">
        <f t="shared" si="17"/>
        <v>South Carolina</v>
      </c>
      <c r="AE31" s="202">
        <f t="shared" si="20"/>
        <v>34.130479397195742</v>
      </c>
      <c r="AF31" s="203">
        <f t="shared" si="18"/>
        <v>-82.718117707993187</v>
      </c>
    </row>
    <row r="32" spans="2:32" ht="14.4">
      <c r="B32" s="127" t="s">
        <v>944</v>
      </c>
      <c r="C32" s="40">
        <v>421093.08500000002</v>
      </c>
      <c r="D32" s="126">
        <f t="shared" si="0"/>
        <v>1.2695018440913683E-2</v>
      </c>
      <c r="F32" s="219" t="s">
        <v>183</v>
      </c>
      <c r="G32" s="942">
        <f>SUM(G7:G31)</f>
        <v>27809212.287999999</v>
      </c>
      <c r="H32" s="936">
        <f>SUM(H7:H31)</f>
        <v>1</v>
      </c>
      <c r="I32" s="1001">
        <f>SUM(I7:I31)</f>
        <v>0.83838579971799687</v>
      </c>
      <c r="K32" s="44" t="s">
        <v>938</v>
      </c>
      <c r="L32" t="s">
        <v>945</v>
      </c>
      <c r="M32" t="s">
        <v>946</v>
      </c>
      <c r="N32" s="202">
        <v>45.636859000000001</v>
      </c>
      <c r="O32" s="203">
        <v>-122.76737799999999</v>
      </c>
      <c r="Q32" s="1092" t="str">
        <f t="shared" si="15"/>
        <v>Oregon</v>
      </c>
      <c r="R32" s="1089">
        <f t="shared" si="16"/>
        <v>1.6409310528975742E-2</v>
      </c>
      <c r="S32" s="29">
        <f t="shared" si="5"/>
        <v>45.636859000000001</v>
      </c>
      <c r="T32" s="29">
        <f t="shared" si="6"/>
        <v>-122.76737799999999</v>
      </c>
      <c r="U32" s="202">
        <f t="shared" si="7"/>
        <v>34.012281000000002</v>
      </c>
      <c r="V32" s="202">
        <f t="shared" si="8"/>
        <v>-117.615167</v>
      </c>
      <c r="W32" s="202">
        <f t="shared" si="9"/>
        <v>44.577587000000001</v>
      </c>
      <c r="X32" s="202">
        <f t="shared" si="10"/>
        <v>-123.109944</v>
      </c>
      <c r="Y32" s="202">
        <f t="shared" si="11"/>
        <v>35.052785</v>
      </c>
      <c r="Z32" s="202">
        <f t="shared" si="12"/>
        <v>-89.904936000000006</v>
      </c>
      <c r="AA32" s="261">
        <f t="shared" si="13"/>
        <v>45.406999999999996</v>
      </c>
      <c r="AB32" s="647">
        <f t="shared" si="14"/>
        <v>-122.57</v>
      </c>
      <c r="AD32" s="127" t="str">
        <f t="shared" si="17"/>
        <v>Oregon</v>
      </c>
      <c r="AE32" s="202">
        <f t="shared" si="20"/>
        <v>42.615733949741085</v>
      </c>
      <c r="AF32" s="203">
        <f t="shared" si="18"/>
        <v>-118.3660673092848</v>
      </c>
    </row>
    <row r="33" spans="2:40" ht="14.4">
      <c r="B33" s="127" t="s">
        <v>947</v>
      </c>
      <c r="C33" s="40">
        <v>409683.712</v>
      </c>
      <c r="D33" s="126">
        <f t="shared" si="0"/>
        <v>1.2351051261698991E-2</v>
      </c>
      <c r="K33" s="51" t="s">
        <v>941</v>
      </c>
      <c r="L33" s="35" t="s">
        <v>948</v>
      </c>
      <c r="M33" s="35" t="s">
        <v>949</v>
      </c>
      <c r="N33" s="224">
        <v>30.509876999999999</v>
      </c>
      <c r="O33" s="225">
        <v>-88.173000999999999</v>
      </c>
      <c r="Q33" s="1093" t="str">
        <f t="shared" si="15"/>
        <v>Alabama</v>
      </c>
      <c r="R33" s="1090">
        <f t="shared" si="16"/>
        <v>1.6003075182105642E-2</v>
      </c>
      <c r="S33" s="231">
        <f t="shared" si="5"/>
        <v>30.509876999999999</v>
      </c>
      <c r="T33" s="231">
        <f t="shared" si="6"/>
        <v>-88.173000999999999</v>
      </c>
      <c r="U33" s="224">
        <f t="shared" si="7"/>
        <v>34.1126918</v>
      </c>
      <c r="V33" s="224">
        <f t="shared" si="8"/>
        <v>-83.761765400000002</v>
      </c>
      <c r="W33" s="224">
        <f t="shared" si="9"/>
        <v>33.393903999999999</v>
      </c>
      <c r="X33" s="224">
        <f t="shared" si="10"/>
        <v>-84.586794999999995</v>
      </c>
      <c r="Y33" s="224">
        <f t="shared" si="11"/>
        <v>35.052785</v>
      </c>
      <c r="Z33" s="224">
        <f t="shared" si="12"/>
        <v>-89.904936000000006</v>
      </c>
      <c r="AA33" s="649">
        <f t="shared" si="13"/>
        <v>33.747999999999998</v>
      </c>
      <c r="AB33" s="650">
        <f t="shared" si="14"/>
        <v>-84.387</v>
      </c>
      <c r="AD33" s="128" t="str">
        <f t="shared" si="17"/>
        <v>Alabama</v>
      </c>
      <c r="AE33" s="224">
        <f t="shared" si="20"/>
        <v>32.171174946762967</v>
      </c>
      <c r="AF33" s="225">
        <f t="shared" si="18"/>
        <v>-86.963745226164136</v>
      </c>
    </row>
    <row r="34" spans="2:40" ht="14.4">
      <c r="B34" s="127" t="s">
        <v>950</v>
      </c>
      <c r="C34" s="40">
        <v>389869.79700000002</v>
      </c>
      <c r="D34" s="126">
        <f t="shared" si="0"/>
        <v>1.1753705864037815E-2</v>
      </c>
      <c r="Q34" s="32"/>
      <c r="R34" s="32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2:40" ht="14.4">
      <c r="B35" s="127" t="s">
        <v>951</v>
      </c>
      <c r="C35" s="40">
        <v>366265.03399999999</v>
      </c>
      <c r="D35" s="126">
        <f t="shared" si="0"/>
        <v>1.1042074844073673E-2</v>
      </c>
      <c r="F35" s="1239" t="s">
        <v>952</v>
      </c>
      <c r="G35" s="1237"/>
      <c r="H35" s="1237"/>
      <c r="I35" s="1265"/>
      <c r="K35" s="1239" t="s">
        <v>358</v>
      </c>
      <c r="L35" s="1239"/>
      <c r="M35" s="1239"/>
      <c r="N35" s="1239"/>
      <c r="O35" s="1239"/>
    </row>
    <row r="36" spans="2:40" ht="14.4">
      <c r="B36" s="127" t="s">
        <v>953</v>
      </c>
      <c r="C36" s="40">
        <v>338831.69500000001</v>
      </c>
      <c r="D36" s="126">
        <f t="shared" si="0"/>
        <v>1.021502078665348E-2</v>
      </c>
      <c r="F36" s="1198" t="s">
        <v>360</v>
      </c>
      <c r="G36" s="228" t="s">
        <v>860</v>
      </c>
      <c r="H36" s="228" t="s">
        <v>861</v>
      </c>
      <c r="I36" s="1199" t="s">
        <v>862</v>
      </c>
      <c r="K36" s="83" t="s">
        <v>859</v>
      </c>
      <c r="L36" s="199" t="s">
        <v>868</v>
      </c>
      <c r="M36" s="199" t="s">
        <v>869</v>
      </c>
      <c r="N36" s="199" t="s">
        <v>870</v>
      </c>
      <c r="O36" s="200" t="s">
        <v>871</v>
      </c>
      <c r="AE36" s="23"/>
      <c r="AF36" s="23"/>
    </row>
    <row r="37" spans="2:40" ht="14.4">
      <c r="B37" s="127" t="s">
        <v>954</v>
      </c>
      <c r="C37" s="40">
        <v>335574.44099999999</v>
      </c>
      <c r="D37" s="126">
        <f t="shared" si="0"/>
        <v>1.0116821834759648E-2</v>
      </c>
      <c r="F37" s="44" t="str">
        <f t="shared" ref="F37:G41" si="21">B62</f>
        <v>Amazon</v>
      </c>
      <c r="G37" s="40">
        <f t="shared" si="21"/>
        <v>451372.33483770798</v>
      </c>
      <c r="H37" s="23">
        <f>G37/$G$42</f>
        <v>0.53595173748578395</v>
      </c>
      <c r="I37" s="126">
        <f>VLOOKUP(F37,$B$62:$D$70,3,FALSE)</f>
        <v>0.50322667174551594</v>
      </c>
      <c r="K37" s="44" t="s">
        <v>863</v>
      </c>
      <c r="L37" t="s">
        <v>955</v>
      </c>
      <c r="M37" t="s">
        <v>956</v>
      </c>
      <c r="N37" s="202">
        <v>34.012281000000002</v>
      </c>
      <c r="O37" s="203">
        <v>-117.615167</v>
      </c>
      <c r="AE37" s="29"/>
      <c r="AF37" s="29"/>
      <c r="AG37" s="29"/>
      <c r="AH37" s="29"/>
      <c r="AI37" s="29"/>
      <c r="AJ37" s="29"/>
      <c r="AK37" s="29"/>
      <c r="AL37" s="29"/>
      <c r="AM37" s="29"/>
      <c r="AN37" s="29"/>
    </row>
    <row r="38" spans="2:40" ht="14.4">
      <c r="B38" s="127" t="s">
        <v>957</v>
      </c>
      <c r="C38" s="40">
        <v>311160.30499999999</v>
      </c>
      <c r="D38" s="126">
        <f t="shared" si="0"/>
        <v>9.3807900218910653E-3</v>
      </c>
      <c r="F38" s="44" t="str">
        <f t="shared" si="21"/>
        <v>Williams Sonoma</v>
      </c>
      <c r="G38" s="40">
        <f t="shared" si="21"/>
        <v>122972.65643690323</v>
      </c>
      <c r="H38" s="23">
        <f>G38/$G$42</f>
        <v>0.14601561459077422</v>
      </c>
      <c r="I38" s="126">
        <f>VLOOKUP(F38,$B$62:$D$70,3,FALSE)</f>
        <v>0.13709994130831663</v>
      </c>
      <c r="K38" s="44" t="s">
        <v>867</v>
      </c>
      <c r="L38" t="s">
        <v>958</v>
      </c>
      <c r="M38" t="s">
        <v>959</v>
      </c>
      <c r="N38" s="202">
        <v>32.6596519</v>
      </c>
      <c r="O38" s="203">
        <v>-97.071066299999998</v>
      </c>
      <c r="AE38" s="23"/>
      <c r="AF38" s="23"/>
    </row>
    <row r="39" spans="2:40" ht="14.4">
      <c r="B39" s="127" t="s">
        <v>960</v>
      </c>
      <c r="C39" s="40">
        <v>298713.39</v>
      </c>
      <c r="D39" s="126">
        <f t="shared" ref="D39:D57" si="22">C39/$C$58</f>
        <v>9.0055432627155138E-3</v>
      </c>
      <c r="F39" s="44" t="str">
        <f t="shared" si="21"/>
        <v>Target</v>
      </c>
      <c r="G39" s="40">
        <f t="shared" si="21"/>
        <v>95856.815365538743</v>
      </c>
      <c r="H39" s="23">
        <f>G39/$G$42</f>
        <v>0.11381873185357351</v>
      </c>
      <c r="I39" s="126">
        <f>VLOOKUP(F39,$B$62:$D$70,3,FALSE)</f>
        <v>0.10686899137907616</v>
      </c>
      <c r="K39" s="44" t="s">
        <v>873</v>
      </c>
      <c r="L39" t="s">
        <v>961</v>
      </c>
      <c r="M39" t="s">
        <v>962</v>
      </c>
      <c r="N39" s="202">
        <v>34.1126918</v>
      </c>
      <c r="O39" s="203">
        <v>-83.761765400000002</v>
      </c>
      <c r="AE39" s="23"/>
      <c r="AF39" s="23"/>
    </row>
    <row r="40" spans="2:40" ht="14.4">
      <c r="B40" s="127" t="s">
        <v>963</v>
      </c>
      <c r="C40" s="40">
        <v>273603.06800000003</v>
      </c>
      <c r="D40" s="126">
        <f t="shared" si="22"/>
        <v>8.2485229928450626E-3</v>
      </c>
      <c r="F40" s="44" t="str">
        <f t="shared" si="21"/>
        <v>Le Creuset</v>
      </c>
      <c r="G40" s="40">
        <f t="shared" si="21"/>
        <v>94046.735682918632</v>
      </c>
      <c r="H40" s="23">
        <f>G40/$G$42</f>
        <v>0.11166947440908087</v>
      </c>
      <c r="I40" s="126">
        <f>VLOOKUP(F40,$B$62:$D$70,3,FALSE)</f>
        <v>0.10485096700324327</v>
      </c>
      <c r="K40" s="44" t="s">
        <v>876</v>
      </c>
      <c r="L40" t="s">
        <v>964</v>
      </c>
      <c r="M40" t="s">
        <v>965</v>
      </c>
      <c r="N40" s="202">
        <v>40.313870999999999</v>
      </c>
      <c r="O40" s="203">
        <v>-74.465034000000003</v>
      </c>
      <c r="AE40" s="23"/>
      <c r="AF40" s="23"/>
    </row>
    <row r="41" spans="2:40" ht="14.4">
      <c r="B41" s="127" t="s">
        <v>966</v>
      </c>
      <c r="C41" s="40">
        <v>240984.712</v>
      </c>
      <c r="D41" s="126">
        <f t="shared" si="22"/>
        <v>7.265152223571358E-3</v>
      </c>
      <c r="F41" s="44" t="str">
        <f t="shared" si="21"/>
        <v>Kroger</v>
      </c>
      <c r="G41" s="40">
        <f t="shared" si="21"/>
        <v>77939.85500380944</v>
      </c>
      <c r="H41" s="23">
        <f>G41/$G$42</f>
        <v>9.2544441660787569E-2</v>
      </c>
      <c r="I41" s="126">
        <f>VLOOKUP(F41,$B$62:$D$70,3,FALSE)</f>
        <v>8.6893703496465455E-2</v>
      </c>
      <c r="K41" s="44" t="s">
        <v>880</v>
      </c>
      <c r="L41" t="s">
        <v>967</v>
      </c>
      <c r="M41" t="s">
        <v>968</v>
      </c>
      <c r="N41" s="202">
        <v>35.052785</v>
      </c>
      <c r="O41" s="203">
        <v>-89.904936000000006</v>
      </c>
      <c r="AE41" s="23"/>
      <c r="AF41" s="23"/>
    </row>
    <row r="42" spans="2:40" ht="14.4">
      <c r="B42" s="127" t="s">
        <v>969</v>
      </c>
      <c r="C42" s="40">
        <v>215878.88099999999</v>
      </c>
      <c r="D42" s="126">
        <f t="shared" si="22"/>
        <v>6.5082673473462766E-3</v>
      </c>
      <c r="F42" s="219" t="s">
        <v>183</v>
      </c>
      <c r="G42" s="942">
        <f>SUM(G37:G41)</f>
        <v>842188.39732687792</v>
      </c>
      <c r="H42" s="936">
        <f>SUM(H37:H41)</f>
        <v>1</v>
      </c>
      <c r="I42" s="1001">
        <f>SUM(I37:I41)</f>
        <v>0.93894027493261734</v>
      </c>
      <c r="K42" s="44" t="s">
        <v>883</v>
      </c>
      <c r="L42" t="s">
        <v>964</v>
      </c>
      <c r="M42" t="s">
        <v>965</v>
      </c>
      <c r="N42" s="202">
        <v>40.313870999999999</v>
      </c>
      <c r="O42" s="203">
        <v>-74.465034000000003</v>
      </c>
      <c r="AE42" s="23"/>
      <c r="AF42" s="23"/>
    </row>
    <row r="43" spans="2:40" ht="14.4">
      <c r="B43" s="127" t="s">
        <v>970</v>
      </c>
      <c r="C43" s="40">
        <v>193094.27100000001</v>
      </c>
      <c r="D43" s="126">
        <f t="shared" si="22"/>
        <v>5.8213621132719006E-3</v>
      </c>
      <c r="G43" s="40"/>
      <c r="H43" s="23"/>
      <c r="I43" s="23"/>
      <c r="K43" s="44" t="s">
        <v>887</v>
      </c>
      <c r="L43" t="s">
        <v>967</v>
      </c>
      <c r="M43" t="s">
        <v>968</v>
      </c>
      <c r="N43" s="202">
        <v>35.052785</v>
      </c>
      <c r="O43" s="203">
        <v>-89.904936000000006</v>
      </c>
      <c r="AE43" s="23"/>
      <c r="AF43" s="23"/>
    </row>
    <row r="44" spans="2:40" ht="14.4">
      <c r="B44" s="127" t="s">
        <v>971</v>
      </c>
      <c r="C44" s="40">
        <v>190704.78</v>
      </c>
      <c r="D44" s="126">
        <f t="shared" si="22"/>
        <v>5.7493242827067245E-3</v>
      </c>
      <c r="G44" s="40"/>
      <c r="H44" s="23"/>
      <c r="I44" s="23"/>
      <c r="K44" s="44" t="s">
        <v>890</v>
      </c>
      <c r="L44" t="s">
        <v>961</v>
      </c>
      <c r="M44" t="s">
        <v>962</v>
      </c>
      <c r="N44" s="202">
        <v>34.1126918</v>
      </c>
      <c r="O44" s="203">
        <v>-83.761765400000002</v>
      </c>
      <c r="AE44" s="23"/>
      <c r="AF44" s="23"/>
    </row>
    <row r="45" spans="2:40" ht="14.4">
      <c r="B45" s="127" t="s">
        <v>972</v>
      </c>
      <c r="C45" s="40">
        <v>141724.69500000001</v>
      </c>
      <c r="D45" s="126">
        <f t="shared" si="22"/>
        <v>4.2726838332143762E-3</v>
      </c>
      <c r="K45" s="44" t="s">
        <v>893</v>
      </c>
      <c r="L45" t="s">
        <v>961</v>
      </c>
      <c r="M45" t="s">
        <v>962</v>
      </c>
      <c r="N45" s="202">
        <v>34.1126918</v>
      </c>
      <c r="O45" s="203">
        <v>-83.761765400000002</v>
      </c>
    </row>
    <row r="46" spans="2:40" ht="14.4">
      <c r="B46" s="127" t="s">
        <v>973</v>
      </c>
      <c r="C46" s="40">
        <v>132803.62700000001</v>
      </c>
      <c r="D46" s="126">
        <f t="shared" si="22"/>
        <v>4.0037335065362624E-3</v>
      </c>
      <c r="K46" s="44" t="s">
        <v>896</v>
      </c>
      <c r="L46" t="s">
        <v>967</v>
      </c>
      <c r="M46" t="s">
        <v>968</v>
      </c>
      <c r="N46" s="202">
        <v>35.052785</v>
      </c>
      <c r="O46" s="203">
        <v>-89.904936000000006</v>
      </c>
      <c r="AD46" s="32"/>
      <c r="AE46" s="32"/>
      <c r="AF46" s="32"/>
      <c r="AG46" s="32"/>
      <c r="AH46" s="32"/>
      <c r="AI46" s="32"/>
      <c r="AJ46" s="32"/>
      <c r="AK46" s="32"/>
    </row>
    <row r="47" spans="2:40" ht="14.4">
      <c r="B47" s="127" t="s">
        <v>974</v>
      </c>
      <c r="C47" s="40">
        <v>132479.33900000001</v>
      </c>
      <c r="D47" s="126">
        <f t="shared" si="22"/>
        <v>3.9939569457547739E-3</v>
      </c>
      <c r="K47" s="44" t="s">
        <v>899</v>
      </c>
      <c r="L47" t="s">
        <v>964</v>
      </c>
      <c r="M47" t="s">
        <v>965</v>
      </c>
      <c r="N47" s="202">
        <v>40.313870999999999</v>
      </c>
      <c r="O47" s="203">
        <v>-74.465034000000003</v>
      </c>
      <c r="AE47" s="23"/>
      <c r="AF47" s="23"/>
      <c r="AG47" s="32"/>
      <c r="AH47" s="32"/>
      <c r="AI47" s="32"/>
      <c r="AJ47" s="32"/>
      <c r="AK47" s="32"/>
    </row>
    <row r="48" spans="2:40" ht="14.4">
      <c r="B48" s="127" t="s">
        <v>975</v>
      </c>
      <c r="C48" s="40">
        <v>127139.814</v>
      </c>
      <c r="D48" s="126">
        <f t="shared" si="22"/>
        <v>3.832982161899751E-3</v>
      </c>
      <c r="K48" s="44" t="s">
        <v>902</v>
      </c>
      <c r="L48" t="s">
        <v>964</v>
      </c>
      <c r="M48" t="s">
        <v>965</v>
      </c>
      <c r="N48" s="202">
        <v>40.313870999999999</v>
      </c>
      <c r="O48" s="203">
        <v>-74.465034000000003</v>
      </c>
      <c r="AE48" s="23"/>
      <c r="AF48" s="23"/>
    </row>
    <row r="49" spans="2:32" ht="14.4">
      <c r="B49" s="127" t="s">
        <v>976</v>
      </c>
      <c r="C49" s="40">
        <v>117144.37300000001</v>
      </c>
      <c r="D49" s="126">
        <f t="shared" si="22"/>
        <v>3.5316418826594385E-3</v>
      </c>
      <c r="K49" s="44" t="s">
        <v>905</v>
      </c>
      <c r="L49" t="s">
        <v>964</v>
      </c>
      <c r="M49" t="s">
        <v>965</v>
      </c>
      <c r="N49" s="202">
        <v>40.313870999999999</v>
      </c>
      <c r="O49" s="203">
        <v>-74.465034000000003</v>
      </c>
      <c r="AE49" s="23"/>
      <c r="AF49" s="23"/>
    </row>
    <row r="50" spans="2:32" ht="14.4">
      <c r="B50" s="127" t="s">
        <v>977</v>
      </c>
      <c r="C50" s="40">
        <v>115249.84699999999</v>
      </c>
      <c r="D50" s="126">
        <f t="shared" si="22"/>
        <v>3.4745261442074749E-3</v>
      </c>
      <c r="K50" s="44" t="s">
        <v>908</v>
      </c>
      <c r="L50" t="s">
        <v>958</v>
      </c>
      <c r="M50" t="s">
        <v>959</v>
      </c>
      <c r="N50" s="202">
        <v>32.6596519</v>
      </c>
      <c r="O50" s="203">
        <v>-97.071066299999998</v>
      </c>
      <c r="AE50" s="23"/>
      <c r="AF50" s="23"/>
    </row>
    <row r="51" spans="2:32" ht="14.4">
      <c r="B51" s="127" t="s">
        <v>978</v>
      </c>
      <c r="C51" s="40">
        <v>112396.83100000001</v>
      </c>
      <c r="D51" s="126">
        <f t="shared" si="22"/>
        <v>3.3885140674899915E-3</v>
      </c>
      <c r="K51" s="44" t="s">
        <v>911</v>
      </c>
      <c r="L51" t="s">
        <v>967</v>
      </c>
      <c r="M51" t="s">
        <v>968</v>
      </c>
      <c r="N51" s="202">
        <v>35.052785</v>
      </c>
      <c r="O51" s="203">
        <v>-89.904936000000006</v>
      </c>
      <c r="AE51" s="23"/>
      <c r="AF51" s="23"/>
    </row>
    <row r="52" spans="2:32" ht="14.4">
      <c r="B52" s="127" t="s">
        <v>979</v>
      </c>
      <c r="C52" s="40">
        <v>96566</v>
      </c>
      <c r="D52" s="126">
        <f t="shared" si="22"/>
        <v>2.9112497792863797E-3</v>
      </c>
      <c r="K52" s="44" t="s">
        <v>914</v>
      </c>
      <c r="L52" t="s">
        <v>964</v>
      </c>
      <c r="M52" t="s">
        <v>965</v>
      </c>
      <c r="N52" s="202">
        <v>40.313870999999999</v>
      </c>
      <c r="O52" s="203">
        <v>-74.465034000000003</v>
      </c>
    </row>
    <row r="53" spans="2:32" ht="14.4">
      <c r="B53" s="127" t="s">
        <v>980</v>
      </c>
      <c r="C53" s="40">
        <v>94463.067800000004</v>
      </c>
      <c r="D53" s="126">
        <f t="shared" si="22"/>
        <v>2.8478510581722793E-3</v>
      </c>
      <c r="K53" s="44" t="s">
        <v>917</v>
      </c>
      <c r="L53" t="s">
        <v>955</v>
      </c>
      <c r="M53" t="s">
        <v>956</v>
      </c>
      <c r="N53" s="202">
        <v>34.012281000000002</v>
      </c>
      <c r="O53" s="203">
        <v>-117.615167</v>
      </c>
    </row>
    <row r="54" spans="2:32" ht="14.4">
      <c r="B54" s="127" t="s">
        <v>981</v>
      </c>
      <c r="C54" s="40">
        <v>94319.339000000007</v>
      </c>
      <c r="D54" s="126">
        <f t="shared" si="22"/>
        <v>2.8435179550378728E-3</v>
      </c>
      <c r="K54" s="44" t="s">
        <v>920</v>
      </c>
      <c r="L54" t="s">
        <v>967</v>
      </c>
      <c r="M54" t="s">
        <v>968</v>
      </c>
      <c r="N54" s="202">
        <v>35.052785</v>
      </c>
      <c r="O54" s="203">
        <v>-89.904936000000006</v>
      </c>
    </row>
    <row r="55" spans="2:32" ht="14.4">
      <c r="B55" s="127" t="s">
        <v>982</v>
      </c>
      <c r="C55" s="40">
        <v>83884.627099999998</v>
      </c>
      <c r="D55" s="126">
        <f t="shared" si="22"/>
        <v>2.5289346367292345E-3</v>
      </c>
      <c r="K55" s="44" t="s">
        <v>923</v>
      </c>
      <c r="L55" t="s">
        <v>967</v>
      </c>
      <c r="M55" t="s">
        <v>968</v>
      </c>
      <c r="N55" s="202">
        <v>35.052785</v>
      </c>
      <c r="O55" s="203">
        <v>-89.904936000000006</v>
      </c>
    </row>
    <row r="56" spans="2:32" ht="14.4">
      <c r="B56" s="127" t="s">
        <v>983</v>
      </c>
      <c r="C56" s="40">
        <v>64649.220300000001</v>
      </c>
      <c r="D56" s="126">
        <f t="shared" si="22"/>
        <v>1.9490299725515351E-3</v>
      </c>
      <c r="K56" s="44" t="s">
        <v>926</v>
      </c>
      <c r="L56" t="s">
        <v>967</v>
      </c>
      <c r="M56" t="s">
        <v>968</v>
      </c>
      <c r="N56" s="202">
        <v>35.052785</v>
      </c>
      <c r="O56" s="203">
        <v>-89.904936000000006</v>
      </c>
    </row>
    <row r="57" spans="2:32" ht="14.4">
      <c r="B57" s="127" t="s">
        <v>984</v>
      </c>
      <c r="C57" s="40">
        <v>62456.457600000002</v>
      </c>
      <c r="D57" s="126">
        <f t="shared" si="22"/>
        <v>1.8829230619784305E-3</v>
      </c>
      <c r="K57" s="44" t="s">
        <v>929</v>
      </c>
      <c r="L57" t="s">
        <v>964</v>
      </c>
      <c r="M57" t="s">
        <v>965</v>
      </c>
      <c r="N57" s="202">
        <v>40.313870999999999</v>
      </c>
      <c r="O57" s="203">
        <v>-74.465034000000003</v>
      </c>
    </row>
    <row r="58" spans="2:32" ht="14.4">
      <c r="B58" s="724" t="s">
        <v>183</v>
      </c>
      <c r="C58" s="942">
        <f>SUM(C7:C57)</f>
        <v>33169946.696800008</v>
      </c>
      <c r="D58" s="1001">
        <f>SUM(D7:D57)</f>
        <v>0.99999999999999989</v>
      </c>
      <c r="K58" s="44" t="s">
        <v>932</v>
      </c>
      <c r="L58" t="s">
        <v>967</v>
      </c>
      <c r="M58" t="s">
        <v>968</v>
      </c>
      <c r="N58" s="202">
        <v>35.052785</v>
      </c>
      <c r="O58" s="203">
        <v>-89.904936000000006</v>
      </c>
    </row>
    <row r="59" spans="2:32" ht="14.4">
      <c r="B59" s="32"/>
      <c r="K59" s="44" t="s">
        <v>935</v>
      </c>
      <c r="L59" t="s">
        <v>961</v>
      </c>
      <c r="M59" t="s">
        <v>962</v>
      </c>
      <c r="N59" s="202">
        <v>34.1126918</v>
      </c>
      <c r="O59" s="203">
        <v>-83.761765400000002</v>
      </c>
    </row>
    <row r="60" spans="2:32" ht="14.4">
      <c r="B60" s="1261" t="s">
        <v>985</v>
      </c>
      <c r="C60" s="1261"/>
      <c r="D60" s="1261"/>
      <c r="K60" s="44" t="s">
        <v>938</v>
      </c>
      <c r="L60" t="s">
        <v>955</v>
      </c>
      <c r="M60" t="s">
        <v>956</v>
      </c>
      <c r="N60" s="202">
        <v>34.012281000000002</v>
      </c>
      <c r="O60" s="203">
        <v>-117.615167</v>
      </c>
    </row>
    <row r="61" spans="2:32" ht="14.4">
      <c r="B61" s="227" t="s">
        <v>360</v>
      </c>
      <c r="C61" s="228" t="s">
        <v>986</v>
      </c>
      <c r="D61" s="1199" t="s">
        <v>162</v>
      </c>
      <c r="K61" s="51" t="s">
        <v>941</v>
      </c>
      <c r="L61" s="35" t="s">
        <v>961</v>
      </c>
      <c r="M61" s="35" t="s">
        <v>962</v>
      </c>
      <c r="N61" s="224">
        <v>34.1126918</v>
      </c>
      <c r="O61" s="225">
        <v>-83.761765400000002</v>
      </c>
    </row>
    <row r="62" spans="2:32" ht="14.4">
      <c r="B62" s="127" t="s">
        <v>384</v>
      </c>
      <c r="C62" s="40">
        <v>451372.33483770798</v>
      </c>
      <c r="D62" s="126">
        <f t="shared" ref="D62:D70" si="23">C62/$C$71</f>
        <v>0.50322667174551594</v>
      </c>
    </row>
    <row r="63" spans="2:32" ht="14.4">
      <c r="B63" s="127" t="s">
        <v>358</v>
      </c>
      <c r="C63" s="40">
        <v>122972.65643690323</v>
      </c>
      <c r="D63" s="126">
        <f t="shared" si="23"/>
        <v>0.13709994130831663</v>
      </c>
      <c r="K63" s="1261" t="s">
        <v>92</v>
      </c>
      <c r="L63" s="1261"/>
      <c r="M63" s="1261"/>
      <c r="N63" s="1261"/>
      <c r="O63" s="1234"/>
    </row>
    <row r="64" spans="2:32" ht="14.4">
      <c r="B64" s="127" t="s">
        <v>92</v>
      </c>
      <c r="C64" s="40">
        <v>95856.815365538743</v>
      </c>
      <c r="D64" s="126">
        <f t="shared" si="23"/>
        <v>0.10686899137907616</v>
      </c>
      <c r="K64" s="46" t="s">
        <v>859</v>
      </c>
      <c r="L64" s="213" t="s">
        <v>868</v>
      </c>
      <c r="M64" s="213" t="s">
        <v>869</v>
      </c>
      <c r="N64" s="213" t="s">
        <v>870</v>
      </c>
      <c r="O64" s="214" t="s">
        <v>871</v>
      </c>
    </row>
    <row r="65" spans="2:15" ht="14.4">
      <c r="B65" s="127" t="s">
        <v>356</v>
      </c>
      <c r="C65" s="40">
        <v>94046.735682918632</v>
      </c>
      <c r="D65" s="126">
        <f t="shared" si="23"/>
        <v>0.10485096700324327</v>
      </c>
      <c r="K65" s="49" t="s">
        <v>863</v>
      </c>
      <c r="L65" s="41" t="s">
        <v>987</v>
      </c>
      <c r="M65" s="41" t="s">
        <v>988</v>
      </c>
      <c r="N65" s="211">
        <v>34.15428</v>
      </c>
      <c r="O65" s="212">
        <v>-117.43155</v>
      </c>
    </row>
    <row r="66" spans="2:15" ht="14.4">
      <c r="B66" s="127" t="s">
        <v>357</v>
      </c>
      <c r="C66" s="40">
        <v>77939.85500380944</v>
      </c>
      <c r="D66" s="126">
        <f t="shared" si="23"/>
        <v>8.6893703496465455E-2</v>
      </c>
      <c r="K66" s="44" t="s">
        <v>867</v>
      </c>
      <c r="L66" t="s">
        <v>989</v>
      </c>
      <c r="M66" t="s">
        <v>990</v>
      </c>
      <c r="N66" s="202">
        <v>32.446449000000001</v>
      </c>
      <c r="O66" s="203">
        <v>-97.040679999999995</v>
      </c>
    </row>
    <row r="67" spans="2:15" ht="14.4">
      <c r="B67" s="127" t="s">
        <v>343</v>
      </c>
      <c r="C67" s="40">
        <v>28096.134469708952</v>
      </c>
      <c r="D67" s="126">
        <f t="shared" si="23"/>
        <v>3.1323860916707962E-2</v>
      </c>
      <c r="K67" s="44" t="s">
        <v>873</v>
      </c>
      <c r="L67" t="s">
        <v>991</v>
      </c>
      <c r="M67" t="s">
        <v>992</v>
      </c>
      <c r="N67" s="202">
        <v>25.921050000000001</v>
      </c>
      <c r="O67" s="203">
        <v>-80.361940000000004</v>
      </c>
    </row>
    <row r="68" spans="2:15" ht="14.4">
      <c r="B68" s="127" t="s">
        <v>342</v>
      </c>
      <c r="C68" s="40">
        <v>11865.544956121244</v>
      </c>
      <c r="D68" s="126">
        <f t="shared" si="23"/>
        <v>1.3228676717332702E-2</v>
      </c>
      <c r="K68" s="44" t="s">
        <v>876</v>
      </c>
      <c r="L68" t="s">
        <v>993</v>
      </c>
      <c r="M68" t="s">
        <v>994</v>
      </c>
      <c r="N68" s="202">
        <v>40.526919999999997</v>
      </c>
      <c r="O68" s="203">
        <v>-74.255489999999995</v>
      </c>
    </row>
    <row r="69" spans="2:15" ht="14.4">
      <c r="B69" s="127" t="s">
        <v>355</v>
      </c>
      <c r="C69" s="40">
        <v>11705.082784019214</v>
      </c>
      <c r="D69" s="126">
        <f t="shared" si="23"/>
        <v>1.3049780408065112E-2</v>
      </c>
      <c r="K69" s="44" t="s">
        <v>880</v>
      </c>
      <c r="L69" t="s">
        <v>995</v>
      </c>
      <c r="M69" t="s">
        <v>996</v>
      </c>
      <c r="N69" s="202">
        <v>41.922240000000002</v>
      </c>
      <c r="O69" s="203">
        <v>-87.959710000000001</v>
      </c>
    </row>
    <row r="70" spans="2:15" ht="14.4">
      <c r="B70" s="127" t="s">
        <v>344</v>
      </c>
      <c r="C70" s="40">
        <v>3101.1430218323048</v>
      </c>
      <c r="D70" s="126">
        <f t="shared" si="23"/>
        <v>3.4574070252768418E-3</v>
      </c>
      <c r="K70" s="44" t="s">
        <v>883</v>
      </c>
      <c r="L70" t="s">
        <v>993</v>
      </c>
      <c r="M70" t="s">
        <v>994</v>
      </c>
      <c r="N70" s="202">
        <v>40.523915000000002</v>
      </c>
      <c r="O70" s="203">
        <v>-74.259600199999994</v>
      </c>
    </row>
    <row r="71" spans="2:15" ht="14.4">
      <c r="B71" s="724" t="s">
        <v>183</v>
      </c>
      <c r="C71" s="942">
        <f>SUM(C62:C70)</f>
        <v>896956.30255855969</v>
      </c>
      <c r="D71" s="1001">
        <f>SUM(D62:D70)</f>
        <v>1</v>
      </c>
      <c r="K71" s="44" t="s">
        <v>887</v>
      </c>
      <c r="L71" t="s">
        <v>997</v>
      </c>
      <c r="M71" t="s">
        <v>998</v>
      </c>
      <c r="N71" s="202">
        <v>39.94970703125</v>
      </c>
      <c r="O71" s="203">
        <v>-83.341392517089801</v>
      </c>
    </row>
    <row r="72" spans="2:15" ht="14.4">
      <c r="K72" s="44" t="s">
        <v>890</v>
      </c>
      <c r="L72" t="s">
        <v>999</v>
      </c>
      <c r="M72" t="s">
        <v>1000</v>
      </c>
      <c r="N72" s="202">
        <v>33.393903999999999</v>
      </c>
      <c r="O72" s="203">
        <v>-84.586794999999995</v>
      </c>
    </row>
    <row r="73" spans="2:15" ht="14.4">
      <c r="K73" s="44" t="s">
        <v>893</v>
      </c>
      <c r="L73" t="s">
        <v>1001</v>
      </c>
      <c r="M73" t="s">
        <v>1002</v>
      </c>
      <c r="N73" s="202">
        <v>35.6245727539062</v>
      </c>
      <c r="O73" s="203">
        <v>-81.311599731445298</v>
      </c>
    </row>
    <row r="74" spans="2:15" ht="14.4">
      <c r="K74" s="44" t="s">
        <v>896</v>
      </c>
      <c r="L74" t="s">
        <v>1003</v>
      </c>
      <c r="M74" t="s">
        <v>1004</v>
      </c>
      <c r="N74" s="202">
        <v>42.274650999999999</v>
      </c>
      <c r="O74" s="203">
        <v>-85.383037000000002</v>
      </c>
    </row>
    <row r="75" spans="2:15" ht="14.4">
      <c r="K75" s="44" t="s">
        <v>899</v>
      </c>
      <c r="L75" t="s">
        <v>906</v>
      </c>
      <c r="M75" t="s">
        <v>1005</v>
      </c>
      <c r="N75" s="202">
        <v>38.869230000000002</v>
      </c>
      <c r="O75" s="203">
        <v>-76.731183999999999</v>
      </c>
    </row>
    <row r="76" spans="2:15" ht="14.4">
      <c r="K76" s="44" t="s">
        <v>902</v>
      </c>
      <c r="L76" t="s">
        <v>1006</v>
      </c>
      <c r="M76" t="s">
        <v>1007</v>
      </c>
      <c r="N76" s="202">
        <v>36.707286500000002</v>
      </c>
      <c r="O76" s="203">
        <v>-76.664906500000001</v>
      </c>
    </row>
    <row r="77" spans="2:15" ht="14.4">
      <c r="K77" s="44" t="s">
        <v>905</v>
      </c>
      <c r="L77" t="s">
        <v>993</v>
      </c>
      <c r="M77" t="s">
        <v>994</v>
      </c>
      <c r="N77" s="202">
        <v>40.526919999999997</v>
      </c>
      <c r="O77" s="203">
        <v>-74.255489999999995</v>
      </c>
    </row>
    <row r="78" spans="2:15" ht="14.4">
      <c r="K78" s="44" t="s">
        <v>908</v>
      </c>
      <c r="L78" t="s">
        <v>1008</v>
      </c>
      <c r="M78" s="226" t="s">
        <v>1009</v>
      </c>
      <c r="N78" s="202">
        <v>38.966207099999998</v>
      </c>
      <c r="O78" s="203">
        <v>-95.692740999999998</v>
      </c>
    </row>
    <row r="79" spans="2:15" ht="14.4">
      <c r="K79" s="44" t="s">
        <v>911</v>
      </c>
      <c r="L79" t="s">
        <v>995</v>
      </c>
      <c r="M79" t="s">
        <v>996</v>
      </c>
      <c r="N79" s="202">
        <v>41.922240000000002</v>
      </c>
      <c r="O79" s="203">
        <v>-87.959710000000001</v>
      </c>
    </row>
    <row r="80" spans="2:15" ht="14.4">
      <c r="K80" s="44" t="s">
        <v>914</v>
      </c>
      <c r="L80" t="s">
        <v>993</v>
      </c>
      <c r="M80" t="s">
        <v>994</v>
      </c>
      <c r="N80" s="202">
        <v>40.526919999999997</v>
      </c>
      <c r="O80" s="203">
        <v>-74.255489999999995</v>
      </c>
    </row>
    <row r="81" spans="11:15" ht="14.4">
      <c r="K81" s="44" t="s">
        <v>917</v>
      </c>
      <c r="L81" t="s">
        <v>1010</v>
      </c>
      <c r="M81" t="s">
        <v>1011</v>
      </c>
      <c r="N81" s="202">
        <v>32.090090699999998</v>
      </c>
      <c r="O81" s="203">
        <v>-110.8031467</v>
      </c>
    </row>
    <row r="82" spans="11:15" ht="14.4">
      <c r="K82" s="44" t="s">
        <v>920</v>
      </c>
      <c r="L82" t="s">
        <v>927</v>
      </c>
      <c r="M82" s="226" t="s">
        <v>1012</v>
      </c>
      <c r="N82" s="202">
        <v>39.749461699999998</v>
      </c>
      <c r="O82" s="203">
        <v>-86.295311999999996</v>
      </c>
    </row>
    <row r="83" spans="11:15" ht="14.4">
      <c r="K83" s="44" t="s">
        <v>923</v>
      </c>
      <c r="L83" t="s">
        <v>1013</v>
      </c>
      <c r="M83" t="s">
        <v>1014</v>
      </c>
      <c r="N83" s="202">
        <v>45.100411700000002</v>
      </c>
      <c r="O83" s="203">
        <v>-93.244088700000006</v>
      </c>
    </row>
    <row r="84" spans="11:15" ht="14.4">
      <c r="K84" s="44" t="s">
        <v>926</v>
      </c>
      <c r="L84" t="s">
        <v>1015</v>
      </c>
      <c r="M84" s="226" t="s">
        <v>1016</v>
      </c>
      <c r="N84" s="202">
        <v>38.848698499999998</v>
      </c>
      <c r="O84" s="203">
        <v>-94.8195075</v>
      </c>
    </row>
    <row r="85" spans="11:15" ht="14.4">
      <c r="K85" s="44" t="s">
        <v>929</v>
      </c>
      <c r="L85" t="s">
        <v>906</v>
      </c>
      <c r="M85" t="s">
        <v>1005</v>
      </c>
      <c r="N85" s="202">
        <v>38.869230000000002</v>
      </c>
      <c r="O85" s="203">
        <v>-76.731183999999999</v>
      </c>
    </row>
    <row r="86" spans="11:15" ht="14.4">
      <c r="K86" s="44" t="s">
        <v>932</v>
      </c>
      <c r="L86" s="215" t="s">
        <v>1017</v>
      </c>
      <c r="M86" s="226" t="s">
        <v>1018</v>
      </c>
      <c r="N86" s="202">
        <v>43.084753999999997</v>
      </c>
      <c r="O86" s="203">
        <v>-88.510047</v>
      </c>
    </row>
    <row r="87" spans="11:15" ht="14.4">
      <c r="K87" s="44" t="s">
        <v>935</v>
      </c>
      <c r="L87" t="s">
        <v>1019</v>
      </c>
      <c r="M87" s="226" t="s">
        <v>1020</v>
      </c>
      <c r="N87" s="202">
        <v>34.260264999999997</v>
      </c>
      <c r="O87" s="203">
        <v>-80.731307999999999</v>
      </c>
    </row>
    <row r="88" spans="11:15" ht="14.4">
      <c r="K88" s="44" t="s">
        <v>938</v>
      </c>
      <c r="L88" t="s">
        <v>1021</v>
      </c>
      <c r="M88" s="226" t="s">
        <v>1022</v>
      </c>
      <c r="N88" s="202">
        <v>44.577587000000001</v>
      </c>
      <c r="O88" s="203">
        <v>-123.109944</v>
      </c>
    </row>
    <row r="89" spans="11:15" ht="14.4">
      <c r="K89" s="51" t="s">
        <v>941</v>
      </c>
      <c r="L89" s="35" t="s">
        <v>999</v>
      </c>
      <c r="M89" s="35" t="s">
        <v>1000</v>
      </c>
      <c r="N89" s="224">
        <v>33.393903999999999</v>
      </c>
      <c r="O89" s="225">
        <v>-84.586794999999995</v>
      </c>
    </row>
    <row r="90" spans="11:15" ht="14.4"/>
    <row r="91" spans="11:15" ht="14.4">
      <c r="K91" s="1261" t="s">
        <v>356</v>
      </c>
      <c r="L91" s="1261"/>
      <c r="M91" s="1261"/>
      <c r="N91" s="1261"/>
      <c r="O91" s="1234"/>
    </row>
    <row r="92" spans="11:15" ht="14.4">
      <c r="K92" s="83" t="s">
        <v>859</v>
      </c>
      <c r="L92" s="199" t="s">
        <v>868</v>
      </c>
      <c r="M92" s="199" t="s">
        <v>869</v>
      </c>
      <c r="N92" s="199" t="s">
        <v>870</v>
      </c>
      <c r="O92" s="200" t="s">
        <v>871</v>
      </c>
    </row>
    <row r="93" spans="11:15" ht="14.4">
      <c r="K93" s="44" t="s">
        <v>863</v>
      </c>
      <c r="L93" t="s">
        <v>1023</v>
      </c>
      <c r="M93" t="s">
        <v>1024</v>
      </c>
      <c r="N93" s="202">
        <v>35.052785</v>
      </c>
      <c r="O93" s="203">
        <v>-89.904936000000006</v>
      </c>
    </row>
    <row r="94" spans="11:15" ht="14.4">
      <c r="K94" s="44" t="s">
        <v>867</v>
      </c>
      <c r="L94" t="s">
        <v>1023</v>
      </c>
      <c r="M94" t="s">
        <v>1024</v>
      </c>
      <c r="N94" s="202">
        <v>35.052785</v>
      </c>
      <c r="O94" s="203">
        <v>-89.904936000000006</v>
      </c>
    </row>
    <row r="95" spans="11:15" ht="14.4">
      <c r="K95" s="44" t="s">
        <v>873</v>
      </c>
      <c r="L95" t="s">
        <v>1023</v>
      </c>
      <c r="M95" t="s">
        <v>1024</v>
      </c>
      <c r="N95" s="202">
        <v>35.052785</v>
      </c>
      <c r="O95" s="203">
        <v>-89.904936000000006</v>
      </c>
    </row>
    <row r="96" spans="11:15" ht="14.4">
      <c r="K96" s="44" t="s">
        <v>876</v>
      </c>
      <c r="L96" t="s">
        <v>1025</v>
      </c>
      <c r="M96" t="s">
        <v>1026</v>
      </c>
      <c r="N96" s="202">
        <v>40.756340000000002</v>
      </c>
      <c r="O96" s="203">
        <v>-73.498620000000003</v>
      </c>
    </row>
    <row r="97" spans="11:15" ht="14.4">
      <c r="K97" s="44" t="s">
        <v>880</v>
      </c>
      <c r="L97" t="s">
        <v>1025</v>
      </c>
      <c r="M97" t="s">
        <v>1026</v>
      </c>
      <c r="N97" s="202">
        <v>40.756340000000002</v>
      </c>
      <c r="O97" s="203">
        <v>-73.498620000000003</v>
      </c>
    </row>
    <row r="98" spans="11:15" ht="14.4">
      <c r="K98" s="44" t="s">
        <v>883</v>
      </c>
      <c r="L98" t="s">
        <v>1025</v>
      </c>
      <c r="M98" t="s">
        <v>1026</v>
      </c>
      <c r="N98" s="202">
        <v>40.756340000000002</v>
      </c>
      <c r="O98" s="203">
        <v>-73.498620000000003</v>
      </c>
    </row>
    <row r="99" spans="11:15" ht="14.4">
      <c r="K99" s="44" t="s">
        <v>887</v>
      </c>
      <c r="L99" t="s">
        <v>1025</v>
      </c>
      <c r="M99" t="s">
        <v>1026</v>
      </c>
      <c r="N99" s="202">
        <v>40.756340000000002</v>
      </c>
      <c r="O99" s="203">
        <v>-73.498620000000003</v>
      </c>
    </row>
    <row r="100" spans="11:15" ht="14.4">
      <c r="K100" s="44" t="s">
        <v>890</v>
      </c>
      <c r="L100" t="s">
        <v>1023</v>
      </c>
      <c r="M100" t="s">
        <v>1024</v>
      </c>
      <c r="N100" s="202">
        <v>35.052785</v>
      </c>
      <c r="O100" s="203">
        <v>-89.904936000000006</v>
      </c>
    </row>
    <row r="101" spans="11:15" ht="14.4">
      <c r="K101" s="44" t="s">
        <v>893</v>
      </c>
      <c r="L101" t="s">
        <v>1023</v>
      </c>
      <c r="M101" t="s">
        <v>1024</v>
      </c>
      <c r="N101" s="202">
        <v>35.052785</v>
      </c>
      <c r="O101" s="203">
        <v>-89.904936000000006</v>
      </c>
    </row>
    <row r="102" spans="11:15" ht="14.4">
      <c r="K102" s="44" t="s">
        <v>896</v>
      </c>
      <c r="L102" t="s">
        <v>1025</v>
      </c>
      <c r="M102" t="s">
        <v>1026</v>
      </c>
      <c r="N102" s="202">
        <v>40.756340000000002</v>
      </c>
      <c r="O102" s="203">
        <v>-73.498620000000003</v>
      </c>
    </row>
    <row r="103" spans="11:15" ht="14.4">
      <c r="K103" s="44" t="s">
        <v>899</v>
      </c>
      <c r="L103" t="s">
        <v>1025</v>
      </c>
      <c r="M103" t="s">
        <v>1026</v>
      </c>
      <c r="N103" s="202">
        <v>40.756340000000002</v>
      </c>
      <c r="O103" s="203">
        <v>-73.498620000000003</v>
      </c>
    </row>
    <row r="104" spans="11:15" ht="14.4">
      <c r="K104" s="44" t="s">
        <v>902</v>
      </c>
      <c r="L104" t="s">
        <v>1025</v>
      </c>
      <c r="M104" t="s">
        <v>1026</v>
      </c>
      <c r="N104" s="202">
        <v>40.756340000000002</v>
      </c>
      <c r="O104" s="203">
        <v>-73.498620000000003</v>
      </c>
    </row>
    <row r="105" spans="11:15" ht="14.4">
      <c r="K105" s="44" t="s">
        <v>905</v>
      </c>
      <c r="L105" t="s">
        <v>1025</v>
      </c>
      <c r="M105" t="s">
        <v>1026</v>
      </c>
      <c r="N105" s="202">
        <v>40.756340000000002</v>
      </c>
      <c r="O105" s="203">
        <v>-73.498620000000003</v>
      </c>
    </row>
    <row r="106" spans="11:15" ht="14.4">
      <c r="K106" s="44" t="s">
        <v>908</v>
      </c>
      <c r="L106" t="s">
        <v>1023</v>
      </c>
      <c r="M106" t="s">
        <v>1024</v>
      </c>
      <c r="N106" s="202">
        <v>35.052785</v>
      </c>
      <c r="O106" s="203">
        <v>-89.904936000000006</v>
      </c>
    </row>
    <row r="107" spans="11:15" ht="14.4">
      <c r="K107" s="44" t="s">
        <v>911</v>
      </c>
      <c r="L107" t="s">
        <v>1023</v>
      </c>
      <c r="M107" t="s">
        <v>1024</v>
      </c>
      <c r="N107" s="202">
        <v>35.052785</v>
      </c>
      <c r="O107" s="203">
        <v>-89.904936000000006</v>
      </c>
    </row>
    <row r="108" spans="11:15" ht="14.4">
      <c r="K108" s="44" t="s">
        <v>914</v>
      </c>
      <c r="L108" t="s">
        <v>1025</v>
      </c>
      <c r="M108" t="s">
        <v>1026</v>
      </c>
      <c r="N108" s="202">
        <v>40.756340000000002</v>
      </c>
      <c r="O108" s="203">
        <v>-73.498620000000003</v>
      </c>
    </row>
    <row r="109" spans="11:15" ht="14.4">
      <c r="K109" s="44" t="s">
        <v>917</v>
      </c>
      <c r="L109" t="s">
        <v>1023</v>
      </c>
      <c r="M109" t="s">
        <v>1024</v>
      </c>
      <c r="N109" s="202">
        <v>35.052785</v>
      </c>
      <c r="O109" s="203">
        <v>-89.904936000000006</v>
      </c>
    </row>
    <row r="110" spans="11:15" ht="14.4">
      <c r="K110" s="44" t="s">
        <v>920</v>
      </c>
      <c r="L110" t="s">
        <v>1023</v>
      </c>
      <c r="M110" t="s">
        <v>1024</v>
      </c>
      <c r="N110" s="202">
        <v>35.052785</v>
      </c>
      <c r="O110" s="203">
        <v>-89.904936000000006</v>
      </c>
    </row>
    <row r="111" spans="11:15" ht="14.4">
      <c r="K111" s="44" t="s">
        <v>923</v>
      </c>
      <c r="L111" t="s">
        <v>1023</v>
      </c>
      <c r="M111" t="s">
        <v>1024</v>
      </c>
      <c r="N111" s="202">
        <v>35.052785</v>
      </c>
      <c r="O111" s="203">
        <v>-89.904936000000006</v>
      </c>
    </row>
    <row r="112" spans="11:15" ht="14.4">
      <c r="K112" s="44" t="s">
        <v>926</v>
      </c>
      <c r="L112" t="s">
        <v>1023</v>
      </c>
      <c r="M112" t="s">
        <v>1024</v>
      </c>
      <c r="N112" s="202">
        <v>35.052785</v>
      </c>
      <c r="O112" s="203">
        <v>-89.904936000000006</v>
      </c>
    </row>
    <row r="113" spans="11:15" ht="14.4">
      <c r="K113" s="44" t="s">
        <v>929</v>
      </c>
      <c r="L113" t="s">
        <v>1025</v>
      </c>
      <c r="M113" t="s">
        <v>1026</v>
      </c>
      <c r="N113" s="202">
        <v>40.756340000000002</v>
      </c>
      <c r="O113" s="203">
        <v>-73.498620000000003</v>
      </c>
    </row>
    <row r="114" spans="11:15" ht="14.4">
      <c r="K114" s="44" t="s">
        <v>932</v>
      </c>
      <c r="L114" t="s">
        <v>1025</v>
      </c>
      <c r="M114" t="s">
        <v>1026</v>
      </c>
      <c r="N114" s="202">
        <v>40.756340000000002</v>
      </c>
      <c r="O114" s="203">
        <v>-73.498620000000003</v>
      </c>
    </row>
    <row r="115" spans="11:15" ht="14.4">
      <c r="K115" s="44" t="s">
        <v>935</v>
      </c>
      <c r="L115" t="s">
        <v>1023</v>
      </c>
      <c r="M115" t="s">
        <v>1024</v>
      </c>
      <c r="N115" s="202">
        <v>35.052785</v>
      </c>
      <c r="O115" s="203">
        <v>-89.904936000000006</v>
      </c>
    </row>
    <row r="116" spans="11:15" ht="14.4">
      <c r="K116" s="44" t="s">
        <v>938</v>
      </c>
      <c r="L116" t="s">
        <v>1023</v>
      </c>
      <c r="M116" t="s">
        <v>1024</v>
      </c>
      <c r="N116" s="202">
        <v>35.052785</v>
      </c>
      <c r="O116" s="203">
        <v>-89.904936000000006</v>
      </c>
    </row>
    <row r="117" spans="11:15" ht="14.4">
      <c r="K117" s="51" t="s">
        <v>941</v>
      </c>
      <c r="L117" s="35" t="s">
        <v>1023</v>
      </c>
      <c r="M117" s="35" t="s">
        <v>1024</v>
      </c>
      <c r="N117" s="224">
        <v>35.052785</v>
      </c>
      <c r="O117" s="225">
        <v>-89.904936000000006</v>
      </c>
    </row>
    <row r="118" spans="11:15" ht="14.4"/>
    <row r="119" spans="11:15" ht="14.4">
      <c r="K119" s="1320" t="s">
        <v>357</v>
      </c>
      <c r="L119" s="1321"/>
      <c r="M119" s="1321"/>
      <c r="N119" s="1321"/>
      <c r="O119" s="1322"/>
    </row>
    <row r="120" spans="11:15" ht="14.4">
      <c r="K120" s="643" t="s">
        <v>859</v>
      </c>
      <c r="L120" s="644" t="s">
        <v>868</v>
      </c>
      <c r="M120" s="644" t="s">
        <v>869</v>
      </c>
      <c r="N120" s="644" t="s">
        <v>870</v>
      </c>
      <c r="O120" s="645" t="s">
        <v>871</v>
      </c>
    </row>
    <row r="121" spans="11:15" ht="14.4">
      <c r="K121" s="578" t="s">
        <v>863</v>
      </c>
      <c r="L121" s="646" t="s">
        <v>1027</v>
      </c>
      <c r="M121" s="646" t="s">
        <v>1028</v>
      </c>
      <c r="N121" s="261">
        <v>33.899000000000001</v>
      </c>
      <c r="O121" s="647">
        <v>-118.167</v>
      </c>
    </row>
    <row r="122" spans="11:15" ht="14.4">
      <c r="K122" s="578" t="s">
        <v>867</v>
      </c>
      <c r="L122" s="261" t="s">
        <v>1029</v>
      </c>
      <c r="M122" s="261" t="s">
        <v>1030</v>
      </c>
      <c r="N122" s="261">
        <v>29.783999999999999</v>
      </c>
      <c r="O122" s="647">
        <v>-95.271000000000001</v>
      </c>
    </row>
    <row r="123" spans="11:15" ht="14.4">
      <c r="K123" s="578" t="s">
        <v>873</v>
      </c>
      <c r="L123" s="261" t="s">
        <v>1031</v>
      </c>
      <c r="M123" s="261" t="s">
        <v>1032</v>
      </c>
      <c r="N123" s="261">
        <v>33.747999999999998</v>
      </c>
      <c r="O123" s="647">
        <v>-84.387</v>
      </c>
    </row>
    <row r="124" spans="11:15" ht="14.4">
      <c r="K124" s="578" t="s">
        <v>876</v>
      </c>
      <c r="L124" s="261" t="s">
        <v>1033</v>
      </c>
      <c r="M124" s="261" t="s">
        <v>1034</v>
      </c>
      <c r="N124" s="261">
        <v>39.103000000000002</v>
      </c>
      <c r="O124" s="647">
        <v>-84.512</v>
      </c>
    </row>
    <row r="125" spans="11:15" ht="14.4">
      <c r="K125" s="578" t="s">
        <v>880</v>
      </c>
      <c r="L125" s="261" t="s">
        <v>1035</v>
      </c>
      <c r="M125" s="261" t="s">
        <v>1036</v>
      </c>
      <c r="N125" s="261">
        <v>41.511000000000003</v>
      </c>
      <c r="O125" s="647">
        <v>-87.953000000000003</v>
      </c>
    </row>
    <row r="126" spans="11:15" ht="14.4">
      <c r="K126" s="578" t="s">
        <v>883</v>
      </c>
      <c r="L126" s="261" t="s">
        <v>1033</v>
      </c>
      <c r="M126" s="261" t="s">
        <v>1034</v>
      </c>
      <c r="N126" s="261">
        <v>39.103000000000002</v>
      </c>
      <c r="O126" s="647">
        <v>-84.512</v>
      </c>
    </row>
    <row r="127" spans="11:15" ht="14.4">
      <c r="K127" s="578" t="s">
        <v>887</v>
      </c>
      <c r="L127" s="261" t="s">
        <v>1033</v>
      </c>
      <c r="M127" s="261" t="s">
        <v>1034</v>
      </c>
      <c r="N127" s="261">
        <v>39.103000000000002</v>
      </c>
      <c r="O127" s="647">
        <v>-84.512</v>
      </c>
    </row>
    <row r="128" spans="11:15" ht="14.4">
      <c r="K128" s="578" t="s">
        <v>890</v>
      </c>
      <c r="L128" s="261" t="s">
        <v>1031</v>
      </c>
      <c r="M128" s="261" t="s">
        <v>1032</v>
      </c>
      <c r="N128" s="261">
        <v>33.747999999999998</v>
      </c>
      <c r="O128" s="647">
        <v>-84.387</v>
      </c>
    </row>
    <row r="129" spans="11:15" ht="14.4">
      <c r="K129" s="578" t="s">
        <v>893</v>
      </c>
      <c r="L129" s="261" t="s">
        <v>1031</v>
      </c>
      <c r="M129" s="261" t="s">
        <v>1032</v>
      </c>
      <c r="N129" s="261">
        <v>33.747999999999998</v>
      </c>
      <c r="O129" s="647">
        <v>-84.387</v>
      </c>
    </row>
    <row r="130" spans="11:15" ht="14.4">
      <c r="K130" s="578" t="s">
        <v>896</v>
      </c>
      <c r="L130" s="261" t="s">
        <v>1037</v>
      </c>
      <c r="M130" s="261" t="s">
        <v>1038</v>
      </c>
      <c r="N130" s="261">
        <v>42.680999999999997</v>
      </c>
      <c r="O130" s="647">
        <v>-82.736000000000004</v>
      </c>
    </row>
    <row r="131" spans="11:15" ht="14.4">
      <c r="K131" s="578" t="s">
        <v>899</v>
      </c>
      <c r="L131" s="261" t="s">
        <v>1039</v>
      </c>
      <c r="M131" s="261" t="s">
        <v>1040</v>
      </c>
      <c r="N131" s="261">
        <v>37.292999999999999</v>
      </c>
      <c r="O131" s="647">
        <v>-80.054000000000002</v>
      </c>
    </row>
    <row r="132" spans="11:15" ht="14.4">
      <c r="K132" s="578" t="s">
        <v>902</v>
      </c>
      <c r="L132" s="261" t="s">
        <v>1039</v>
      </c>
      <c r="M132" s="261" t="s">
        <v>1040</v>
      </c>
      <c r="N132" s="261">
        <v>37.292999999999999</v>
      </c>
      <c r="O132" s="647">
        <v>-80.054000000000002</v>
      </c>
    </row>
    <row r="133" spans="11:15" ht="14.4">
      <c r="K133" s="578" t="s">
        <v>905</v>
      </c>
      <c r="L133" s="261" t="s">
        <v>1039</v>
      </c>
      <c r="M133" s="261" t="s">
        <v>1040</v>
      </c>
      <c r="N133" s="261">
        <v>37.292999999999999</v>
      </c>
      <c r="O133" s="647">
        <v>-80.054000000000002</v>
      </c>
    </row>
    <row r="134" spans="11:15" ht="14.4">
      <c r="K134" s="578" t="s">
        <v>908</v>
      </c>
      <c r="L134" s="261" t="s">
        <v>915</v>
      </c>
      <c r="M134" s="261" t="s">
        <v>1041</v>
      </c>
      <c r="N134" s="261">
        <v>39.738999999999997</v>
      </c>
      <c r="O134" s="647">
        <v>-104.991</v>
      </c>
    </row>
    <row r="135" spans="11:15" ht="14.4">
      <c r="K135" s="578" t="s">
        <v>911</v>
      </c>
      <c r="L135" s="261" t="s">
        <v>967</v>
      </c>
      <c r="M135" s="261" t="s">
        <v>1042</v>
      </c>
      <c r="N135" s="261">
        <v>35.116999999999997</v>
      </c>
      <c r="O135" s="647">
        <v>-89.971000000000004</v>
      </c>
    </row>
    <row r="136" spans="11:15" ht="14.4">
      <c r="K136" s="578" t="s">
        <v>914</v>
      </c>
      <c r="L136" s="261" t="s">
        <v>1039</v>
      </c>
      <c r="M136" s="261" t="s">
        <v>1040</v>
      </c>
      <c r="N136" s="261">
        <v>37.292999999999999</v>
      </c>
      <c r="O136" s="647">
        <v>-80.054000000000002</v>
      </c>
    </row>
    <row r="137" spans="11:15" ht="14.4">
      <c r="K137" s="578" t="s">
        <v>917</v>
      </c>
      <c r="L137" s="261" t="s">
        <v>1043</v>
      </c>
      <c r="M137" s="261" t="s">
        <v>1044</v>
      </c>
      <c r="N137" s="261">
        <v>33.450000000000003</v>
      </c>
      <c r="O137" s="647">
        <v>-112.259</v>
      </c>
    </row>
    <row r="138" spans="11:15" ht="14.4">
      <c r="K138" s="578" t="s">
        <v>920</v>
      </c>
      <c r="L138" s="261" t="s">
        <v>1045</v>
      </c>
      <c r="M138" s="261" t="s">
        <v>1046</v>
      </c>
      <c r="N138" s="261">
        <v>39.521000000000001</v>
      </c>
      <c r="O138" s="647">
        <v>-85.775999999999996</v>
      </c>
    </row>
    <row r="139" spans="11:15" ht="14.4">
      <c r="K139" s="578" t="s">
        <v>923</v>
      </c>
      <c r="L139" s="261" t="s">
        <v>1047</v>
      </c>
      <c r="M139" s="261" t="s">
        <v>1048</v>
      </c>
      <c r="N139" s="261">
        <v>43.176000000000002</v>
      </c>
      <c r="O139" s="647">
        <v>-89.793999999999997</v>
      </c>
    </row>
    <row r="140" spans="11:15" ht="14.4">
      <c r="K140" s="578" t="s">
        <v>926</v>
      </c>
      <c r="L140" s="261" t="s">
        <v>1049</v>
      </c>
      <c r="M140" s="261" t="s">
        <v>1050</v>
      </c>
      <c r="N140" s="261">
        <v>38.06</v>
      </c>
      <c r="O140" s="647">
        <v>-97.929000000000002</v>
      </c>
    </row>
    <row r="141" spans="11:15" ht="14.4">
      <c r="K141" s="578" t="s">
        <v>929</v>
      </c>
      <c r="L141" s="261" t="s">
        <v>1039</v>
      </c>
      <c r="M141" s="261" t="s">
        <v>1040</v>
      </c>
      <c r="N141" s="261">
        <v>37.292999999999999</v>
      </c>
      <c r="O141" s="647">
        <v>-80.054000000000002</v>
      </c>
    </row>
    <row r="142" spans="11:15" ht="14.4">
      <c r="K142" s="578" t="s">
        <v>932</v>
      </c>
      <c r="L142" s="261" t="s">
        <v>1047</v>
      </c>
      <c r="M142" s="261" t="s">
        <v>1048</v>
      </c>
      <c r="N142" s="261">
        <v>43.176000000000002</v>
      </c>
      <c r="O142" s="647">
        <v>-89.793999999999997</v>
      </c>
    </row>
    <row r="143" spans="11:15" ht="14.4">
      <c r="K143" s="578" t="s">
        <v>935</v>
      </c>
      <c r="L143" s="261" t="s">
        <v>1031</v>
      </c>
      <c r="M143" s="261" t="s">
        <v>1032</v>
      </c>
      <c r="N143" s="261">
        <v>33.747999999999998</v>
      </c>
      <c r="O143" s="647">
        <v>-84.387</v>
      </c>
    </row>
    <row r="144" spans="11:15" ht="14.4">
      <c r="K144" s="578" t="s">
        <v>938</v>
      </c>
      <c r="L144" s="261" t="s">
        <v>1051</v>
      </c>
      <c r="M144" s="261" t="s">
        <v>1052</v>
      </c>
      <c r="N144" s="261">
        <v>45.406999999999996</v>
      </c>
      <c r="O144" s="647">
        <v>-122.57</v>
      </c>
    </row>
    <row r="145" spans="11:15" ht="14.4">
      <c r="K145" s="648" t="s">
        <v>941</v>
      </c>
      <c r="L145" s="649" t="s">
        <v>1031</v>
      </c>
      <c r="M145" s="649" t="s">
        <v>1032</v>
      </c>
      <c r="N145" s="649">
        <v>33.747999999999998</v>
      </c>
      <c r="O145" s="650">
        <v>-84.387</v>
      </c>
    </row>
    <row r="146" spans="11:15" ht="14.4"/>
  </sheetData>
  <mergeCells count="25">
    <mergeCell ref="Q5:AB5"/>
    <mergeCell ref="S6:T6"/>
    <mergeCell ref="AA6:AB6"/>
    <mergeCell ref="U6:V6"/>
    <mergeCell ref="W6:X6"/>
    <mergeCell ref="Y6:Z6"/>
    <mergeCell ref="B5:D5"/>
    <mergeCell ref="F5:I5"/>
    <mergeCell ref="K7:O7"/>
    <mergeCell ref="K5:O5"/>
    <mergeCell ref="K119:O119"/>
    <mergeCell ref="K63:O63"/>
    <mergeCell ref="K35:O35"/>
    <mergeCell ref="F35:I35"/>
    <mergeCell ref="B60:D60"/>
    <mergeCell ref="K91:O91"/>
    <mergeCell ref="AL7:AM7"/>
    <mergeCell ref="AL10:AM10"/>
    <mergeCell ref="AD7:AF7"/>
    <mergeCell ref="AH7:AJ7"/>
    <mergeCell ref="S7:T7"/>
    <mergeCell ref="U7:V7"/>
    <mergeCell ref="W7:X7"/>
    <mergeCell ref="Y7:Z7"/>
    <mergeCell ref="AA7:AB7"/>
  </mergeCells>
  <hyperlinks>
    <hyperlink ref="A3" location="'Index'!A1" display="Back to Index" xr:uid="{A2312FD6-71EB-4489-88AB-7307B744A726}"/>
    <hyperlink ref="AL12" r:id="rId1" xr:uid="{97FDAA79-BDC2-461F-9E84-8650B93E19D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D8BE-EB8B-904A-BAFA-2DA7020739A6}">
  <sheetPr published="0">
    <tabColor rgb="FF00B050"/>
    <pageSetUpPr fitToPage="1"/>
  </sheetPr>
  <dimension ref="A1:L82"/>
  <sheetViews>
    <sheetView workbookViewId="0">
      <pane ySplit="4" topLeftCell="A45" activePane="bottomLeft" state="frozen"/>
      <selection activeCell="C17" sqref="C17"/>
      <selection pane="bottomLeft" activeCell="H52" sqref="H52"/>
    </sheetView>
  </sheetViews>
  <sheetFormatPr defaultColWidth="8.33203125" defaultRowHeight="13.2"/>
  <cols>
    <col min="1" max="1" width="80.88671875" style="349" customWidth="1"/>
    <col min="2" max="7" width="14.88671875" style="348" customWidth="1"/>
    <col min="8" max="8" width="2.33203125" style="348" customWidth="1"/>
    <col min="9" max="9" width="10.109375" style="348" bestFit="1" customWidth="1"/>
    <col min="10" max="16384" width="8.33203125" style="348"/>
  </cols>
  <sheetData>
    <row r="1" spans="1:12" ht="28.8">
      <c r="A1" s="1172" t="s">
        <v>299</v>
      </c>
      <c r="B1" s="348" t="s">
        <v>596</v>
      </c>
      <c r="C1" s="393" t="s">
        <v>596</v>
      </c>
      <c r="J1" s="380"/>
      <c r="L1" s="356"/>
    </row>
    <row r="2" spans="1:12" ht="14.4">
      <c r="A2" s="579" t="s">
        <v>32</v>
      </c>
      <c r="C2" s="393"/>
      <c r="J2" s="380"/>
      <c r="L2" s="356"/>
    </row>
    <row r="3" spans="1:12">
      <c r="A3" s="381"/>
      <c r="C3" s="393"/>
      <c r="J3" s="380"/>
      <c r="L3" s="356"/>
    </row>
    <row r="4" spans="1:12" ht="15.6">
      <c r="A4" s="393" t="s">
        <v>1053</v>
      </c>
      <c r="B4" s="394" t="s">
        <v>1054</v>
      </c>
      <c r="C4" s="394" t="s">
        <v>75</v>
      </c>
      <c r="D4" s="394" t="s">
        <v>76</v>
      </c>
      <c r="E4" s="394" t="s">
        <v>77</v>
      </c>
      <c r="F4" s="394" t="s">
        <v>78</v>
      </c>
      <c r="G4" s="394" t="s">
        <v>79</v>
      </c>
      <c r="I4" s="393" t="s">
        <v>1055</v>
      </c>
      <c r="J4" s="380"/>
      <c r="L4" s="356"/>
    </row>
    <row r="5" spans="1:12">
      <c r="A5" s="348"/>
    </row>
    <row r="6" spans="1:12">
      <c r="A6" s="350"/>
    </row>
    <row r="7" spans="1:12">
      <c r="A7" s="1333" t="s">
        <v>1056</v>
      </c>
      <c r="B7" s="1333"/>
      <c r="C7" s="1333"/>
      <c r="D7" s="1333"/>
      <c r="E7" s="1333"/>
      <c r="F7" s="1333"/>
      <c r="G7" s="1333"/>
    </row>
    <row r="9" spans="1:12">
      <c r="A9" s="369" t="s">
        <v>1057</v>
      </c>
      <c r="C9" s="392"/>
    </row>
    <row r="10" spans="1:12" ht="27">
      <c r="A10" s="349" t="s">
        <v>1058</v>
      </c>
      <c r="B10" s="387">
        <f>'Capital Expenditures'!F17+'Information Systems Expense'!F23</f>
        <v>975650</v>
      </c>
      <c r="C10" s="348" t="s">
        <v>1059</v>
      </c>
      <c r="I10" s="348" t="s">
        <v>1060</v>
      </c>
    </row>
    <row r="11" spans="1:12" ht="12.75" customHeight="1">
      <c r="B11" s="362"/>
    </row>
    <row r="12" spans="1:12" ht="14.4">
      <c r="A12" s="369" t="s">
        <v>1061</v>
      </c>
      <c r="B12" s="362"/>
    </row>
    <row r="13" spans="1:12" ht="14.4">
      <c r="A13" s="349" t="s">
        <v>1062</v>
      </c>
      <c r="B13" s="387">
        <f>'Time 0 Startup Inventory'!J10</f>
        <v>210523.4</v>
      </c>
      <c r="I13" s="348" t="s">
        <v>1063</v>
      </c>
    </row>
    <row r="14" spans="1:12" ht="14.4">
      <c r="A14" s="391" t="s">
        <v>1064</v>
      </c>
      <c r="B14" s="387">
        <f>SUM('Time 0 Startup Inventory'!F7:F8)</f>
        <v>13547.29087118915</v>
      </c>
      <c r="D14" s="1106">
        <f>SUM(B10,B21,B13:B15)-'FE Balance Sheet'!B20</f>
        <v>1296255.9488035629</v>
      </c>
      <c r="I14" s="348" t="s">
        <v>1060</v>
      </c>
    </row>
    <row r="15" spans="1:12" ht="14.4">
      <c r="A15" s="391" t="s">
        <v>1065</v>
      </c>
      <c r="B15" s="387">
        <f>'Time 0 Startup Inventory'!F9</f>
        <v>12267.638704611119</v>
      </c>
      <c r="I15" s="348" t="s">
        <v>1060</v>
      </c>
    </row>
    <row r="16" spans="1:12" ht="14.4">
      <c r="B16" s="402"/>
      <c r="D16" s="1106"/>
    </row>
    <row r="17" spans="1:9" ht="14.4">
      <c r="A17" s="369" t="s">
        <v>1066</v>
      </c>
      <c r="B17" s="402"/>
    </row>
    <row r="18" spans="1:9" ht="14.4">
      <c r="A18" s="349" t="s">
        <v>1067</v>
      </c>
      <c r="B18" s="387">
        <v>0</v>
      </c>
      <c r="I18" s="348" t="s">
        <v>1060</v>
      </c>
    </row>
    <row r="19" spans="1:9" ht="14.4">
      <c r="A19" s="349" t="s">
        <v>1068</v>
      </c>
      <c r="B19" s="387">
        <f>'IMC Schedule'!O14</f>
        <v>39000</v>
      </c>
      <c r="I19" s="348" t="s">
        <v>1069</v>
      </c>
    </row>
    <row r="20" spans="1:9" ht="14.4">
      <c r="A20" s="349" t="s">
        <v>1070</v>
      </c>
      <c r="B20" s="776">
        <f>'Time 0 Startup Inventory'!F17</f>
        <v>58452.76666666667</v>
      </c>
      <c r="I20" s="348" t="s">
        <v>1071</v>
      </c>
    </row>
    <row r="21" spans="1:9" ht="14.4">
      <c r="A21" s="390" t="s">
        <v>1072</v>
      </c>
      <c r="B21" s="777">
        <f>SUM(B18:B20)</f>
        <v>97452.766666666663</v>
      </c>
    </row>
    <row r="23" spans="1:9">
      <c r="A23" s="1334" t="s">
        <v>1073</v>
      </c>
      <c r="B23" s="1334"/>
      <c r="C23" s="1334"/>
      <c r="D23" s="1334"/>
      <c r="E23" s="1334"/>
      <c r="F23" s="1334"/>
      <c r="G23" s="1334"/>
    </row>
    <row r="24" spans="1:9">
      <c r="A24" s="389"/>
      <c r="B24" s="389"/>
      <c r="C24" s="389"/>
      <c r="D24" s="389"/>
      <c r="E24" s="389"/>
      <c r="F24" s="389"/>
      <c r="G24" s="389"/>
    </row>
    <row r="25" spans="1:9" ht="14.4">
      <c r="A25" s="369" t="s">
        <v>1074</v>
      </c>
      <c r="C25" s="775"/>
    </row>
    <row r="26" spans="1:9" ht="14.4">
      <c r="A26" s="379" t="s">
        <v>1075</v>
      </c>
      <c r="B26" s="378"/>
      <c r="C26" s="434">
        <f>'Distribution Reach'!E9</f>
        <v>14263.258581235699</v>
      </c>
      <c r="D26" s="435">
        <f>'Distribution Reach'!E25</f>
        <v>15407.52034597995</v>
      </c>
      <c r="E26" s="388">
        <f>'Distribution Reach'!E43</f>
        <v>10231.610138598922</v>
      </c>
      <c r="F26" s="388">
        <v>0</v>
      </c>
      <c r="G26" s="388">
        <v>0</v>
      </c>
      <c r="I26" s="348" t="s">
        <v>1069</v>
      </c>
    </row>
    <row r="27" spans="1:9" ht="14.4">
      <c r="A27" s="357" t="s">
        <v>1076</v>
      </c>
      <c r="C27" s="387">
        <f>'Distribution Reach'!E16</f>
        <v>89868.741418764315</v>
      </c>
      <c r="D27" s="434">
        <f>'Distribution Reach'!E32</f>
        <v>131637.06703361508</v>
      </c>
      <c r="E27" s="387">
        <f>'Distribution Reach'!E50</f>
        <v>135735.93349699071</v>
      </c>
      <c r="F27" s="387">
        <f>'Distribution Reach'!E65</f>
        <v>147642.29961877369</v>
      </c>
      <c r="G27" s="387">
        <f>'Distribution Reach'!E83</f>
        <v>159527.31622927569</v>
      </c>
      <c r="I27" s="348" t="s">
        <v>1069</v>
      </c>
    </row>
    <row r="28" spans="1:9" ht="14.4">
      <c r="A28" s="436" t="s">
        <v>1077</v>
      </c>
      <c r="C28" s="387">
        <v>0</v>
      </c>
      <c r="D28" s="434">
        <f>'Distribution Reach'!E34</f>
        <v>43193.412620404953</v>
      </c>
      <c r="E28" s="387">
        <f>'Distribution Reach'!E52</f>
        <v>45722.829151403457</v>
      </c>
      <c r="F28" s="387">
        <f>'Distribution Reach'!E70</f>
        <v>50886.305506424949</v>
      </c>
      <c r="G28" s="387">
        <f>'Distribution Reach'!E89</f>
        <v>52344.900637731087</v>
      </c>
    </row>
    <row r="29" spans="1:9" ht="14.4">
      <c r="A29" s="357" t="s">
        <v>1078</v>
      </c>
      <c r="C29" s="387">
        <v>0</v>
      </c>
      <c r="D29" s="387">
        <v>0</v>
      </c>
      <c r="E29" s="387">
        <f>'Distribution Reach'!E55</f>
        <v>60425.627213006934</v>
      </c>
      <c r="F29" s="387">
        <f>'Distribution Reach'!E67</f>
        <v>65725.989631425662</v>
      </c>
      <c r="G29" s="387">
        <f>'Distribution Reach'!E85</f>
        <v>166200.09762706535</v>
      </c>
      <c r="I29" s="348" t="s">
        <v>1069</v>
      </c>
    </row>
    <row r="30" spans="1:9" ht="15" thickBot="1">
      <c r="A30" s="375" t="s">
        <v>1079</v>
      </c>
      <c r="B30" s="374"/>
      <c r="C30" s="386">
        <v>0</v>
      </c>
      <c r="D30" s="386">
        <v>0</v>
      </c>
      <c r="E30" s="386">
        <v>0</v>
      </c>
      <c r="F30" s="386">
        <f>'Distribution Reach'!E74</f>
        <v>68029.405243375761</v>
      </c>
      <c r="G30" s="386">
        <f>'Distribution Reach'!E91</f>
        <v>73505.685505927861</v>
      </c>
      <c r="I30" s="348" t="s">
        <v>1069</v>
      </c>
    </row>
    <row r="31" spans="1:9" ht="14.4">
      <c r="A31" s="373" t="s">
        <v>986</v>
      </c>
      <c r="B31" s="371" t="s">
        <v>596</v>
      </c>
      <c r="C31" s="385">
        <f>SUM(C26:C30)</f>
        <v>104132.00000000001</v>
      </c>
      <c r="D31" s="385">
        <f>SUM(D26:D30)</f>
        <v>190238</v>
      </c>
      <c r="E31" s="385">
        <f t="shared" ref="E31:G31" si="0">SUM(E26:E30)</f>
        <v>252116</v>
      </c>
      <c r="F31" s="385">
        <f t="shared" si="0"/>
        <v>332284.00000000006</v>
      </c>
      <c r="G31" s="385">
        <f t="shared" si="0"/>
        <v>451578</v>
      </c>
      <c r="H31" s="348" t="s">
        <v>596</v>
      </c>
    </row>
    <row r="32" spans="1:9">
      <c r="A32" s="381"/>
      <c r="C32" s="380"/>
      <c r="D32" s="380"/>
      <c r="E32" s="380"/>
      <c r="F32" s="380"/>
      <c r="G32" s="380"/>
    </row>
    <row r="33" spans="1:9">
      <c r="A33" s="369" t="s">
        <v>1080</v>
      </c>
      <c r="C33" s="384"/>
      <c r="D33" s="384"/>
      <c r="E33" s="384"/>
      <c r="F33" s="384"/>
      <c r="G33" s="384"/>
    </row>
    <row r="34" spans="1:9" ht="14.4">
      <c r="A34" s="379" t="s">
        <v>1081</v>
      </c>
      <c r="B34" s="378"/>
      <c r="C34" s="615">
        <f>'Distribution Reach'!I8</f>
        <v>19.8</v>
      </c>
      <c r="D34" s="615">
        <f>'Distribution Reach'!I24</f>
        <v>19.8</v>
      </c>
      <c r="E34" s="615">
        <f>'Distribution Reach'!I42</f>
        <v>19.8</v>
      </c>
      <c r="F34" s="435">
        <v>0</v>
      </c>
      <c r="G34" s="435">
        <v>0</v>
      </c>
      <c r="I34" s="348" t="s">
        <v>1069</v>
      </c>
    </row>
    <row r="35" spans="1:9">
      <c r="A35" s="357" t="s">
        <v>1082</v>
      </c>
      <c r="C35" s="383">
        <f>'Distribution Reach'!I10</f>
        <v>19.8</v>
      </c>
      <c r="D35" s="383">
        <f>'Distribution Reach'!I26</f>
        <v>19.8</v>
      </c>
      <c r="E35" s="383">
        <f>'Distribution Reach'!I44</f>
        <v>19.8</v>
      </c>
      <c r="F35" s="383">
        <f>'Distribution Reach'!I66</f>
        <v>19.8</v>
      </c>
      <c r="G35" s="383">
        <f>'Distribution Reach'!I84</f>
        <v>19.8</v>
      </c>
      <c r="I35" s="348" t="s">
        <v>1069</v>
      </c>
    </row>
    <row r="36" spans="1:9" ht="14.4">
      <c r="A36" s="357" t="s">
        <v>1083</v>
      </c>
      <c r="C36" s="387">
        <v>0</v>
      </c>
      <c r="D36" s="383">
        <f>'Distribution Reach'!I28</f>
        <v>17.05</v>
      </c>
      <c r="E36" s="383">
        <f>'Distribution Reach'!I46</f>
        <v>17.05</v>
      </c>
      <c r="F36" s="383">
        <f>'Distribution Reach'!I68</f>
        <v>17.05</v>
      </c>
      <c r="G36" s="383">
        <f>'Distribution Reach'!I86</f>
        <v>17.05</v>
      </c>
    </row>
    <row r="37" spans="1:9" ht="14.4">
      <c r="A37" s="357" t="s">
        <v>1084</v>
      </c>
      <c r="C37" s="387">
        <v>0</v>
      </c>
      <c r="D37" s="387">
        <v>0</v>
      </c>
      <c r="E37" s="383">
        <f>'Distribution Reach'!I43</f>
        <v>17.05</v>
      </c>
      <c r="F37" s="383">
        <f>'Distribution Reach'!I65</f>
        <v>17.05</v>
      </c>
      <c r="G37" s="383">
        <f>'Distribution Reach'!I83</f>
        <v>17.05</v>
      </c>
      <c r="I37" s="348" t="s">
        <v>1069</v>
      </c>
    </row>
    <row r="38" spans="1:9" ht="14.4">
      <c r="A38" s="375" t="s">
        <v>1085</v>
      </c>
      <c r="B38" s="613"/>
      <c r="C38" s="614">
        <v>0</v>
      </c>
      <c r="D38" s="614">
        <v>0</v>
      </c>
      <c r="E38" s="614">
        <v>0</v>
      </c>
      <c r="F38" s="382">
        <f>'Distribution Reach'!I67</f>
        <v>15</v>
      </c>
      <c r="G38" s="382">
        <f>'Distribution Reach'!I85</f>
        <v>15</v>
      </c>
      <c r="I38" s="348" t="s">
        <v>1069</v>
      </c>
    </row>
    <row r="39" spans="1:9">
      <c r="A39" s="373" t="s">
        <v>1086</v>
      </c>
      <c r="B39" s="371"/>
      <c r="C39" s="437">
        <f>'Distribution Reach'!I13</f>
        <v>19.800000000000004</v>
      </c>
      <c r="D39" s="437">
        <f>'Distribution Reach'!I29</f>
        <v>19.175614310988795</v>
      </c>
      <c r="E39" s="437">
        <f>'Distribution Reach'!I47</f>
        <v>18.642166879523202</v>
      </c>
      <c r="F39" s="437">
        <f>'Distribution Reach'!I69</f>
        <v>17.852193434540055</v>
      </c>
      <c r="G39" s="437">
        <f>'Distribution Reach'!I87</f>
        <v>17.687793391935294</v>
      </c>
    </row>
    <row r="40" spans="1:9">
      <c r="A40" s="381"/>
      <c r="C40" s="380"/>
      <c r="D40" s="380"/>
      <c r="E40" s="380"/>
      <c r="F40" s="380"/>
      <c r="G40" s="380"/>
    </row>
    <row r="41" spans="1:9">
      <c r="A41" s="369" t="s">
        <v>1087</v>
      </c>
      <c r="C41" s="380"/>
      <c r="D41" s="380"/>
      <c r="E41" s="380"/>
      <c r="F41" s="380"/>
      <c r="G41" s="380"/>
    </row>
    <row r="42" spans="1:9" ht="15" customHeight="1">
      <c r="A42" s="379" t="s">
        <v>1088</v>
      </c>
      <c r="B42" s="378"/>
      <c r="C42" s="377">
        <f>COGS!F17+COGS!F18</f>
        <v>4.8226220681442786</v>
      </c>
      <c r="D42" s="377">
        <f>COGS!H17+COGS!H18</f>
        <v>4.5883873390174417</v>
      </c>
      <c r="E42" s="377">
        <f>COGS!J17+COGS!J18</f>
        <v>4.5330263229624466</v>
      </c>
      <c r="F42" s="377">
        <f>COGS!L17+COGS!L18</f>
        <v>4.5513053404172341</v>
      </c>
      <c r="G42" s="377">
        <f>COGS!N17+COGS!N18</f>
        <v>4.4375541347098313</v>
      </c>
      <c r="I42" s="348" t="s">
        <v>1060</v>
      </c>
    </row>
    <row r="43" spans="1:9" ht="14.4">
      <c r="A43" s="349" t="s">
        <v>1089</v>
      </c>
      <c r="C43" s="434">
        <f>COGS!T19</f>
        <v>97746.709999999992</v>
      </c>
      <c r="D43" s="434">
        <f>COGS!T36</f>
        <v>164610.82</v>
      </c>
      <c r="E43" s="434">
        <f>COGS!T53</f>
        <v>194128.37333333332</v>
      </c>
      <c r="F43" s="434">
        <f>COGS!T70</f>
        <v>232796.23666666666</v>
      </c>
      <c r="G43" s="434">
        <f>COGS!T87</f>
        <v>297306.38666666666</v>
      </c>
      <c r="I43" s="348" t="s">
        <v>1060</v>
      </c>
    </row>
    <row r="44" spans="1:9" ht="14.4">
      <c r="A44" s="376" t="s">
        <v>1090</v>
      </c>
      <c r="C44" s="402">
        <f>C43+(C42*C31)</f>
        <v>599935.99120000005</v>
      </c>
      <c r="D44" s="402">
        <f t="shared" ref="D44:G44" si="1">D43+(D42*D31)</f>
        <v>1037496.4506000001</v>
      </c>
      <c r="E44" s="402">
        <f t="shared" si="1"/>
        <v>1336976.8377733335</v>
      </c>
      <c r="F44" s="402">
        <f t="shared" si="1"/>
        <v>1745122.180401867</v>
      </c>
      <c r="G44" s="402">
        <f t="shared" si="1"/>
        <v>2301208.2077106629</v>
      </c>
    </row>
    <row r="45" spans="1:9" ht="15" thickBot="1">
      <c r="A45" s="375" t="s">
        <v>1091</v>
      </c>
      <c r="B45" s="374"/>
      <c r="C45" s="386">
        <f>COGS!T18</f>
        <v>259433.07800000001</v>
      </c>
      <c r="D45" s="386">
        <f>COGS!T35</f>
        <v>300369.20968491008</v>
      </c>
      <c r="E45" s="386">
        <f>COGS!T52</f>
        <v>370765.89011667296</v>
      </c>
      <c r="F45" s="386">
        <f>COGS!T69</f>
        <v>440616.00440250797</v>
      </c>
      <c r="G45" s="386">
        <f>COGS!T86</f>
        <v>537755.92914182227</v>
      </c>
      <c r="I45" s="348" t="s">
        <v>1060</v>
      </c>
    </row>
    <row r="46" spans="1:9" ht="14.4">
      <c r="A46" s="373" t="s">
        <v>1092</v>
      </c>
      <c r="B46" s="371"/>
      <c r="C46" s="612">
        <f>C44+C45</f>
        <v>859369.06920000003</v>
      </c>
      <c r="D46" s="612">
        <f>D44+D45</f>
        <v>1337865.6602849101</v>
      </c>
      <c r="E46" s="612">
        <f>E44+E45</f>
        <v>1707742.7278900065</v>
      </c>
      <c r="F46" s="612">
        <f>F44+F45</f>
        <v>2185738.1848043748</v>
      </c>
      <c r="G46" s="612">
        <f>G44+G45</f>
        <v>2838964.1368524851</v>
      </c>
    </row>
    <row r="47" spans="1:9" ht="14.4">
      <c r="C47" s="372"/>
      <c r="D47" s="362"/>
      <c r="E47" s="362"/>
      <c r="F47" s="362"/>
      <c r="G47" s="362"/>
    </row>
    <row r="48" spans="1:9">
      <c r="A48" s="369" t="s">
        <v>1093</v>
      </c>
    </row>
    <row r="49" spans="1:9" ht="14.4">
      <c r="A49" s="349" t="s">
        <v>1094</v>
      </c>
      <c r="C49" s="370">
        <v>0</v>
      </c>
      <c r="D49" s="370">
        <v>0</v>
      </c>
      <c r="E49" s="370">
        <v>0</v>
      </c>
      <c r="F49" s="370">
        <v>0</v>
      </c>
      <c r="G49" s="370">
        <v>0</v>
      </c>
      <c r="I49" s="348" t="s">
        <v>1060</v>
      </c>
    </row>
    <row r="50" spans="1:9" ht="14.4">
      <c r="A50" s="349" t="s">
        <v>1095</v>
      </c>
      <c r="C50" s="434">
        <f>'General and Administrative'!F17</f>
        <v>501000</v>
      </c>
      <c r="D50" s="434">
        <f>'General and Administrative'!G17</f>
        <v>615855</v>
      </c>
      <c r="E50" s="434">
        <f>'General and Administrative'!H17</f>
        <v>811643.58</v>
      </c>
      <c r="F50" s="434">
        <f>'General and Administrative'!I17</f>
        <v>991652.84840000013</v>
      </c>
      <c r="G50" s="434">
        <f>'General and Administrative'!J17</f>
        <v>1126150.058468</v>
      </c>
      <c r="I50" s="348" t="s">
        <v>1060</v>
      </c>
    </row>
    <row r="51" spans="1:9" ht="14.4">
      <c r="A51" s="357" t="s">
        <v>1096</v>
      </c>
      <c r="C51" s="434">
        <f>'IMC Schedule'!T13</f>
        <v>388905.91665699822</v>
      </c>
      <c r="D51" s="434">
        <f>'IMC Schedule'!U13</f>
        <v>489656.76579871244</v>
      </c>
      <c r="E51" s="434">
        <f>'IMC Schedule'!V13</f>
        <v>625550.79216144781</v>
      </c>
      <c r="F51" s="434">
        <f>'IMC Schedule'!W13</f>
        <v>738825.15063709358</v>
      </c>
      <c r="G51" s="434">
        <f>'IMC Schedule'!X13</f>
        <v>840790.27105796663</v>
      </c>
      <c r="I51" s="348" t="s">
        <v>1069</v>
      </c>
    </row>
    <row r="52" spans="1:9" ht="14.4">
      <c r="A52" s="357" t="s">
        <v>1097</v>
      </c>
      <c r="B52" s="371"/>
      <c r="C52" s="370">
        <f>C26*C34*B71</f>
        <v>28241.251990846686</v>
      </c>
      <c r="D52" s="370">
        <f>(D34*D26*$B$71)+(D36*D28*$B$71)</f>
        <v>104151.65880283076</v>
      </c>
      <c r="E52" s="370">
        <f>(E34*E26*$B$71)+(E36*E28*$B$71)+(E37*E29*$B$71)</f>
        <v>201241.70617574558</v>
      </c>
      <c r="F52" s="370">
        <f>(F34*F26*$B$71)+(F36*F28*$B$71)+(F37*F29*$B$71)+(F38*F30*$B$71)</f>
        <v>300868.07107509894</v>
      </c>
      <c r="G52" s="370">
        <f>(G34*G26*$B$71)+(G36*G28*$B$71)+(G37*G29*$B$71)+(G38*G30*$B$71)</f>
        <v>482877.75030036981</v>
      </c>
      <c r="I52" s="348" t="s">
        <v>1069</v>
      </c>
    </row>
    <row r="53" spans="1:9" ht="14.4">
      <c r="A53" s="369" t="s">
        <v>1098</v>
      </c>
      <c r="C53" s="368">
        <f>'Information Systems Expense'!G15</f>
        <v>74932.2</v>
      </c>
      <c r="D53" s="368">
        <f>'Information Systems Expense'!H15</f>
        <v>87304.77</v>
      </c>
      <c r="E53" s="368">
        <f>'Information Systems Expense'!I15</f>
        <v>109784.5245</v>
      </c>
      <c r="F53" s="368">
        <f>'Information Systems Expense'!J15</f>
        <v>143804.11342500002</v>
      </c>
      <c r="G53" s="368">
        <f>'Information Systems Expense'!K15</f>
        <v>170965.57298625002</v>
      </c>
    </row>
    <row r="54" spans="1:9" ht="14.4">
      <c r="A54" s="367" t="s">
        <v>1099</v>
      </c>
      <c r="B54" s="366"/>
      <c r="C54" s="365">
        <f>SUM(C50:C53)</f>
        <v>993079.36864784488</v>
      </c>
      <c r="D54" s="365">
        <f>SUM(D50:D53)</f>
        <v>1296968.1946015432</v>
      </c>
      <c r="E54" s="365">
        <f>SUM(E50:E53)</f>
        <v>1748220.6028371935</v>
      </c>
      <c r="F54" s="365">
        <f>SUM(F50:F53)</f>
        <v>2175150.1835371926</v>
      </c>
      <c r="G54" s="365">
        <f>SUM(G50:G53)</f>
        <v>2620783.6528125862</v>
      </c>
      <c r="H54" s="348" t="s">
        <v>596</v>
      </c>
      <c r="I54" s="348" t="s">
        <v>1060</v>
      </c>
    </row>
    <row r="56" spans="1:9">
      <c r="A56" s="1333" t="s">
        <v>1100</v>
      </c>
      <c r="B56" s="1333"/>
      <c r="C56" s="1333"/>
      <c r="D56" s="1333"/>
      <c r="E56" s="1333"/>
      <c r="F56" s="1333"/>
      <c r="G56" s="1333"/>
    </row>
    <row r="57" spans="1:9">
      <c r="A57" s="364" t="s">
        <v>299</v>
      </c>
      <c r="B57" s="361"/>
      <c r="C57" s="361"/>
      <c r="D57" s="361"/>
      <c r="E57" s="361"/>
      <c r="F57" s="361"/>
      <c r="G57" s="361"/>
    </row>
    <row r="58" spans="1:9" ht="14.4">
      <c r="A58" s="363" t="s">
        <v>1101</v>
      </c>
      <c r="B58" t="s">
        <v>1102</v>
      </c>
      <c r="C58" s="348" t="s">
        <v>1103</v>
      </c>
    </row>
    <row r="59" spans="1:9" ht="14.4">
      <c r="A59" s="363" t="s">
        <v>1104</v>
      </c>
      <c r="B59" t="s">
        <v>1105</v>
      </c>
      <c r="C59" s="348" t="s">
        <v>1103</v>
      </c>
    </row>
    <row r="60" spans="1:9" ht="14.4">
      <c r="A60" s="363" t="s">
        <v>1106</v>
      </c>
      <c r="B60" t="s">
        <v>1107</v>
      </c>
      <c r="C60" s="348" t="s">
        <v>1103</v>
      </c>
    </row>
    <row r="61" spans="1:9" ht="14.4">
      <c r="A61" s="363" t="s">
        <v>1108</v>
      </c>
      <c r="B61" t="s">
        <v>1109</v>
      </c>
      <c r="C61" s="348" t="s">
        <v>1103</v>
      </c>
    </row>
    <row r="62" spans="1:9">
      <c r="C62" s="356"/>
      <c r="D62" s="356"/>
      <c r="E62" s="356"/>
      <c r="F62" s="356"/>
      <c r="G62" s="356"/>
    </row>
    <row r="63" spans="1:9" ht="14.4">
      <c r="A63" s="349" t="s">
        <v>1110</v>
      </c>
      <c r="C63" s="360">
        <f>'Inventory Management'!F8+'Inventory Management'!F9</f>
        <v>81283.745227134903</v>
      </c>
      <c r="D63" s="360">
        <f>'Inventory Management'!G8+'Inventory Management'!G9</f>
        <v>138735.72494413864</v>
      </c>
      <c r="E63" s="360">
        <f>'Inventory Management'!H8+'Inventory Management'!H9</f>
        <v>179597.32333191484</v>
      </c>
      <c r="F63" s="360">
        <f>'Inventory Management'!I8+'Inventory Management'!I9</f>
        <v>231999.59136665449</v>
      </c>
      <c r="G63" s="360">
        <f>'Inventory Management'!J8+'Inventory Management'!J9</f>
        <v>308661.45604969631</v>
      </c>
      <c r="I63" s="348" t="s">
        <v>1060</v>
      </c>
    </row>
    <row r="64" spans="1:9" ht="14.4">
      <c r="A64" s="349" t="s">
        <v>1111</v>
      </c>
      <c r="C64" s="360">
        <f>'Inventory Management'!F10</f>
        <v>73605.832227666717</v>
      </c>
      <c r="D64" s="360">
        <f>'Inventory Management'!G10</f>
        <v>114589.55047772347</v>
      </c>
      <c r="E64" s="360">
        <f>'Inventory Management'!H10</f>
        <v>146269.8963951607</v>
      </c>
      <c r="F64" s="360">
        <f>'Inventory Management'!I10</f>
        <v>187210.69199533112</v>
      </c>
      <c r="G64" s="360">
        <f>'Inventory Management'!J10</f>
        <v>243160.15719771574</v>
      </c>
      <c r="I64" s="348" t="s">
        <v>1060</v>
      </c>
    </row>
    <row r="65" spans="1:9" ht="14.4">
      <c r="A65" s="349" t="s">
        <v>1112</v>
      </c>
      <c r="C65" s="360">
        <f>C63+C64</f>
        <v>154889.57745480162</v>
      </c>
      <c r="D65" s="360">
        <f>D63+D64</f>
        <v>253325.27542186211</v>
      </c>
      <c r="E65" s="360">
        <f>E63+E64</f>
        <v>325867.21972707554</v>
      </c>
      <c r="F65" s="360">
        <f>F63+F64</f>
        <v>419210.28336198558</v>
      </c>
      <c r="G65" s="360">
        <f>G63+G64</f>
        <v>551821.61324741202</v>
      </c>
    </row>
    <row r="66" spans="1:9" ht="14.4">
      <c r="A66" s="349" t="s">
        <v>1113</v>
      </c>
      <c r="B66" s="362"/>
      <c r="C66" s="360">
        <v>0</v>
      </c>
      <c r="D66" s="360">
        <f>'Capital Expenditures'!G17</f>
        <v>345000</v>
      </c>
      <c r="E66" s="360">
        <f>'Capital Expenditures'!H17</f>
        <v>381150</v>
      </c>
      <c r="F66" s="360">
        <f>'Capital Expenditures'!I17</f>
        <v>181150</v>
      </c>
      <c r="G66" s="360">
        <f>'Capital Expenditures'!J17</f>
        <v>751150</v>
      </c>
      <c r="I66" s="348" t="s">
        <v>1060</v>
      </c>
    </row>
    <row r="68" spans="1:9">
      <c r="A68" s="1333" t="s">
        <v>1114</v>
      </c>
      <c r="B68" s="1333"/>
      <c r="C68" s="1333"/>
      <c r="D68" s="1333"/>
      <c r="E68" s="1333"/>
      <c r="F68" s="1333"/>
      <c r="G68" s="1333"/>
    </row>
    <row r="69" spans="1:9">
      <c r="A69" s="361"/>
      <c r="B69" s="361"/>
      <c r="C69" s="361"/>
      <c r="D69" s="361"/>
      <c r="E69" s="361"/>
      <c r="F69" s="361"/>
      <c r="G69" s="361"/>
    </row>
    <row r="70" spans="1:9" ht="14.25" customHeight="1">
      <c r="A70" s="349" t="s">
        <v>1115</v>
      </c>
      <c r="B70" s="770">
        <v>0.22589999999999999</v>
      </c>
      <c r="C70" s="359" t="s">
        <v>1116</v>
      </c>
      <c r="D70" s="359"/>
      <c r="E70" s="359"/>
      <c r="F70" s="359"/>
      <c r="G70" s="359"/>
      <c r="I70" s="348" t="s">
        <v>1063</v>
      </c>
    </row>
    <row r="71" spans="1:9">
      <c r="A71" s="357" t="s">
        <v>1117</v>
      </c>
      <c r="B71" s="358">
        <v>0.1</v>
      </c>
      <c r="C71" s="348" t="s">
        <v>1118</v>
      </c>
      <c r="I71" s="348" t="s">
        <v>1069</v>
      </c>
    </row>
    <row r="72" spans="1:9">
      <c r="A72" s="357"/>
      <c r="B72" s="356"/>
    </row>
    <row r="73" spans="1:9" ht="14.4">
      <c r="A73" s="349" t="s">
        <v>1119</v>
      </c>
      <c r="B73" s="8">
        <v>0.27</v>
      </c>
      <c r="C73" s="348" t="s">
        <v>1120</v>
      </c>
    </row>
    <row r="74" spans="1:9">
      <c r="A74" s="349" t="s">
        <v>1121</v>
      </c>
      <c r="B74" s="355">
        <v>0.05</v>
      </c>
      <c r="C74" s="348" t="s">
        <v>1122</v>
      </c>
    </row>
    <row r="80" spans="1:9">
      <c r="A80" s="354"/>
      <c r="B80" s="353"/>
      <c r="C80" s="352"/>
    </row>
    <row r="81" spans="1:1">
      <c r="A81" s="351"/>
    </row>
    <row r="82" spans="1:1">
      <c r="A82" s="350"/>
    </row>
  </sheetData>
  <mergeCells count="4">
    <mergeCell ref="A7:G7"/>
    <mergeCell ref="A23:G23"/>
    <mergeCell ref="A56:G56"/>
    <mergeCell ref="A68:G68"/>
  </mergeCells>
  <hyperlinks>
    <hyperlink ref="A2" location="'Index'!A1" display="Back to Index" xr:uid="{86CD0606-38D4-4794-8DF9-A097A7B090B6}"/>
  </hyperlinks>
  <printOptions gridLines="1" gridLinesSet="0"/>
  <pageMargins left="0.75" right="0.75" top="1" bottom="1" header="0.5" footer="0.5"/>
  <pageSetup scale="51" orientation="landscape" r:id="rId1"/>
  <headerFooter alignWithMargins="0">
    <oddHeader>&amp;A</oddHeader>
    <oddFooter>Page &amp;P</oddFooter>
  </headerFooter>
  <rowBreaks count="1" manualBreakCount="1">
    <brk id="84" max="16383" man="1"/>
  </rowBreaks>
  <colBreaks count="1" manualBreakCount="1">
    <brk id="7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CC43-4AE0-B948-A496-B16F1A0654A2}">
  <sheetPr published="0">
    <tabColor rgb="FF00B050"/>
    <pageSetUpPr fitToPage="1"/>
  </sheetPr>
  <dimension ref="A1:J50"/>
  <sheetViews>
    <sheetView zoomScaleNormal="93" zoomScalePageLayoutView="120" workbookViewId="0">
      <pane ySplit="5" topLeftCell="A6" activePane="bottomLeft" state="frozen"/>
      <selection activeCell="C12" sqref="C12"/>
      <selection pane="bottomLeft" activeCell="A2" sqref="A2:XFD2"/>
    </sheetView>
  </sheetViews>
  <sheetFormatPr defaultColWidth="8.33203125" defaultRowHeight="13.2"/>
  <cols>
    <col min="1" max="1" width="56" style="398" bestFit="1" customWidth="1"/>
    <col min="2" max="2" width="10" style="398" bestFit="1" customWidth="1"/>
    <col min="3" max="5" width="10.6640625" style="398" bestFit="1" customWidth="1"/>
    <col min="6" max="7" width="12.44140625" style="398" bestFit="1" customWidth="1"/>
    <col min="8" max="8" width="10.88671875" style="398" bestFit="1" customWidth="1"/>
    <col min="9" max="9" width="12.44140625" style="398" bestFit="1" customWidth="1"/>
    <col min="10" max="16384" width="8.33203125" style="398"/>
  </cols>
  <sheetData>
    <row r="1" spans="1:9" ht="28.8">
      <c r="A1" s="1" t="s">
        <v>9</v>
      </c>
    </row>
    <row r="2" spans="1:9" ht="14.4">
      <c r="A2" s="579" t="s">
        <v>32</v>
      </c>
    </row>
    <row r="3" spans="1:9" ht="14.4">
      <c r="A3" s="579"/>
    </row>
    <row r="4" spans="1:9">
      <c r="A4" s="406" t="s">
        <v>1123</v>
      </c>
      <c r="B4" s="397"/>
      <c r="C4" s="397"/>
      <c r="D4" s="397"/>
      <c r="E4" s="397"/>
      <c r="F4" s="397"/>
      <c r="G4" s="397"/>
    </row>
    <row r="5" spans="1:9" ht="16.2" thickBot="1">
      <c r="A5" s="400" t="s">
        <v>1053</v>
      </c>
      <c r="B5" s="396" t="s">
        <v>1054</v>
      </c>
      <c r="C5" s="396" t="s">
        <v>75</v>
      </c>
      <c r="D5" s="396" t="s">
        <v>76</v>
      </c>
      <c r="E5" s="396" t="s">
        <v>77</v>
      </c>
      <c r="F5" s="396" t="s">
        <v>78</v>
      </c>
      <c r="G5" s="396" t="s">
        <v>79</v>
      </c>
      <c r="I5" s="405"/>
    </row>
    <row r="6" spans="1:9" ht="14.4">
      <c r="B6" s="407"/>
      <c r="C6" s="402"/>
      <c r="D6" s="418" t="s">
        <v>1124</v>
      </c>
      <c r="E6" s="402"/>
      <c r="F6" s="402"/>
      <c r="G6" s="402"/>
    </row>
    <row r="7" spans="1:9" ht="14.4">
      <c r="A7" s="411" t="s">
        <v>1125</v>
      </c>
      <c r="B7" s="1164">
        <v>0</v>
      </c>
      <c r="C7" s="1164">
        <f>'FE Assumptions'!C39*'FE Assumptions'!C31*'Operations Assumptions'!$C$40</f>
        <v>1999959.1920000007</v>
      </c>
      <c r="D7" s="1164">
        <f>'FE Assumptions'!D39*'FE Assumptions'!D31*'Operations Assumptions'!$C$40</f>
        <v>3538492.5998350699</v>
      </c>
      <c r="E7" s="1164">
        <f>'FE Assumptions'!E39*'FE Assumptions'!E31*'Operations Assumptions'!$C$40</f>
        <v>4558988.8886479354</v>
      </c>
      <c r="F7" s="1164">
        <f>'FE Assumptions'!F39*'FE Assumptions'!F31*'Operations Assumptions'!$C$40</f>
        <v>5754038.2959066276</v>
      </c>
      <c r="G7" s="1164">
        <f>'FE Assumptions'!G39*'FE Assumptions'!G31*'Operations Assumptions'!$C$40</f>
        <v>7747795.8134130556</v>
      </c>
      <c r="H7" s="1130"/>
      <c r="I7" s="771"/>
    </row>
    <row r="8" spans="1:9" ht="14.4">
      <c r="A8" s="411" t="s">
        <v>1126</v>
      </c>
      <c r="B8" s="1164">
        <v>0</v>
      </c>
      <c r="C8" s="1164">
        <f>'FE Assumptions'!C44</f>
        <v>599935.99120000005</v>
      </c>
      <c r="D8" s="1164">
        <f>'FE Assumptions'!D44</f>
        <v>1037496.4506000001</v>
      </c>
      <c r="E8" s="1164">
        <f>'FE Assumptions'!E44</f>
        <v>1336976.8377733335</v>
      </c>
      <c r="F8" s="1164">
        <f>'FE Assumptions'!F44</f>
        <v>1745122.180401867</v>
      </c>
      <c r="G8" s="1164">
        <f>'FE Assumptions'!G44</f>
        <v>2301208.2077106629</v>
      </c>
    </row>
    <row r="9" spans="1:9" ht="14.4">
      <c r="A9" s="411" t="s">
        <v>1127</v>
      </c>
      <c r="B9" s="1164">
        <v>0</v>
      </c>
      <c r="C9" s="1164">
        <f>'FE Assumptions'!C45</f>
        <v>259433.07800000001</v>
      </c>
      <c r="D9" s="1164">
        <f>'FE Assumptions'!D45</f>
        <v>300369.20968491008</v>
      </c>
      <c r="E9" s="1164">
        <f>'FE Assumptions'!E45</f>
        <v>370765.89011667296</v>
      </c>
      <c r="F9" s="1164">
        <f>'FE Assumptions'!F45</f>
        <v>440616.00440250797</v>
      </c>
      <c r="G9" s="1164">
        <f>'FE Assumptions'!G45</f>
        <v>537755.92914182227</v>
      </c>
    </row>
    <row r="10" spans="1:9" ht="14.4">
      <c r="A10" s="411" t="s">
        <v>1128</v>
      </c>
      <c r="B10" s="1165">
        <v>0</v>
      </c>
      <c r="C10" s="1165">
        <f t="shared" ref="C10:G10" si="0">C8+C9</f>
        <v>859369.06920000003</v>
      </c>
      <c r="D10" s="1165">
        <f t="shared" si="0"/>
        <v>1337865.6602849101</v>
      </c>
      <c r="E10" s="1165">
        <f t="shared" si="0"/>
        <v>1707742.7278900065</v>
      </c>
      <c r="F10" s="1165">
        <f t="shared" si="0"/>
        <v>2185738.1848043748</v>
      </c>
      <c r="G10" s="1165">
        <f t="shared" si="0"/>
        <v>2838964.1368524851</v>
      </c>
      <c r="H10" s="1130"/>
    </row>
    <row r="11" spans="1:9" ht="14.4">
      <c r="A11" s="411" t="s">
        <v>1129</v>
      </c>
      <c r="B11" s="1164">
        <f t="shared" ref="B11:G11" si="1">B7-B10</f>
        <v>0</v>
      </c>
      <c r="C11" s="1164">
        <f>C7-C10</f>
        <v>1140590.1228000007</v>
      </c>
      <c r="D11" s="1164">
        <f t="shared" si="1"/>
        <v>2200626.9395501595</v>
      </c>
      <c r="E11" s="1164">
        <f t="shared" si="1"/>
        <v>2851246.1607579291</v>
      </c>
      <c r="F11" s="1164">
        <f t="shared" si="1"/>
        <v>3568300.1111022527</v>
      </c>
      <c r="G11" s="1164">
        <f t="shared" si="1"/>
        <v>4908831.6765605705</v>
      </c>
    </row>
    <row r="12" spans="1:9" ht="14.4">
      <c r="A12" s="417" t="s">
        <v>1130</v>
      </c>
      <c r="B12" s="1164">
        <f>'FE Assumptions'!B20</f>
        <v>58452.76666666667</v>
      </c>
      <c r="C12" s="1164">
        <f>'FE Assumptions'!C20</f>
        <v>0</v>
      </c>
      <c r="D12" s="1164">
        <f>'FE Assumptions'!D20</f>
        <v>0</v>
      </c>
      <c r="E12" s="1164">
        <f>'FE Assumptions'!E20</f>
        <v>0</v>
      </c>
      <c r="F12" s="1164">
        <f>'FE Assumptions'!F20</f>
        <v>0</v>
      </c>
      <c r="G12" s="1164">
        <f>'FE Assumptions'!G20</f>
        <v>0</v>
      </c>
    </row>
    <row r="13" spans="1:9" s="416" customFormat="1" ht="14.4">
      <c r="A13" s="417" t="s">
        <v>1131</v>
      </c>
      <c r="B13" s="1166">
        <v>0</v>
      </c>
      <c r="C13" s="1164">
        <f>'FE Assumptions'!C50</f>
        <v>501000</v>
      </c>
      <c r="D13" s="1164">
        <f>'FE Assumptions'!D50</f>
        <v>615855</v>
      </c>
      <c r="E13" s="1164">
        <f>'FE Assumptions'!E50</f>
        <v>811643.58</v>
      </c>
      <c r="F13" s="1164">
        <f>'FE Assumptions'!F50</f>
        <v>991652.84840000013</v>
      </c>
      <c r="G13" s="1164">
        <f>'FE Assumptions'!G50</f>
        <v>1126150.058468</v>
      </c>
      <c r="H13" s="402"/>
      <c r="I13" s="402"/>
    </row>
    <row r="14" spans="1:9" s="416" customFormat="1" ht="14.4">
      <c r="A14" s="417" t="s">
        <v>1132</v>
      </c>
      <c r="B14" s="1164">
        <v>0</v>
      </c>
      <c r="C14" s="1164">
        <f>'FE Assumptions'!C53</f>
        <v>74932.2</v>
      </c>
      <c r="D14" s="1164">
        <f>'FE Assumptions'!D53</f>
        <v>87304.77</v>
      </c>
      <c r="E14" s="1164">
        <f>'FE Assumptions'!E53</f>
        <v>109784.5245</v>
      </c>
      <c r="F14" s="1164">
        <f>'FE Assumptions'!F53</f>
        <v>143804.11342500002</v>
      </c>
      <c r="G14" s="1164">
        <f>'FE Assumptions'!G53</f>
        <v>170965.57298625002</v>
      </c>
    </row>
    <row r="15" spans="1:9" s="416" customFormat="1" ht="14.4">
      <c r="A15" s="417" t="s">
        <v>1133</v>
      </c>
      <c r="B15" s="1164">
        <f>'FE Assumptions'!B19</f>
        <v>39000</v>
      </c>
      <c r="C15" s="1164">
        <f>'FE Assumptions'!C51</f>
        <v>388905.91665699822</v>
      </c>
      <c r="D15" s="1164">
        <f>'FE Assumptions'!D51</f>
        <v>489656.76579871244</v>
      </c>
      <c r="E15" s="1164">
        <f>'FE Assumptions'!E51</f>
        <v>625550.79216144781</v>
      </c>
      <c r="F15" s="1164">
        <f>'FE Assumptions'!F51</f>
        <v>738825.15063709358</v>
      </c>
      <c r="G15" s="1164">
        <f>'FE Assumptions'!G51</f>
        <v>840790.27105796663</v>
      </c>
    </row>
    <row r="16" spans="1:9" s="416" customFormat="1" ht="14.4">
      <c r="A16" s="417" t="s">
        <v>1134</v>
      </c>
      <c r="B16" s="1164">
        <v>0</v>
      </c>
      <c r="C16" s="1164">
        <f>'FE Assumptions'!C52</f>
        <v>28241.251990846686</v>
      </c>
      <c r="D16" s="1164">
        <f>'FE Assumptions'!D52</f>
        <v>104151.65880283076</v>
      </c>
      <c r="E16" s="1164">
        <f>'FE Assumptions'!E52</f>
        <v>201241.70617574558</v>
      </c>
      <c r="F16" s="1164">
        <f>'FE Assumptions'!F52</f>
        <v>300868.07107509894</v>
      </c>
      <c r="G16" s="1164">
        <f>'FE Assumptions'!G52</f>
        <v>482877.75030036981</v>
      </c>
    </row>
    <row r="17" spans="1:10" ht="13.8">
      <c r="A17" s="411" t="s">
        <v>1135</v>
      </c>
      <c r="B17" s="1107">
        <v>0</v>
      </c>
      <c r="C17" s="1173">
        <f>'Depreciation Schedule'!H17</f>
        <v>119627.14285714286</v>
      </c>
      <c r="D17" s="1173">
        <f>'Depreciation Schedule'!I17</f>
        <v>119627.14285714286</v>
      </c>
      <c r="E17" s="1173">
        <f>'Depreciation Schedule'!J17</f>
        <v>119627.14285714286</v>
      </c>
      <c r="F17" s="1173">
        <f>'Depreciation Schedule'!K17</f>
        <v>115793.80952380953</v>
      </c>
      <c r="G17" s="1173">
        <f>'Depreciation Schedule'!L17</f>
        <v>65793.809523809527</v>
      </c>
    </row>
    <row r="18" spans="1:10" ht="13.8">
      <c r="A18" s="411" t="s">
        <v>1136</v>
      </c>
      <c r="B18" s="1107">
        <v>0</v>
      </c>
      <c r="C18" s="1173">
        <f>'Depreciation Schedule'!H18</f>
        <v>0</v>
      </c>
      <c r="D18" s="1173">
        <f>'Depreciation Schedule'!I18</f>
        <v>0</v>
      </c>
      <c r="E18" s="1173">
        <f>'Depreciation Schedule'!J18</f>
        <v>23666.666666666668</v>
      </c>
      <c r="F18" s="1173">
        <f>'Depreciation Schedule'!K18</f>
        <v>87361.904761904763</v>
      </c>
      <c r="G18" s="1173">
        <f>'Depreciation Schedule'!L18</f>
        <v>101407.14285714287</v>
      </c>
      <c r="H18" s="399"/>
      <c r="I18" s="399"/>
      <c r="J18" s="1130"/>
    </row>
    <row r="19" spans="1:10" ht="14.4">
      <c r="A19" s="411" t="s">
        <v>1137</v>
      </c>
      <c r="B19" s="1165">
        <v>0</v>
      </c>
      <c r="C19" s="1165">
        <f t="shared" ref="C19:F19" si="2">SUM(C17:C18)</f>
        <v>119627.14285714286</v>
      </c>
      <c r="D19" s="1165">
        <f t="shared" si="2"/>
        <v>119627.14285714286</v>
      </c>
      <c r="E19" s="1165">
        <f t="shared" si="2"/>
        <v>143293.80952380953</v>
      </c>
      <c r="F19" s="1165">
        <f t="shared" si="2"/>
        <v>203155.71428571429</v>
      </c>
      <c r="G19" s="1165">
        <f>SUM(G17:G18)</f>
        <v>167200.9523809524</v>
      </c>
      <c r="H19" s="402"/>
    </row>
    <row r="20" spans="1:10" ht="14.4">
      <c r="A20" s="1166" t="s">
        <v>1138</v>
      </c>
      <c r="B20" s="1164">
        <f>B11-SUM(B12:B18)</f>
        <v>-97452.766666666663</v>
      </c>
      <c r="C20" s="1164">
        <f>C11-SUM(C12:C18)</f>
        <v>27883.61129501299</v>
      </c>
      <c r="D20" s="1164">
        <f t="shared" ref="D20:G20" si="3">D11-SUM(D12:D18)</f>
        <v>784031.60209147329</v>
      </c>
      <c r="E20" s="1164">
        <f t="shared" si="3"/>
        <v>959731.74839692609</v>
      </c>
      <c r="F20" s="1164">
        <f t="shared" si="3"/>
        <v>1189994.2132793455</v>
      </c>
      <c r="G20" s="1164">
        <f t="shared" si="3"/>
        <v>2120847.0713670314</v>
      </c>
    </row>
    <row r="21" spans="1:10" ht="14.4">
      <c r="A21" s="1166" t="s">
        <v>1139</v>
      </c>
      <c r="B21" s="1164">
        <v>0</v>
      </c>
      <c r="C21" s="1164">
        <f>C20*'FE Assumptions'!$B$73</f>
        <v>7528.5750496535074</v>
      </c>
      <c r="D21" s="1164">
        <f>D20*'FE Assumptions'!$B$73</f>
        <v>211688.53256469782</v>
      </c>
      <c r="E21" s="1164">
        <f>E20*'FE Assumptions'!$B$73</f>
        <v>259127.57206717005</v>
      </c>
      <c r="F21" s="1164">
        <f>F20*'FE Assumptions'!$B$73</f>
        <v>321298.43758542329</v>
      </c>
      <c r="G21" s="1164">
        <f>G20*'FE Assumptions'!$B$73</f>
        <v>572628.70926909847</v>
      </c>
    </row>
    <row r="22" spans="1:10" ht="15" thickBot="1">
      <c r="A22" s="415" t="s">
        <v>1140</v>
      </c>
      <c r="B22" s="1167">
        <f t="shared" ref="B22:G22" si="4">B20-B21</f>
        <v>-97452.766666666663</v>
      </c>
      <c r="C22" s="1167">
        <f t="shared" si="4"/>
        <v>20355.036245359483</v>
      </c>
      <c r="D22" s="1167">
        <f t="shared" si="4"/>
        <v>572343.06952677551</v>
      </c>
      <c r="E22" s="1167">
        <f t="shared" si="4"/>
        <v>700604.17632975604</v>
      </c>
      <c r="F22" s="1167">
        <f t="shared" si="4"/>
        <v>868695.7756939223</v>
      </c>
      <c r="G22" s="1167">
        <f t="shared" si="4"/>
        <v>1548218.362097933</v>
      </c>
      <c r="J22" s="1130"/>
    </row>
    <row r="23" spans="1:10" ht="15" thickTop="1">
      <c r="A23" s="411"/>
      <c r="B23" s="1174"/>
      <c r="C23" s="1164"/>
      <c r="D23" s="1164"/>
      <c r="E23" s="1164"/>
      <c r="F23" s="1164"/>
      <c r="G23" s="1164"/>
    </row>
    <row r="24" spans="1:10" ht="13.8">
      <c r="A24" s="412" t="s">
        <v>1141</v>
      </c>
      <c r="B24" s="411"/>
      <c r="C24" s="411"/>
      <c r="D24" s="411"/>
      <c r="E24" s="411"/>
      <c r="F24" s="411"/>
      <c r="G24" s="411"/>
    </row>
    <row r="25" spans="1:10" ht="13.8">
      <c r="A25" s="411" t="s">
        <v>1142</v>
      </c>
      <c r="B25" s="1175">
        <f t="shared" ref="B25:G25" si="5">B22</f>
        <v>-97452.766666666663</v>
      </c>
      <c r="C25" s="1175">
        <f t="shared" si="5"/>
        <v>20355.036245359483</v>
      </c>
      <c r="D25" s="1175">
        <f t="shared" si="5"/>
        <v>572343.06952677551</v>
      </c>
      <c r="E25" s="1175">
        <f t="shared" si="5"/>
        <v>700604.17632975604</v>
      </c>
      <c r="F25" s="1175">
        <f t="shared" si="5"/>
        <v>868695.7756939223</v>
      </c>
      <c r="G25" s="1175">
        <f t="shared" si="5"/>
        <v>1548218.362097933</v>
      </c>
    </row>
    <row r="26" spans="1:10" ht="13.8">
      <c r="A26" s="414" t="s">
        <v>1143</v>
      </c>
      <c r="B26" s="411">
        <f>IF('FE Cash Flow'!C12&gt;0,'FE Cash Flow'!C12,0)</f>
        <v>0</v>
      </c>
      <c r="C26" s="1173">
        <f>IF('FE Cash Flow'!D12&gt;0,'FE Cash Flow'!D12,0)</f>
        <v>114980.2222110662</v>
      </c>
      <c r="D26" s="1173">
        <f>IF('FE Cash Flow'!E12&gt;0,'FE Cash Flow'!E12,0)</f>
        <v>102539.54245602014</v>
      </c>
      <c r="E26" s="1173">
        <f>IF('FE Cash Flow'!F12&gt;0,'FE Cash Flow'!F12,0)</f>
        <v>246107.31835830351</v>
      </c>
      <c r="F26" s="1173">
        <f>IF('FE Cash Flow'!G12&gt;0,'FE Cash Flow'!G12,0)</f>
        <v>647386.75135895784</v>
      </c>
      <c r="G26" s="1173">
        <f>IF('FE Cash Flow'!H12&gt;0,'FE Cash Flow'!H12,0)</f>
        <v>640296.71065901453</v>
      </c>
    </row>
    <row r="27" spans="1:10" ht="13.8">
      <c r="A27" s="411" t="s">
        <v>1144</v>
      </c>
      <c r="B27" s="1175">
        <f t="shared" ref="B27:G27" si="6">B25-B26</f>
        <v>-97452.766666666663</v>
      </c>
      <c r="C27" s="1175">
        <f t="shared" si="6"/>
        <v>-94625.185965706711</v>
      </c>
      <c r="D27" s="1175">
        <f t="shared" si="6"/>
        <v>469803.52707075537</v>
      </c>
      <c r="E27" s="1175">
        <f t="shared" si="6"/>
        <v>454496.85797145253</v>
      </c>
      <c r="F27" s="1175">
        <f t="shared" si="6"/>
        <v>221309.02433496446</v>
      </c>
      <c r="G27" s="1175">
        <f t="shared" si="6"/>
        <v>907921.65143891843</v>
      </c>
    </row>
    <row r="28" spans="1:10" ht="13.8">
      <c r="A28" s="411"/>
      <c r="G28" s="399"/>
    </row>
    <row r="29" spans="1:10" ht="13.8">
      <c r="A29" s="412" t="s">
        <v>1145</v>
      </c>
    </row>
    <row r="30" spans="1:10" ht="13.8">
      <c r="A30" s="411" t="s">
        <v>1146</v>
      </c>
      <c r="B30" s="409"/>
      <c r="C30" s="410">
        <f t="shared" ref="C30:G30" si="7">C10/C7</f>
        <v>0.42969330206213513</v>
      </c>
      <c r="D30" s="410">
        <f t="shared" si="7"/>
        <v>0.37808915026338291</v>
      </c>
      <c r="E30" s="410">
        <f t="shared" si="7"/>
        <v>0.37458804344585139</v>
      </c>
      <c r="F30" s="410">
        <f t="shared" si="7"/>
        <v>0.37986159848106849</v>
      </c>
      <c r="G30" s="410">
        <f t="shared" si="7"/>
        <v>0.36642216770060515</v>
      </c>
    </row>
    <row r="31" spans="1:10" ht="13.8">
      <c r="A31" s="411" t="s">
        <v>1147</v>
      </c>
      <c r="B31" s="408"/>
      <c r="C31" s="410">
        <f t="shared" ref="C31:G31" si="8">C11/C7</f>
        <v>0.57030669793786481</v>
      </c>
      <c r="D31" s="410">
        <f t="shared" si="8"/>
        <v>0.62191084973661703</v>
      </c>
      <c r="E31" s="410">
        <f t="shared" si="8"/>
        <v>0.62541195655414872</v>
      </c>
      <c r="F31" s="410">
        <f t="shared" si="8"/>
        <v>0.62013840151893151</v>
      </c>
      <c r="G31" s="410">
        <f t="shared" si="8"/>
        <v>0.63357783229939491</v>
      </c>
    </row>
    <row r="32" spans="1:10" ht="13.8">
      <c r="A32" s="411" t="s">
        <v>1148</v>
      </c>
      <c r="B32" s="408"/>
      <c r="C32" s="410">
        <f>(C13+C14)/C7</f>
        <v>0.28797197578019368</v>
      </c>
      <c r="D32" s="410">
        <f t="shared" ref="D32:G32" si="9">(D13+D14)/D7</f>
        <v>0.19871732105156148</v>
      </c>
      <c r="E32" s="410">
        <f t="shared" si="9"/>
        <v>0.20211238215438357</v>
      </c>
      <c r="F32" s="410">
        <f t="shared" si="9"/>
        <v>0.19733218714111692</v>
      </c>
      <c r="G32" s="410">
        <f t="shared" si="9"/>
        <v>0.16741737426903683</v>
      </c>
    </row>
    <row r="33" spans="1:7" ht="13.8">
      <c r="A33" s="411" t="s">
        <v>1149</v>
      </c>
      <c r="B33" s="409"/>
      <c r="C33" s="410">
        <f t="shared" ref="C33:G33" si="10">C15/C7</f>
        <v>0.19445692602761772</v>
      </c>
      <c r="D33" s="410">
        <f t="shared" si="10"/>
        <v>0.13838004516995048</v>
      </c>
      <c r="E33" s="410">
        <f t="shared" si="10"/>
        <v>0.13721261609544483</v>
      </c>
      <c r="F33" s="410">
        <f t="shared" si="10"/>
        <v>0.12840115283255715</v>
      </c>
      <c r="G33" s="410">
        <f t="shared" si="10"/>
        <v>0.10851993151424857</v>
      </c>
    </row>
    <row r="34" spans="1:7" ht="13.8">
      <c r="A34" s="411" t="s">
        <v>1150</v>
      </c>
      <c r="B34" s="408"/>
      <c r="C34" s="410">
        <f>C22/C7</f>
        <v>1.0177725788996736E-2</v>
      </c>
      <c r="D34" s="410">
        <f>D22/D7</f>
        <v>0.16174770848848252</v>
      </c>
      <c r="E34" s="410">
        <f>E22/E7</f>
        <v>0.1536753419325694</v>
      </c>
      <c r="F34" s="410">
        <f>F22/F7</f>
        <v>0.15097149706353274</v>
      </c>
      <c r="G34" s="410">
        <f>G22/G7</f>
        <v>0.19982694425395711</v>
      </c>
    </row>
    <row r="35" spans="1:7">
      <c r="B35" s="408"/>
      <c r="C35" s="408"/>
      <c r="D35" s="408"/>
      <c r="E35" s="408"/>
      <c r="F35" s="408"/>
      <c r="G35" s="408"/>
    </row>
    <row r="36" spans="1:7">
      <c r="B36" s="408"/>
      <c r="C36" s="409"/>
      <c r="D36" s="409"/>
      <c r="E36" s="409"/>
      <c r="F36" s="409"/>
      <c r="G36" s="409"/>
    </row>
    <row r="37" spans="1:7">
      <c r="B37" s="408"/>
      <c r="C37" s="409"/>
      <c r="D37" s="409"/>
      <c r="E37" s="409"/>
      <c r="F37" s="409"/>
      <c r="G37" s="409"/>
    </row>
    <row r="38" spans="1:7">
      <c r="A38" s="400"/>
      <c r="B38" s="409"/>
      <c r="C38" s="408"/>
      <c r="D38" s="408"/>
      <c r="E38" s="408"/>
      <c r="F38" s="408"/>
      <c r="G38" s="408"/>
    </row>
    <row r="39" spans="1:7">
      <c r="B39" s="409"/>
      <c r="C39" s="408"/>
      <c r="D39" s="408"/>
      <c r="E39" s="408"/>
      <c r="F39" s="408"/>
      <c r="G39" s="408"/>
    </row>
    <row r="40" spans="1:7">
      <c r="B40" s="408"/>
      <c r="C40" s="409"/>
      <c r="D40" s="409"/>
      <c r="E40" s="409"/>
      <c r="F40" s="409"/>
      <c r="G40" s="409"/>
    </row>
    <row r="41" spans="1:7">
      <c r="B41" s="408"/>
      <c r="C41" s="408"/>
      <c r="D41" s="408"/>
      <c r="E41" s="408"/>
      <c r="F41" s="408"/>
      <c r="G41" s="408"/>
    </row>
    <row r="42" spans="1:7">
      <c r="B42" s="408"/>
      <c r="C42" s="408"/>
      <c r="D42" s="408"/>
      <c r="E42" s="408"/>
      <c r="F42" s="408"/>
      <c r="G42" s="408"/>
    </row>
    <row r="43" spans="1:7">
      <c r="B43" s="407"/>
      <c r="C43" s="408"/>
      <c r="D43" s="408"/>
      <c r="E43" s="408"/>
      <c r="F43" s="408"/>
      <c r="G43" s="408"/>
    </row>
    <row r="44" spans="1:7">
      <c r="C44" s="408"/>
      <c r="D44" s="408"/>
      <c r="E44" s="408"/>
      <c r="F44" s="408"/>
      <c r="G44" s="408"/>
    </row>
    <row r="45" spans="1:7">
      <c r="C45" s="409"/>
      <c r="D45" s="409"/>
      <c r="E45" s="409"/>
      <c r="F45" s="409"/>
      <c r="G45" s="409"/>
    </row>
    <row r="46" spans="1:7">
      <c r="C46" s="409"/>
      <c r="D46" s="409"/>
      <c r="E46" s="409"/>
      <c r="F46" s="409"/>
      <c r="G46" s="409"/>
    </row>
    <row r="47" spans="1:7">
      <c r="A47" s="400"/>
      <c r="C47" s="408"/>
      <c r="D47" s="408"/>
      <c r="E47" s="408"/>
      <c r="F47" s="408"/>
      <c r="G47" s="408"/>
    </row>
    <row r="48" spans="1:7">
      <c r="C48" s="408"/>
      <c r="D48" s="408"/>
      <c r="E48" s="408"/>
      <c r="F48" s="408"/>
      <c r="G48" s="408"/>
    </row>
    <row r="49" spans="3:7">
      <c r="C49" s="408"/>
      <c r="D49" s="408"/>
      <c r="E49" s="408"/>
      <c r="F49" s="408"/>
      <c r="G49" s="408"/>
    </row>
    <row r="50" spans="3:7">
      <c r="C50" s="407"/>
      <c r="D50" s="407"/>
      <c r="E50" s="407"/>
      <c r="F50" s="407"/>
      <c r="G50" s="407"/>
    </row>
  </sheetData>
  <hyperlinks>
    <hyperlink ref="A2" location="'Index'!A1" display="Back to Index" xr:uid="{8C740C75-035D-450D-A5AE-1321C6466C1E}"/>
  </hyperlinks>
  <printOptions gridLines="1" gridLinesSet="0"/>
  <pageMargins left="0.75" right="0.75" top="1" bottom="1" header="0.5" footer="0.5"/>
  <pageSetup scale="81" orientation="landscape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05FE-F2C5-F349-A4BD-89ED23C29492}">
  <sheetPr published="0">
    <tabColor rgb="FF00B050"/>
    <pageSetUpPr fitToPage="1"/>
  </sheetPr>
  <dimension ref="A1:I41"/>
  <sheetViews>
    <sheetView zoomScaleNormal="120" zoomScalePageLayoutView="120" workbookViewId="0">
      <pane ySplit="5" topLeftCell="A7" activePane="bottomLeft" state="frozen"/>
      <selection activeCell="C12" sqref="C12"/>
      <selection pane="bottomLeft" activeCell="A2" sqref="A2:XFD2"/>
    </sheetView>
  </sheetViews>
  <sheetFormatPr defaultColWidth="8.33203125" defaultRowHeight="13.2"/>
  <cols>
    <col min="1" max="1" width="49.109375" style="398" customWidth="1"/>
    <col min="2" max="2" width="11.5546875" style="398" bestFit="1" customWidth="1"/>
    <col min="3" max="3" width="10.6640625" style="398" bestFit="1" customWidth="1"/>
    <col min="4" max="4" width="13.6640625" style="398" customWidth="1"/>
    <col min="5" max="5" width="12.44140625" style="398" customWidth="1"/>
    <col min="6" max="6" width="11.44140625" style="398" customWidth="1"/>
    <col min="7" max="7" width="11.33203125" style="398" customWidth="1"/>
    <col min="8" max="8" width="18.6640625" style="398" customWidth="1"/>
    <col min="9" max="9" width="9" style="398" bestFit="1" customWidth="1"/>
    <col min="10" max="16384" width="8.33203125" style="398"/>
  </cols>
  <sheetData>
    <row r="1" spans="1:8" ht="28.8">
      <c r="A1" s="1" t="s">
        <v>12</v>
      </c>
    </row>
    <row r="2" spans="1:8" ht="14.4">
      <c r="A2" s="579" t="s">
        <v>32</v>
      </c>
    </row>
    <row r="3" spans="1:8" ht="14.4">
      <c r="A3" s="579"/>
    </row>
    <row r="4" spans="1:8">
      <c r="A4" s="406" t="s">
        <v>1151</v>
      </c>
      <c r="B4" s="397"/>
      <c r="C4" s="397"/>
      <c r="D4" s="397"/>
      <c r="E4" s="397"/>
      <c r="F4" s="397"/>
      <c r="G4" s="397"/>
    </row>
    <row r="5" spans="1:8" ht="16.2" thickBot="1">
      <c r="A5" s="400" t="s">
        <v>1053</v>
      </c>
      <c r="B5" s="396" t="s">
        <v>1152</v>
      </c>
      <c r="C5" s="396" t="s">
        <v>75</v>
      </c>
      <c r="D5" s="396" t="s">
        <v>76</v>
      </c>
      <c r="E5" s="396" t="s">
        <v>77</v>
      </c>
      <c r="F5" s="396" t="s">
        <v>78</v>
      </c>
      <c r="G5" s="396" t="s">
        <v>79</v>
      </c>
      <c r="H5" s="405" t="s">
        <v>1124</v>
      </c>
    </row>
    <row r="6" spans="1:8" ht="15.6">
      <c r="A6" s="400" t="s">
        <v>1153</v>
      </c>
      <c r="B6" s="1108"/>
      <c r="C6" s="1108"/>
      <c r="D6" s="1108"/>
      <c r="E6" s="1108"/>
      <c r="F6" s="1108"/>
      <c r="G6" s="1108"/>
    </row>
    <row r="7" spans="1:8" ht="14.4">
      <c r="A7" s="398" t="s">
        <v>1154</v>
      </c>
      <c r="B7" s="1164">
        <f>'FE Assumptions'!B13</f>
        <v>210523.4</v>
      </c>
      <c r="C7" s="1164">
        <f>IF('FE Income Statement'!C7*'FE Assumptions'!$B$74&lt;300000,'FE Income Statement'!C7*'FE Assumptions'!$B$74,300000)</f>
        <v>99997.959600000046</v>
      </c>
      <c r="D7" s="1164">
        <f>IF('FE Income Statement'!D7*'FE Assumptions'!$B$74&lt;300000,'FE Income Statement'!D7*'FE Assumptions'!$B$74,300000)</f>
        <v>176924.62999175349</v>
      </c>
      <c r="E7" s="1164">
        <f>IF('FE Income Statement'!E7*'FE Assumptions'!$B$74&lt;300000,'FE Income Statement'!E7*'FE Assumptions'!$B$74,300000)</f>
        <v>227949.44443239679</v>
      </c>
      <c r="F7" s="1164">
        <f>IF('FE Income Statement'!F7*'FE Assumptions'!$B$74&lt;300000,'FE Income Statement'!F7*'FE Assumptions'!$B$74,300000)</f>
        <v>287701.91479533137</v>
      </c>
      <c r="G7" s="1164">
        <f>IF('FE Income Statement'!G7*'FE Assumptions'!$B$74&lt;300000,'FE Income Statement'!G7*'FE Assumptions'!$B$74,300000)</f>
        <v>300000</v>
      </c>
      <c r="H7" s="398" t="s">
        <v>1155</v>
      </c>
    </row>
    <row r="8" spans="1:8" ht="14.4">
      <c r="A8" s="398" t="s">
        <v>1156</v>
      </c>
      <c r="B8" s="1164">
        <v>0</v>
      </c>
      <c r="C8" s="1164">
        <f>'AR&amp;AP Calculations '!E13</f>
        <v>59193.339168051163</v>
      </c>
      <c r="D8" s="1164">
        <f>'AR&amp;AP Calculations '!F13</f>
        <v>164110.45506192255</v>
      </c>
      <c r="E8" s="1164">
        <f>'AR&amp;AP Calculations '!G13</f>
        <v>284922.2608090071</v>
      </c>
      <c r="F8" s="1164">
        <f>'AR&amp;AP Calculations '!H13</f>
        <v>410978.68396178936</v>
      </c>
      <c r="G8" s="1164">
        <f>'AR&amp;AP Calculations '!I13</f>
        <v>638597.78614209488</v>
      </c>
      <c r="H8" s="398" t="s">
        <v>1155</v>
      </c>
    </row>
    <row r="9" spans="1:8" ht="14.4">
      <c r="B9" s="1164"/>
      <c r="C9" s="1164"/>
      <c r="D9" s="1164"/>
      <c r="E9" s="1164"/>
      <c r="F9" s="1164"/>
      <c r="G9" s="1164"/>
    </row>
    <row r="10" spans="1:8" ht="14.4">
      <c r="A10" s="398" t="s">
        <v>653</v>
      </c>
      <c r="B10" s="1165">
        <f>SUM('FE Assumptions'!B14:B15)</f>
        <v>25814.92957580027</v>
      </c>
      <c r="C10" s="1165">
        <f>'FE Assumptions'!C65</f>
        <v>154889.57745480162</v>
      </c>
      <c r="D10" s="1165">
        <f>'FE Assumptions'!D65</f>
        <v>253325.27542186211</v>
      </c>
      <c r="E10" s="1165">
        <f>'FE Assumptions'!E65</f>
        <v>325867.21972707554</v>
      </c>
      <c r="F10" s="1165">
        <f>'FE Assumptions'!F65</f>
        <v>419210.28336198558</v>
      </c>
      <c r="G10" s="1165">
        <f>'FE Assumptions'!G65</f>
        <v>551821.61324741202</v>
      </c>
      <c r="H10" s="398" t="s">
        <v>1157</v>
      </c>
    </row>
    <row r="11" spans="1:8" ht="14.4">
      <c r="A11" s="398" t="s">
        <v>1158</v>
      </c>
      <c r="B11" s="1164">
        <f t="shared" ref="B11:G11" si="0">SUM(B7:B10)</f>
        <v>236338.32957580028</v>
      </c>
      <c r="C11" s="1164">
        <f>SUM(C7:C10)</f>
        <v>314080.87622285285</v>
      </c>
      <c r="D11" s="1164">
        <f t="shared" si="0"/>
        <v>594360.36047553818</v>
      </c>
      <c r="E11" s="1164">
        <f t="shared" si="0"/>
        <v>838738.92496847943</v>
      </c>
      <c r="F11" s="1164">
        <f t="shared" si="0"/>
        <v>1117890.8821191064</v>
      </c>
      <c r="G11" s="1164">
        <f t="shared" si="0"/>
        <v>1490419.3993895068</v>
      </c>
    </row>
    <row r="12" spans="1:8" ht="14.4">
      <c r="A12" s="400" t="s">
        <v>1159</v>
      </c>
      <c r="B12" s="1164"/>
      <c r="C12" s="1164"/>
      <c r="D12" s="1164"/>
      <c r="E12" s="1164"/>
      <c r="F12" s="1164"/>
      <c r="G12" s="1164"/>
    </row>
    <row r="13" spans="1:8" ht="14.4">
      <c r="A13" s="398" t="s">
        <v>1160</v>
      </c>
      <c r="B13" s="1164">
        <f>'FE Assumptions'!B10</f>
        <v>975650</v>
      </c>
      <c r="C13" s="1164">
        <f>B13+'FE Assumptions'!C66</f>
        <v>975650</v>
      </c>
      <c r="D13" s="1164">
        <f>C13+'FE Assumptions'!D66</f>
        <v>1320650</v>
      </c>
      <c r="E13" s="1164">
        <f>D13+'FE Assumptions'!E66</f>
        <v>1701800</v>
      </c>
      <c r="F13" s="1164">
        <f>E13+'FE Assumptions'!F66</f>
        <v>1882950</v>
      </c>
      <c r="G13" s="1164">
        <f>F13+'FE Assumptions'!G66</f>
        <v>2634100</v>
      </c>
      <c r="H13" s="398" t="s">
        <v>1161</v>
      </c>
    </row>
    <row r="14" spans="1:8" ht="13.8">
      <c r="A14" s="398" t="s">
        <v>1162</v>
      </c>
      <c r="B14" s="1176">
        <f>'FE Income Statement'!B19</f>
        <v>0</v>
      </c>
      <c r="C14" s="1176">
        <f>'FE Income Statement'!C19</f>
        <v>119627.14285714286</v>
      </c>
      <c r="D14" s="1176">
        <f>C14+'FE Income Statement'!D19</f>
        <v>239254.28571428571</v>
      </c>
      <c r="E14" s="1176">
        <f>D14+'FE Income Statement'!E19</f>
        <v>382548.09523809527</v>
      </c>
      <c r="F14" s="1176">
        <f>E14+'FE Income Statement'!F19</f>
        <v>585703.80952380958</v>
      </c>
      <c r="G14" s="1176">
        <f>F14+'FE Income Statement'!G19</f>
        <v>752904.76190476201</v>
      </c>
      <c r="H14" s="398" t="s">
        <v>9</v>
      </c>
    </row>
    <row r="15" spans="1:8" ht="13.8">
      <c r="A15" s="398" t="s">
        <v>1163</v>
      </c>
      <c r="B15" s="1176">
        <f t="shared" ref="B15:G15" si="1">B13-B14</f>
        <v>975650</v>
      </c>
      <c r="C15" s="1176">
        <f t="shared" si="1"/>
        <v>856022.85714285716</v>
      </c>
      <c r="D15" s="1176">
        <f t="shared" si="1"/>
        <v>1081395.7142857143</v>
      </c>
      <c r="E15" s="1176">
        <f t="shared" si="1"/>
        <v>1319251.9047619049</v>
      </c>
      <c r="F15" s="1176">
        <f t="shared" si="1"/>
        <v>1297246.1904761903</v>
      </c>
      <c r="G15" s="1176">
        <f t="shared" si="1"/>
        <v>1881195.2380952379</v>
      </c>
    </row>
    <row r="16" spans="1:8" ht="13.8">
      <c r="B16" s="1177"/>
      <c r="C16" s="1177"/>
      <c r="D16" s="1177"/>
      <c r="E16" s="1177"/>
      <c r="F16" s="1177"/>
      <c r="G16" s="1177"/>
    </row>
    <row r="17" spans="1:9" ht="15" thickBot="1">
      <c r="A17" s="400" t="s">
        <v>1164</v>
      </c>
      <c r="B17" s="1167">
        <f t="shared" ref="B17:G17" si="2">B11+B15</f>
        <v>1211988.3295758003</v>
      </c>
      <c r="C17" s="1167">
        <f t="shared" si="2"/>
        <v>1170103.7333657099</v>
      </c>
      <c r="D17" s="1167">
        <f t="shared" si="2"/>
        <v>1675756.0747612524</v>
      </c>
      <c r="E17" s="1167">
        <f t="shared" si="2"/>
        <v>2157990.8297303841</v>
      </c>
      <c r="F17" s="1167">
        <f t="shared" si="2"/>
        <v>2415137.0725952964</v>
      </c>
      <c r="G17" s="1167">
        <f t="shared" si="2"/>
        <v>3371614.6374847447</v>
      </c>
    </row>
    <row r="18" spans="1:9" ht="15" thickTop="1">
      <c r="A18" s="400"/>
      <c r="B18" s="1164"/>
      <c r="C18" s="1164"/>
      <c r="D18" s="1164"/>
      <c r="E18" s="1164"/>
      <c r="F18" s="1164"/>
      <c r="G18" s="1164"/>
    </row>
    <row r="19" spans="1:9" ht="14.4">
      <c r="A19" s="400" t="s">
        <v>1165</v>
      </c>
      <c r="B19" s="1164"/>
      <c r="C19" s="1164"/>
      <c r="D19" s="1164"/>
      <c r="E19" s="1164"/>
      <c r="F19" s="1164"/>
      <c r="G19" s="1164"/>
    </row>
    <row r="20" spans="1:9" ht="13.8">
      <c r="A20" s="398" t="s">
        <v>1166</v>
      </c>
      <c r="B20" s="1176">
        <f>'AR&amp;AP Calculations '!D19</f>
        <v>13185.14743890411</v>
      </c>
      <c r="C20" s="1176">
        <f>'AR&amp;AP Calculations '!E19</f>
        <v>65925.737194520552</v>
      </c>
      <c r="D20" s="1176">
        <f>'AR&amp;AP Calculations '!F19</f>
        <v>101774.55151930767</v>
      </c>
      <c r="E20" s="1176">
        <f>'AR&amp;AP Calculations '!G19</f>
        <v>129512.44851698683</v>
      </c>
      <c r="F20" s="1176">
        <f>'AR&amp;AP Calculations '!H19</f>
        <v>165349.66704693492</v>
      </c>
      <c r="G20" s="1176">
        <f>'AR&amp;AP Calculations '!I19</f>
        <v>213905.58049746454</v>
      </c>
      <c r="H20" s="398" t="s">
        <v>1155</v>
      </c>
    </row>
    <row r="21" spans="1:9" ht="14.4">
      <c r="A21" s="398" t="s">
        <v>1167</v>
      </c>
      <c r="B21" s="1164">
        <f t="shared" ref="B21:G21" si="3">B20</f>
        <v>13185.14743890411</v>
      </c>
      <c r="C21" s="1164">
        <f t="shared" si="3"/>
        <v>65925.737194520552</v>
      </c>
      <c r="D21" s="1164">
        <f t="shared" si="3"/>
        <v>101774.55151930767</v>
      </c>
      <c r="E21" s="1164">
        <f t="shared" si="3"/>
        <v>129512.44851698683</v>
      </c>
      <c r="F21" s="1164">
        <f t="shared" si="3"/>
        <v>165349.66704693492</v>
      </c>
      <c r="G21" s="1164">
        <f t="shared" si="3"/>
        <v>213905.58049746454</v>
      </c>
    </row>
    <row r="22" spans="1:9" ht="14.4">
      <c r="A22" s="400" t="s">
        <v>1168</v>
      </c>
      <c r="B22" s="1164"/>
      <c r="C22" s="1164"/>
      <c r="D22" s="1164"/>
      <c r="E22" s="1164"/>
      <c r="F22" s="1164"/>
      <c r="G22" s="1164"/>
    </row>
    <row r="23" spans="1:9" ht="14.4">
      <c r="A23" s="398" t="s">
        <v>1169</v>
      </c>
      <c r="B23" s="1164">
        <f>IF('FE Cash Flow'!C16&lt;0,-'FE Cash Flow'!C16,0)</f>
        <v>1296255.9488035627</v>
      </c>
      <c r="C23" s="1164">
        <f>IF('FE Cash Flow'!D16&lt;0,-'FE Cash Flow'!D16,0)+B23</f>
        <v>1296255.9488035627</v>
      </c>
      <c r="D23" s="1164">
        <f>IF('FE Cash Flow'!E16&lt;0,-'FE Cash Flow'!E16,0)+C23</f>
        <v>1296255.9488035627</v>
      </c>
      <c r="E23" s="1164">
        <f>IF('FE Cash Flow'!F16&lt;0,-'FE Cash Flow'!F16,0)+D23</f>
        <v>1296255.9488035627</v>
      </c>
      <c r="F23" s="1164">
        <f>IF('FE Cash Flow'!G16&lt;0,-'FE Cash Flow'!G16,0)+E23</f>
        <v>1296255.9488035627</v>
      </c>
      <c r="G23" s="1164">
        <f>IF('FE Cash Flow'!H16&lt;0,-'FE Cash Flow'!H16,0)+F23</f>
        <v>1296255.9488035627</v>
      </c>
      <c r="H23" s="398" t="s">
        <v>1170</v>
      </c>
      <c r="I23" s="402"/>
    </row>
    <row r="24" spans="1:9" ht="14.4">
      <c r="A24" s="398" t="s">
        <v>1171</v>
      </c>
      <c r="B24" s="1165">
        <f>'FE Income Statement'!B27</f>
        <v>-97452.766666666663</v>
      </c>
      <c r="C24" s="1165">
        <f>B24+'FE Income Statement'!C27</f>
        <v>-192077.95263237337</v>
      </c>
      <c r="D24" s="1165">
        <f>C24+'FE Income Statement'!D27</f>
        <v>277725.574438382</v>
      </c>
      <c r="E24" s="1165">
        <f>D24+'FE Income Statement'!E27</f>
        <v>732222.43240983458</v>
      </c>
      <c r="F24" s="1165">
        <f>E24+'FE Income Statement'!F27</f>
        <v>953531.45674479904</v>
      </c>
      <c r="G24" s="1165">
        <f>F24+'FE Income Statement'!G27</f>
        <v>1861453.1081837174</v>
      </c>
      <c r="H24" s="398" t="s">
        <v>1172</v>
      </c>
    </row>
    <row r="25" spans="1:9" ht="13.8">
      <c r="A25" s="398" t="s">
        <v>1173</v>
      </c>
      <c r="B25" s="1177">
        <f t="shared" ref="B25:G25" si="4">B23+B24</f>
        <v>1198803.1821368961</v>
      </c>
      <c r="C25" s="1177">
        <f t="shared" si="4"/>
        <v>1104177.9961711892</v>
      </c>
      <c r="D25" s="1177">
        <f t="shared" si="4"/>
        <v>1573981.5232419446</v>
      </c>
      <c r="E25" s="1177">
        <f t="shared" si="4"/>
        <v>2028478.3812133973</v>
      </c>
      <c r="F25" s="1177">
        <f t="shared" si="4"/>
        <v>2249787.4055483616</v>
      </c>
      <c r="G25" s="1177">
        <f t="shared" si="4"/>
        <v>3157709.05698728</v>
      </c>
    </row>
    <row r="26" spans="1:9" ht="13.8">
      <c r="B26" s="1177"/>
      <c r="C26" s="1177"/>
      <c r="D26" s="1177"/>
      <c r="E26" s="1177"/>
      <c r="F26" s="1177"/>
      <c r="G26" s="1177"/>
    </row>
    <row r="27" spans="1:9" ht="15" thickBot="1">
      <c r="A27" s="400" t="s">
        <v>1174</v>
      </c>
      <c r="B27" s="1167">
        <f t="shared" ref="B27:G27" si="5">B21+B25</f>
        <v>1211988.3295758001</v>
      </c>
      <c r="C27" s="1167">
        <f t="shared" si="5"/>
        <v>1170103.7333657099</v>
      </c>
      <c r="D27" s="1167">
        <f t="shared" si="5"/>
        <v>1675756.0747612524</v>
      </c>
      <c r="E27" s="1167">
        <f t="shared" si="5"/>
        <v>2157990.8297303841</v>
      </c>
      <c r="F27" s="1167">
        <f t="shared" si="5"/>
        <v>2415137.0725952964</v>
      </c>
      <c r="G27" s="1167">
        <f t="shared" si="5"/>
        <v>3371614.6374847447</v>
      </c>
    </row>
    <row r="28" spans="1:9" ht="15" thickTop="1">
      <c r="B28" s="402"/>
      <c r="C28" s="402"/>
      <c r="D28" s="402"/>
      <c r="E28" s="402"/>
      <c r="F28" s="402"/>
      <c r="G28" s="402"/>
    </row>
    <row r="29" spans="1:9" ht="14.4">
      <c r="B29" s="402"/>
      <c r="C29" s="402"/>
      <c r="D29" s="402"/>
      <c r="E29" s="402"/>
      <c r="F29" s="402"/>
      <c r="G29" s="402"/>
    </row>
    <row r="30" spans="1:9" ht="14.4">
      <c r="A30" s="398" t="s">
        <v>1175</v>
      </c>
      <c r="B30" s="402">
        <f t="shared" ref="B30:G30" si="6">B17-B27</f>
        <v>0</v>
      </c>
      <c r="C30" s="402">
        <f t="shared" si="6"/>
        <v>0</v>
      </c>
      <c r="D30" s="402">
        <f t="shared" si="6"/>
        <v>0</v>
      </c>
      <c r="E30" s="402">
        <f t="shared" si="6"/>
        <v>0</v>
      </c>
      <c r="F30" s="402">
        <f t="shared" si="6"/>
        <v>0</v>
      </c>
      <c r="G30" s="402">
        <f t="shared" si="6"/>
        <v>0</v>
      </c>
      <c r="H30" s="398" t="s">
        <v>1176</v>
      </c>
    </row>
    <row r="32" spans="1:9" ht="26.4">
      <c r="A32" s="401" t="s">
        <v>1177</v>
      </c>
      <c r="B32" s="399">
        <f t="shared" ref="B32:G32" si="7">B11-B21</f>
        <v>223153.18213689618</v>
      </c>
      <c r="C32" s="399">
        <f t="shared" si="7"/>
        <v>248155.13902833231</v>
      </c>
      <c r="D32" s="399">
        <f t="shared" si="7"/>
        <v>492585.80895623052</v>
      </c>
      <c r="E32" s="399">
        <f t="shared" si="7"/>
        <v>709226.47645149264</v>
      </c>
      <c r="F32" s="399">
        <f t="shared" si="7"/>
        <v>952541.21507217141</v>
      </c>
      <c r="G32" s="399">
        <f t="shared" si="7"/>
        <v>1276513.8188920422</v>
      </c>
      <c r="H32" s="398" t="s">
        <v>1178</v>
      </c>
    </row>
    <row r="33" spans="1:8">
      <c r="A33" s="401"/>
    </row>
    <row r="34" spans="1:8">
      <c r="A34" s="400" t="s">
        <v>1179</v>
      </c>
    </row>
    <row r="35" spans="1:8">
      <c r="A35" s="398" t="s">
        <v>1180</v>
      </c>
      <c r="B35" s="398">
        <v>5</v>
      </c>
      <c r="C35" s="398">
        <v>5</v>
      </c>
      <c r="D35" s="398">
        <v>5</v>
      </c>
      <c r="E35" s="398">
        <v>5</v>
      </c>
      <c r="F35" s="398">
        <v>5</v>
      </c>
      <c r="G35" s="398">
        <v>5</v>
      </c>
    </row>
    <row r="36" spans="1:8">
      <c r="A36" s="398" t="s">
        <v>1181</v>
      </c>
      <c r="B36" s="398">
        <v>45</v>
      </c>
      <c r="C36" s="398">
        <v>45</v>
      </c>
      <c r="D36" s="398">
        <v>45</v>
      </c>
      <c r="E36" s="398">
        <v>45</v>
      </c>
      <c r="F36" s="398">
        <v>45</v>
      </c>
      <c r="G36" s="398">
        <v>45</v>
      </c>
      <c r="H36" s="398" t="s">
        <v>1182</v>
      </c>
    </row>
    <row r="37" spans="1:8">
      <c r="A37" s="398" t="s">
        <v>1183</v>
      </c>
      <c r="B37" s="399" t="e">
        <f>B10/'FE Income Statement'!B10*365</f>
        <v>#DIV/0!</v>
      </c>
      <c r="C37" s="413">
        <f>C10/'FE Income Statement'!C10*365</f>
        <v>65.786281816765424</v>
      </c>
      <c r="D37" s="413">
        <f>D10/'FE Income Statement'!D10*365</f>
        <v>69.112862579407803</v>
      </c>
      <c r="E37" s="413">
        <f>E10/'FE Income Statement'!E10*365</f>
        <v>69.648392148236653</v>
      </c>
      <c r="F37" s="413">
        <f>F10/'FE Income Statement'!F10*365</f>
        <v>70.004611938835396</v>
      </c>
      <c r="G37" s="413">
        <f>G10/'FE Income Statement'!G10*365</f>
        <v>70.946612611531933</v>
      </c>
      <c r="H37" s="398" t="s">
        <v>1182</v>
      </c>
    </row>
    <row r="38" spans="1:8">
      <c r="A38" s="398" t="s">
        <v>1184</v>
      </c>
      <c r="B38" s="398">
        <v>30</v>
      </c>
      <c r="C38" s="398">
        <v>30</v>
      </c>
      <c r="D38" s="398">
        <v>30</v>
      </c>
      <c r="E38" s="398">
        <v>30</v>
      </c>
      <c r="F38" s="398">
        <v>30</v>
      </c>
      <c r="G38" s="398">
        <v>30</v>
      </c>
      <c r="H38" s="398" t="s">
        <v>1182</v>
      </c>
    </row>
    <row r="39" spans="1:8">
      <c r="A39" s="398" t="s">
        <v>1185</v>
      </c>
      <c r="B39" s="398">
        <v>0</v>
      </c>
      <c r="C39" s="398">
        <v>0</v>
      </c>
      <c r="D39" s="398">
        <v>0</v>
      </c>
      <c r="E39" s="398">
        <v>0</v>
      </c>
      <c r="F39" s="398">
        <v>0</v>
      </c>
      <c r="G39" s="398">
        <v>0</v>
      </c>
    </row>
    <row r="40" spans="1:8">
      <c r="C40" s="771"/>
      <c r="D40" s="771"/>
      <c r="E40" s="771"/>
      <c r="F40" s="771"/>
      <c r="G40" s="771"/>
    </row>
    <row r="41" spans="1:8">
      <c r="E41" s="399">
        <f>E32-D32</f>
        <v>216640.66749526211</v>
      </c>
    </row>
  </sheetData>
  <hyperlinks>
    <hyperlink ref="A2" location="'Index'!A1" display="Back to Index" xr:uid="{0390F380-AEF1-4781-98E7-59E429B43B52}"/>
  </hyperlinks>
  <printOptions gridLines="1" gridLinesSet="0"/>
  <pageMargins left="0.75" right="0.75" top="1" bottom="1" header="0.5" footer="0.5"/>
  <pageSetup scale="65" orientation="landscape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39CF-BF64-7442-81FF-42AA69EAD395}">
  <sheetPr published="0">
    <tabColor rgb="FF00B050"/>
    <pageSetUpPr fitToPage="1"/>
  </sheetPr>
  <dimension ref="A1:Q44"/>
  <sheetViews>
    <sheetView zoomScaleNormal="120" zoomScalePageLayoutView="120" workbookViewId="0">
      <pane ySplit="5" topLeftCell="A6" activePane="bottomLeft" state="frozen"/>
      <selection activeCell="C12" sqref="C12"/>
      <selection pane="bottomLeft" activeCell="F21" sqref="F21"/>
    </sheetView>
  </sheetViews>
  <sheetFormatPr defaultColWidth="8.33203125" defaultRowHeight="12.75" customHeight="1"/>
  <cols>
    <col min="1" max="1" width="27" style="398" customWidth="1"/>
    <col min="2" max="2" width="14.6640625" style="398" customWidth="1"/>
    <col min="3" max="3" width="12.109375" style="398" bestFit="1" customWidth="1"/>
    <col min="4" max="4" width="13.6640625" style="398" customWidth="1"/>
    <col min="5" max="5" width="10.44140625" style="398" customWidth="1"/>
    <col min="6" max="6" width="10.44140625" style="398" bestFit="1" customWidth="1"/>
    <col min="7" max="7" width="14.44140625" style="398" customWidth="1"/>
    <col min="8" max="8" width="11.44140625" style="398" bestFit="1" customWidth="1"/>
    <col min="9" max="9" width="11.44140625" style="398" customWidth="1"/>
    <col min="10" max="10" width="11.6640625" style="398" customWidth="1"/>
    <col min="11" max="11" width="13.5546875" style="398" customWidth="1"/>
    <col min="12" max="12" width="13" style="398" bestFit="1" customWidth="1"/>
    <col min="13" max="16" width="10.44140625" style="398" bestFit="1" customWidth="1"/>
    <col min="17" max="16384" width="8.33203125" style="398"/>
  </cols>
  <sheetData>
    <row r="1" spans="1:12" ht="28.8">
      <c r="A1" s="1" t="s">
        <v>15</v>
      </c>
    </row>
    <row r="2" spans="1:12" ht="14.4">
      <c r="A2" s="579" t="s">
        <v>32</v>
      </c>
    </row>
    <row r="3" spans="1:12" ht="14.4">
      <c r="A3" s="579"/>
    </row>
    <row r="4" spans="1:12" ht="13.2">
      <c r="A4" s="406" t="s">
        <v>1186</v>
      </c>
      <c r="B4" s="397"/>
      <c r="C4" s="397"/>
      <c r="D4" s="397"/>
      <c r="E4" s="397"/>
      <c r="F4" s="397"/>
      <c r="G4" s="397"/>
      <c r="H4" s="397"/>
      <c r="I4" s="397"/>
    </row>
    <row r="5" spans="1:12" ht="15.6">
      <c r="A5" s="400" t="s">
        <v>1053</v>
      </c>
      <c r="C5" s="396" t="s">
        <v>1054</v>
      </c>
      <c r="D5" s="396" t="s">
        <v>75</v>
      </c>
      <c r="E5" s="396" t="s">
        <v>76</v>
      </c>
      <c r="F5" s="396" t="s">
        <v>77</v>
      </c>
      <c r="G5" s="396" t="s">
        <v>78</v>
      </c>
      <c r="H5" s="396" t="s">
        <v>79</v>
      </c>
      <c r="I5" s="774" t="s">
        <v>1187</v>
      </c>
      <c r="J5" s="400" t="s">
        <v>1124</v>
      </c>
    </row>
    <row r="6" spans="1:12" ht="13.2">
      <c r="A6" s="398" t="s">
        <v>1188</v>
      </c>
      <c r="C6" s="403">
        <f>'FE Balance Sheet'!B13</f>
        <v>975650</v>
      </c>
      <c r="D6" s="403" t="s">
        <v>596</v>
      </c>
      <c r="E6" s="403" t="s">
        <v>596</v>
      </c>
      <c r="F6" s="403" t="s">
        <v>596</v>
      </c>
      <c r="G6" s="403" t="s">
        <v>596</v>
      </c>
      <c r="H6" s="403" t="s">
        <v>596</v>
      </c>
      <c r="I6" s="403"/>
      <c r="J6" s="403" t="s">
        <v>1189</v>
      </c>
    </row>
    <row r="7" spans="1:12" ht="13.2">
      <c r="C7" s="403"/>
      <c r="D7" s="403"/>
      <c r="E7" s="403"/>
      <c r="F7" s="403"/>
      <c r="G7" s="403"/>
      <c r="H7" s="403"/>
      <c r="I7" s="403"/>
    </row>
    <row r="8" spans="1:12" ht="13.2">
      <c r="A8" s="398" t="s">
        <v>1190</v>
      </c>
      <c r="C8" s="403">
        <f>'FE Income Statement'!B22</f>
        <v>-97452.766666666663</v>
      </c>
      <c r="D8" s="403">
        <f>'FE Income Statement'!C22</f>
        <v>20355.036245359483</v>
      </c>
      <c r="E8" s="403">
        <f>'FE Income Statement'!D22</f>
        <v>572343.06952677551</v>
      </c>
      <c r="F8" s="403">
        <f>'FE Income Statement'!E22</f>
        <v>700604.17632975604</v>
      </c>
      <c r="G8" s="403">
        <f>'FE Income Statement'!F22</f>
        <v>868695.7756939223</v>
      </c>
      <c r="H8" s="403">
        <f>'FE Income Statement'!G22</f>
        <v>1548218.362097933</v>
      </c>
      <c r="I8" s="403">
        <f>H8</f>
        <v>1548218.362097933</v>
      </c>
      <c r="J8" s="398" t="s">
        <v>1123</v>
      </c>
    </row>
    <row r="9" spans="1:12" ht="13.2">
      <c r="A9" s="433" t="s">
        <v>1191</v>
      </c>
      <c r="B9" s="433"/>
      <c r="C9" s="403">
        <f>'FE Income Statement'!B19</f>
        <v>0</v>
      </c>
      <c r="D9" s="403">
        <f>'FE Income Statement'!C19</f>
        <v>119627.14285714286</v>
      </c>
      <c r="E9" s="403">
        <f>'FE Income Statement'!D19</f>
        <v>119627.14285714286</v>
      </c>
      <c r="F9" s="403">
        <f>'FE Income Statement'!E19</f>
        <v>143293.80952380953</v>
      </c>
      <c r="G9" s="403">
        <f>'FE Income Statement'!F19</f>
        <v>203155.71428571429</v>
      </c>
      <c r="H9" s="403">
        <f>'FE Income Statement'!G19</f>
        <v>167200.9523809524</v>
      </c>
      <c r="I9" s="403">
        <f>AVERAGE(D9:H9)</f>
        <v>150580.9523809524</v>
      </c>
      <c r="J9" s="398" t="s">
        <v>1123</v>
      </c>
    </row>
    <row r="10" spans="1:12" ht="13.2">
      <c r="A10" s="433" t="s">
        <v>1192</v>
      </c>
      <c r="B10" s="433"/>
      <c r="C10" s="403">
        <f>-'FE Balance Sheet'!B32</f>
        <v>-223153.18213689618</v>
      </c>
      <c r="D10" s="403">
        <f>'FE Balance Sheet'!B32-'FE Balance Sheet'!C32</f>
        <v>-25001.95689143613</v>
      </c>
      <c r="E10" s="403">
        <f>'FE Balance Sheet'!C32-'FE Balance Sheet'!D32</f>
        <v>-244430.66992789821</v>
      </c>
      <c r="F10" s="403">
        <f>'FE Balance Sheet'!D32-'FE Balance Sheet'!E32</f>
        <v>-216640.66749526211</v>
      </c>
      <c r="G10" s="403">
        <f>'FE Balance Sheet'!E32-'FE Balance Sheet'!F32</f>
        <v>-243314.73862067878</v>
      </c>
      <c r="H10" s="403">
        <f>'FE Balance Sheet'!F32-'FE Balance Sheet'!G32</f>
        <v>-323972.60381987074</v>
      </c>
      <c r="I10" s="403">
        <f>H10</f>
        <v>-323972.60381987074</v>
      </c>
      <c r="J10" s="398" t="s">
        <v>1151</v>
      </c>
    </row>
    <row r="11" spans="1:12" ht="13.2">
      <c r="A11" s="433" t="s">
        <v>1193</v>
      </c>
      <c r="B11" s="433"/>
      <c r="C11" s="404">
        <v>0</v>
      </c>
      <c r="D11" s="404">
        <f>'FE Balance Sheet'!C13-'FE Balance Sheet'!B13</f>
        <v>0</v>
      </c>
      <c r="E11" s="404">
        <f>MIN(-('FE Balance Sheet'!D13-'FE Balance Sheet'!C13),0)</f>
        <v>-345000</v>
      </c>
      <c r="F11" s="404">
        <f>MIN(-('FE Balance Sheet'!E13-'FE Balance Sheet'!D13),0)</f>
        <v>-381150</v>
      </c>
      <c r="G11" s="404">
        <f>MIN(-('FE Balance Sheet'!F13-'FE Balance Sheet'!E13),0)</f>
        <v>-181150</v>
      </c>
      <c r="H11" s="404">
        <f>MIN(-('FE Balance Sheet'!G13-'FE Balance Sheet'!F13),0)</f>
        <v>-751150</v>
      </c>
      <c r="I11" s="430">
        <f>AVERAGE(D11:H11)</f>
        <v>-331690</v>
      </c>
      <c r="J11" s="398" t="s">
        <v>1194</v>
      </c>
    </row>
    <row r="12" spans="1:12" ht="13.2">
      <c r="A12" s="398" t="s">
        <v>1195</v>
      </c>
      <c r="C12" s="403">
        <f>-C6+C8+C9+C10+C11</f>
        <v>-1296255.9488035627</v>
      </c>
      <c r="D12" s="403">
        <f>D8+D9+D10+D11</f>
        <v>114980.2222110662</v>
      </c>
      <c r="E12" s="403">
        <f t="shared" ref="E12:I12" si="0">E8+E9+E10+E11</f>
        <v>102539.54245602014</v>
      </c>
      <c r="F12" s="403">
        <f t="shared" si="0"/>
        <v>246107.31835830351</v>
      </c>
      <c r="G12" s="403">
        <f t="shared" si="0"/>
        <v>647386.75135895784</v>
      </c>
      <c r="H12" s="403">
        <f t="shared" si="0"/>
        <v>640296.71065901453</v>
      </c>
      <c r="I12" s="403">
        <f t="shared" si="0"/>
        <v>1043136.7106590145</v>
      </c>
      <c r="J12" s="398" t="s">
        <v>1196</v>
      </c>
    </row>
    <row r="13" spans="1:12" ht="13.2">
      <c r="C13" s="403"/>
      <c r="D13" s="403"/>
      <c r="E13" s="403"/>
      <c r="F13" s="403"/>
      <c r="G13" s="403"/>
      <c r="H13" s="403"/>
      <c r="I13" s="403"/>
      <c r="K13" s="398" t="s">
        <v>1197</v>
      </c>
    </row>
    <row r="14" spans="1:12" ht="13.2">
      <c r="A14" s="398" t="s">
        <v>1198</v>
      </c>
      <c r="C14" s="403"/>
      <c r="D14" s="403"/>
      <c r="E14" s="403"/>
      <c r="F14" s="403"/>
      <c r="G14" s="403"/>
      <c r="H14" s="772"/>
      <c r="I14" s="432">
        <f>MAX((I12*(1+F21))/('FE Assumptions'!B70-'FE Cash Flow'!F21),'FE Balance Sheet'!G17-'FE Balance Sheet'!G21)</f>
        <v>3157709.05698728</v>
      </c>
      <c r="J14" s="398" t="s">
        <v>1199</v>
      </c>
      <c r="K14" s="431"/>
      <c r="L14" s="431"/>
    </row>
    <row r="15" spans="1:12" ht="13.2">
      <c r="C15" s="430"/>
      <c r="D15" s="430"/>
      <c r="E15" s="430"/>
      <c r="F15" s="430"/>
      <c r="G15" s="430"/>
      <c r="H15" s="430"/>
    </row>
    <row r="16" spans="1:12" ht="13.2">
      <c r="A16" s="398" t="s">
        <v>1200</v>
      </c>
      <c r="C16" s="429">
        <f>C12</f>
        <v>-1296255.9488035627</v>
      </c>
      <c r="D16" s="429">
        <f>D12</f>
        <v>114980.2222110662</v>
      </c>
      <c r="E16" s="429">
        <f>E12</f>
        <v>102539.54245602014</v>
      </c>
      <c r="F16" s="429">
        <f>F12</f>
        <v>246107.31835830351</v>
      </c>
      <c r="G16" s="429">
        <f>G12</f>
        <v>647386.75135895784</v>
      </c>
      <c r="H16" s="429">
        <f>H12+I14</f>
        <v>3798005.7676462946</v>
      </c>
      <c r="I16" s="430"/>
      <c r="J16" s="430">
        <f>(I12*(1+F21))/('FE Assumptions'!B70-'FE Cash Flow'!F21)</f>
        <v>718512.68126395822</v>
      </c>
      <c r="K16" s="398" t="s">
        <v>1201</v>
      </c>
    </row>
    <row r="17" spans="1:16" ht="13.2">
      <c r="A17" s="398" t="s">
        <v>596</v>
      </c>
      <c r="B17" s="428" t="s">
        <v>596</v>
      </c>
      <c r="C17" s="403"/>
      <c r="D17" s="403"/>
      <c r="E17" s="403"/>
      <c r="F17" s="403"/>
      <c r="G17" s="403"/>
      <c r="H17" s="403"/>
      <c r="I17" s="403"/>
      <c r="J17" s="399">
        <f>'FE Balance Sheet'!G17-'FE Balance Sheet'!G21</f>
        <v>3157709.05698728</v>
      </c>
      <c r="K17" s="398" t="s">
        <v>1202</v>
      </c>
    </row>
    <row r="18" spans="1:16" ht="13.2">
      <c r="C18" s="403"/>
      <c r="D18" s="427"/>
      <c r="E18" s="427" t="s">
        <v>596</v>
      </c>
      <c r="F18" s="427" t="s">
        <v>596</v>
      </c>
      <c r="G18" s="427" t="s">
        <v>596</v>
      </c>
      <c r="H18" s="427"/>
    </row>
    <row r="19" spans="1:16" ht="13.2">
      <c r="A19" s="400" t="s">
        <v>1203</v>
      </c>
      <c r="B19" s="778">
        <f>NPV('FE Assumptions'!B70,D16:H16)+C16</f>
        <v>657764.64708638191</v>
      </c>
      <c r="C19" s="421"/>
      <c r="D19" s="426" t="s">
        <v>596</v>
      </c>
      <c r="E19" s="426" t="s">
        <v>596</v>
      </c>
      <c r="F19" s="421" t="s">
        <v>596</v>
      </c>
      <c r="G19" s="421" t="s">
        <v>596</v>
      </c>
      <c r="H19" s="421" t="s">
        <v>596</v>
      </c>
      <c r="I19" s="421"/>
      <c r="J19" s="408" t="s">
        <v>1204</v>
      </c>
    </row>
    <row r="20" spans="1:16" ht="13.2">
      <c r="A20" s="398" t="s">
        <v>596</v>
      </c>
      <c r="B20" s="398" t="s">
        <v>1205</v>
      </c>
      <c r="C20" s="425"/>
      <c r="D20" s="408" t="s">
        <v>596</v>
      </c>
      <c r="E20" s="408"/>
      <c r="F20" s="408"/>
      <c r="G20" s="408"/>
      <c r="H20" s="421" t="s">
        <v>596</v>
      </c>
      <c r="I20" s="421"/>
    </row>
    <row r="21" spans="1:16" ht="13.2">
      <c r="A21" s="400" t="s">
        <v>1206</v>
      </c>
      <c r="B21" s="419">
        <f>IRR(C16:H16)</f>
        <v>0.3468663121083575</v>
      </c>
      <c r="C21" s="424"/>
      <c r="D21" s="400" t="s">
        <v>1207</v>
      </c>
      <c r="F21" s="769">
        <v>-0.5</v>
      </c>
      <c r="G21" s="408"/>
      <c r="H21" s="421" t="s">
        <v>596</v>
      </c>
      <c r="I21" s="421"/>
      <c r="J21" s="398" t="s">
        <v>1208</v>
      </c>
    </row>
    <row r="22" spans="1:16" ht="13.2">
      <c r="B22" s="419"/>
      <c r="C22" s="423"/>
      <c r="D22" s="408"/>
      <c r="E22" s="408"/>
      <c r="F22" s="408"/>
      <c r="G22" s="408"/>
      <c r="H22" s="421" t="s">
        <v>596</v>
      </c>
      <c r="I22" s="421"/>
      <c r="P22" s="773"/>
    </row>
    <row r="23" spans="1:16" ht="13.2">
      <c r="B23" s="419"/>
      <c r="C23" s="422"/>
      <c r="D23" s="408"/>
      <c r="E23" s="408"/>
      <c r="F23" s="408"/>
      <c r="G23" s="408"/>
      <c r="H23" s="421"/>
      <c r="I23" s="421"/>
      <c r="J23" s="768"/>
      <c r="K23" s="768"/>
      <c r="L23" s="768"/>
      <c r="M23" s="768"/>
      <c r="N23" s="768"/>
      <c r="O23" s="768"/>
      <c r="P23" s="768"/>
    </row>
    <row r="24" spans="1:16" ht="13.2">
      <c r="B24" s="398" t="s">
        <v>1205</v>
      </c>
      <c r="D24" s="421" t="s">
        <v>596</v>
      </c>
      <c r="E24" s="421" t="s">
        <v>596</v>
      </c>
      <c r="F24" s="421" t="s">
        <v>596</v>
      </c>
      <c r="G24" s="421" t="s">
        <v>1209</v>
      </c>
      <c r="H24" s="421" t="s">
        <v>596</v>
      </c>
      <c r="I24" s="421"/>
    </row>
    <row r="25" spans="1:16" ht="13.2">
      <c r="C25" s="408"/>
      <c r="D25" s="408"/>
      <c r="E25" s="408"/>
      <c r="F25" s="408"/>
      <c r="G25" s="408"/>
      <c r="H25" s="408"/>
      <c r="I25" s="408"/>
      <c r="K25" s="408"/>
    </row>
    <row r="26" spans="1:16" ht="13.2">
      <c r="C26" s="408"/>
      <c r="D26" s="408"/>
      <c r="E26" s="408"/>
      <c r="F26" s="408"/>
      <c r="G26" s="408"/>
      <c r="H26" s="408"/>
      <c r="I26" s="408"/>
    </row>
    <row r="27" spans="1:16" ht="13.2">
      <c r="C27" s="408"/>
      <c r="D27" s="408"/>
      <c r="E27" s="408"/>
      <c r="F27" s="408"/>
      <c r="G27" s="408"/>
    </row>
    <row r="28" spans="1:16" ht="13.2">
      <c r="H28" s="408"/>
      <c r="I28" s="408"/>
    </row>
    <row r="29" spans="1:16" ht="13.2">
      <c r="H29" s="408"/>
      <c r="I29" s="408"/>
    </row>
    <row r="30" spans="1:16" ht="13.2">
      <c r="H30" s="408"/>
      <c r="I30" s="408"/>
    </row>
    <row r="31" spans="1:16" ht="13.2">
      <c r="C31" s="408"/>
      <c r="D31" s="408"/>
      <c r="E31" s="408"/>
      <c r="F31" s="408"/>
      <c r="G31" s="408"/>
      <c r="H31" s="408"/>
      <c r="I31" s="408"/>
    </row>
    <row r="32" spans="1:16" ht="13.2">
      <c r="I32" s="408"/>
    </row>
    <row r="33" spans="2:17" ht="13.2">
      <c r="B33" s="427"/>
      <c r="C33" s="771"/>
      <c r="D33" s="771"/>
      <c r="E33" s="771"/>
      <c r="F33" s="771"/>
      <c r="G33" s="771"/>
      <c r="H33" s="771"/>
      <c r="I33" s="771"/>
      <c r="Q33" s="398" t="s">
        <v>596</v>
      </c>
    </row>
    <row r="34" spans="2:17" ht="13.2">
      <c r="H34" s="408"/>
      <c r="I34" s="408"/>
    </row>
    <row r="35" spans="2:17" ht="13.2">
      <c r="C35" s="420"/>
      <c r="H35" s="408"/>
      <c r="I35" s="408"/>
    </row>
    <row r="36" spans="2:17" ht="13.2">
      <c r="H36" s="408"/>
      <c r="I36" s="408"/>
    </row>
    <row r="37" spans="2:17" ht="13.2">
      <c r="C37" s="419"/>
      <c r="H37" s="408"/>
      <c r="I37" s="408"/>
    </row>
    <row r="38" spans="2:17" ht="13.2">
      <c r="H38" s="408"/>
      <c r="I38" s="408"/>
    </row>
    <row r="39" spans="2:17" ht="13.2">
      <c r="H39" s="408"/>
      <c r="I39" s="408"/>
    </row>
    <row r="40" spans="2:17" ht="13.2">
      <c r="H40" s="408"/>
      <c r="I40" s="408"/>
    </row>
    <row r="41" spans="2:17" ht="13.2">
      <c r="H41" s="408"/>
      <c r="I41" s="408"/>
    </row>
    <row r="42" spans="2:17" ht="13.2">
      <c r="H42" s="408"/>
      <c r="I42" s="408"/>
    </row>
    <row r="43" spans="2:17" ht="13.2">
      <c r="H43" s="408"/>
      <c r="I43" s="408"/>
    </row>
    <row r="44" spans="2:17" ht="13.2">
      <c r="H44" s="408"/>
      <c r="I44" s="408"/>
    </row>
  </sheetData>
  <hyperlinks>
    <hyperlink ref="A2" location="'Index'!A1" display="Back to Index" xr:uid="{33D57C13-EB38-4820-8BEC-B9E833715942}"/>
  </hyperlinks>
  <printOptions gridLines="1" gridLinesSet="0"/>
  <pageMargins left="0.75" right="0.75" top="1" bottom="1" header="0.5" footer="0.5"/>
  <pageSetup scale="80" orientation="landscape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05DE-2219-46D7-8E09-1C951C86836F}">
  <sheetPr>
    <tabColor rgb="FF00B050"/>
  </sheetPr>
  <dimension ref="A1:U75"/>
  <sheetViews>
    <sheetView topLeftCell="J73" workbookViewId="0">
      <selection activeCell="E17" sqref="E17"/>
    </sheetView>
  </sheetViews>
  <sheetFormatPr defaultRowHeight="14.4"/>
  <cols>
    <col min="2" max="2" width="25.6640625" customWidth="1"/>
    <col min="3" max="3" width="12.6640625" customWidth="1"/>
    <col min="4" max="4" width="16.44140625" bestFit="1" customWidth="1"/>
    <col min="5" max="5" width="13.6640625" customWidth="1"/>
    <col min="7" max="7" width="28.5546875" customWidth="1"/>
    <col min="8" max="12" width="12.6640625" customWidth="1"/>
    <col min="15" max="15" width="28.5546875" customWidth="1"/>
    <col min="16" max="21" width="12.6640625" customWidth="1"/>
    <col min="24" max="24" width="8.88671875" customWidth="1"/>
  </cols>
  <sheetData>
    <row r="1" spans="1:21" ht="28.8">
      <c r="A1" s="1" t="s">
        <v>18</v>
      </c>
    </row>
    <row r="2" spans="1:21">
      <c r="A2" s="284" t="s">
        <v>32</v>
      </c>
    </row>
    <row r="3" spans="1:21">
      <c r="P3" s="967">
        <v>1</v>
      </c>
      <c r="Q3" s="967">
        <v>2</v>
      </c>
      <c r="R3" s="967">
        <v>3</v>
      </c>
      <c r="S3" s="967">
        <v>4</v>
      </c>
      <c r="T3" s="967">
        <v>5</v>
      </c>
      <c r="U3" s="967">
        <v>6</v>
      </c>
    </row>
    <row r="4" spans="1:21">
      <c r="B4" s="291" t="s">
        <v>465</v>
      </c>
      <c r="C4" s="1053" t="s">
        <v>466</v>
      </c>
      <c r="D4" s="1054" t="s">
        <v>467</v>
      </c>
      <c r="E4" s="292" t="s">
        <v>1210</v>
      </c>
      <c r="G4" s="1055" t="s">
        <v>733</v>
      </c>
      <c r="H4" s="654" t="s">
        <v>695</v>
      </c>
      <c r="I4" s="654" t="s">
        <v>158</v>
      </c>
      <c r="J4" s="654" t="s">
        <v>159</v>
      </c>
      <c r="K4" s="654" t="s">
        <v>160</v>
      </c>
      <c r="L4" s="1201" t="s">
        <v>161</v>
      </c>
      <c r="O4" s="240" t="s">
        <v>1211</v>
      </c>
      <c r="P4" s="1185" t="s">
        <v>157</v>
      </c>
      <c r="Q4" s="1184" t="s">
        <v>158</v>
      </c>
      <c r="R4" s="1184" t="s">
        <v>159</v>
      </c>
      <c r="S4" s="1184" t="s">
        <v>160</v>
      </c>
      <c r="T4" s="1184" t="s">
        <v>161</v>
      </c>
      <c r="U4" s="1196" t="s">
        <v>1212</v>
      </c>
    </row>
    <row r="5" spans="1:21">
      <c r="B5" s="44" t="s">
        <v>1213</v>
      </c>
      <c r="C5" s="970">
        <f>'Manufacturing Overhead'!F7</f>
        <v>400000</v>
      </c>
      <c r="D5" s="968">
        <v>10</v>
      </c>
      <c r="E5" s="123">
        <f t="shared" ref="E5:E13" si="0">C5/D5</f>
        <v>40000</v>
      </c>
      <c r="G5" s="1056" t="s">
        <v>1213</v>
      </c>
      <c r="H5" s="49">
        <v>1</v>
      </c>
      <c r="I5" s="41">
        <v>0</v>
      </c>
      <c r="J5" s="41">
        <v>0</v>
      </c>
      <c r="K5" s="41">
        <v>0</v>
      </c>
      <c r="L5" s="1057">
        <v>0</v>
      </c>
      <c r="O5" s="88" t="s">
        <v>1213</v>
      </c>
      <c r="P5" s="976">
        <f t="shared" ref="P5:U13" si="1">IF(P$3*$E5&gt;$C5,0,$E5*$H5)</f>
        <v>40000</v>
      </c>
      <c r="Q5" s="976">
        <f t="shared" si="1"/>
        <v>40000</v>
      </c>
      <c r="R5" s="976">
        <f t="shared" si="1"/>
        <v>40000</v>
      </c>
      <c r="S5" s="976">
        <f t="shared" si="1"/>
        <v>40000</v>
      </c>
      <c r="T5" s="976">
        <f t="shared" si="1"/>
        <v>40000</v>
      </c>
      <c r="U5" s="309">
        <f t="shared" si="1"/>
        <v>40000</v>
      </c>
    </row>
    <row r="6" spans="1:21">
      <c r="B6" s="44" t="s">
        <v>468</v>
      </c>
      <c r="C6" s="971">
        <f>'Operations Assumptions'!C57</f>
        <v>170000</v>
      </c>
      <c r="D6" s="968">
        <f>'Operations Assumptions'!D90</f>
        <v>15</v>
      </c>
      <c r="E6" s="123">
        <f t="shared" si="0"/>
        <v>11333.333333333334</v>
      </c>
      <c r="G6" s="10" t="s">
        <v>1214</v>
      </c>
      <c r="H6" s="44">
        <f>'Capital Expenditures'!F9</f>
        <v>2</v>
      </c>
      <c r="I6">
        <f>'Capital Expenditures'!G9</f>
        <v>2</v>
      </c>
      <c r="J6">
        <f>'Capital Expenditures'!H9</f>
        <v>1</v>
      </c>
      <c r="K6">
        <f>'Capital Expenditures'!I9</f>
        <v>1</v>
      </c>
      <c r="L6" s="858">
        <f>'Capital Expenditures'!J9</f>
        <v>2</v>
      </c>
      <c r="O6" s="127" t="s">
        <v>1214</v>
      </c>
      <c r="P6" s="34">
        <f t="shared" si="1"/>
        <v>22666.666666666668</v>
      </c>
      <c r="Q6" s="34">
        <f t="shared" si="1"/>
        <v>22666.666666666668</v>
      </c>
      <c r="R6" s="34">
        <f t="shared" si="1"/>
        <v>22666.666666666668</v>
      </c>
      <c r="S6" s="34">
        <f t="shared" si="1"/>
        <v>22666.666666666668</v>
      </c>
      <c r="T6" s="34">
        <f t="shared" si="1"/>
        <v>22666.666666666668</v>
      </c>
      <c r="U6" s="123">
        <f t="shared" si="1"/>
        <v>22666.666666666668</v>
      </c>
    </row>
    <row r="7" spans="1:21">
      <c r="B7" s="44" t="s">
        <v>469</v>
      </c>
      <c r="C7" s="971">
        <f>'Operations Assumptions'!C58</f>
        <v>50000</v>
      </c>
      <c r="D7" s="968">
        <f>'Operations Assumptions'!D91</f>
        <v>4</v>
      </c>
      <c r="E7" s="123">
        <f t="shared" si="0"/>
        <v>12500</v>
      </c>
      <c r="G7" s="10" t="s">
        <v>1215</v>
      </c>
      <c r="H7" s="44">
        <f>'Capital Expenditures'!F11</f>
        <v>4</v>
      </c>
      <c r="I7">
        <f>'Capital Expenditures'!G11</f>
        <v>0</v>
      </c>
      <c r="J7">
        <f>'Capital Expenditures'!H11</f>
        <v>4</v>
      </c>
      <c r="K7">
        <f>'Capital Expenditures'!I11</f>
        <v>0</v>
      </c>
      <c r="L7" s="858">
        <f>'Capital Expenditures'!J11</f>
        <v>8</v>
      </c>
      <c r="O7" s="127" t="s">
        <v>1215</v>
      </c>
      <c r="P7" s="34">
        <f t="shared" si="1"/>
        <v>50000</v>
      </c>
      <c r="Q7" s="34">
        <f t="shared" si="1"/>
        <v>50000</v>
      </c>
      <c r="R7" s="34">
        <f t="shared" si="1"/>
        <v>50000</v>
      </c>
      <c r="S7" s="34">
        <f t="shared" si="1"/>
        <v>50000</v>
      </c>
      <c r="T7" s="34">
        <f t="shared" si="1"/>
        <v>0</v>
      </c>
      <c r="U7" s="123">
        <f t="shared" si="1"/>
        <v>0</v>
      </c>
    </row>
    <row r="8" spans="1:21">
      <c r="B8" s="44" t="s">
        <v>470</v>
      </c>
      <c r="C8" s="971">
        <f>'Operations Assumptions'!C60</f>
        <v>5000</v>
      </c>
      <c r="D8" s="968">
        <f>'Operations Assumptions'!D92</f>
        <v>10</v>
      </c>
      <c r="E8" s="123">
        <f t="shared" si="0"/>
        <v>500</v>
      </c>
      <c r="G8" s="10" t="s">
        <v>1216</v>
      </c>
      <c r="H8" s="44">
        <f>'Capital Expenditures'!F13</f>
        <v>2</v>
      </c>
      <c r="I8">
        <f>'Capital Expenditures'!G13</f>
        <v>1</v>
      </c>
      <c r="J8">
        <f>'Capital Expenditures'!H13</f>
        <v>1</v>
      </c>
      <c r="K8">
        <f>'Capital Expenditures'!I13</f>
        <v>1</v>
      </c>
      <c r="L8" s="858">
        <f>'Capital Expenditures'!J13</f>
        <v>1</v>
      </c>
      <c r="O8" s="127" t="s">
        <v>1216</v>
      </c>
      <c r="P8" s="34">
        <f t="shared" si="1"/>
        <v>1000</v>
      </c>
      <c r="Q8" s="34">
        <f t="shared" si="1"/>
        <v>1000</v>
      </c>
      <c r="R8" s="34">
        <f t="shared" si="1"/>
        <v>1000</v>
      </c>
      <c r="S8" s="34">
        <f t="shared" si="1"/>
        <v>1000</v>
      </c>
      <c r="T8" s="34">
        <f t="shared" si="1"/>
        <v>1000</v>
      </c>
      <c r="U8" s="123">
        <f t="shared" si="1"/>
        <v>1000</v>
      </c>
    </row>
    <row r="9" spans="1:21">
      <c r="B9" s="44" t="s">
        <v>471</v>
      </c>
      <c r="C9" s="971">
        <f>'Operations Assumptions'!C61</f>
        <v>1025</v>
      </c>
      <c r="D9" s="968">
        <f>'Operations Assumptions'!D93</f>
        <v>7</v>
      </c>
      <c r="E9" s="123">
        <f t="shared" si="0"/>
        <v>146.42857142857142</v>
      </c>
      <c r="G9" s="10" t="s">
        <v>1217</v>
      </c>
      <c r="H9" s="44">
        <f>'Capital Expenditures'!F15</f>
        <v>12</v>
      </c>
      <c r="I9">
        <f>'Capital Expenditures'!G15</f>
        <v>0</v>
      </c>
      <c r="J9">
        <f>'Capital Expenditures'!H15</f>
        <v>6</v>
      </c>
      <c r="K9">
        <f>'Capital Expenditures'!I15</f>
        <v>6</v>
      </c>
      <c r="L9" s="858">
        <f>'Capital Expenditures'!J15</f>
        <v>6</v>
      </c>
      <c r="O9" s="127" t="s">
        <v>1217</v>
      </c>
      <c r="P9" s="34">
        <f t="shared" si="1"/>
        <v>1757.1428571428569</v>
      </c>
      <c r="Q9" s="34">
        <f t="shared" si="1"/>
        <v>1757.1428571428569</v>
      </c>
      <c r="R9" s="34">
        <f t="shared" si="1"/>
        <v>1757.1428571428569</v>
      </c>
      <c r="S9" s="34">
        <f t="shared" si="1"/>
        <v>1757.1428571428569</v>
      </c>
      <c r="T9" s="34">
        <f t="shared" si="1"/>
        <v>1757.1428571428569</v>
      </c>
      <c r="U9" s="123">
        <f t="shared" si="1"/>
        <v>1757.1428571428569</v>
      </c>
    </row>
    <row r="10" spans="1:21">
      <c r="B10" s="44" t="s">
        <v>472</v>
      </c>
      <c r="C10" s="972">
        <f>'Operations Assumptions'!C94</f>
        <v>1500</v>
      </c>
      <c r="D10" s="968">
        <f>'Operations Assumptions'!D94</f>
        <v>3</v>
      </c>
      <c r="E10" s="123">
        <f t="shared" si="0"/>
        <v>500</v>
      </c>
      <c r="G10" s="10" t="s">
        <v>734</v>
      </c>
      <c r="H10" s="990">
        <f>'Information Systems Expense'!F39</f>
        <v>5</v>
      </c>
      <c r="I10" s="24">
        <f>'Information Systems Expense'!H39</f>
        <v>1</v>
      </c>
      <c r="J10" s="24">
        <f>'Information Systems Expense'!I39</f>
        <v>1</v>
      </c>
      <c r="K10" s="24">
        <f>'Information Systems Expense'!J39</f>
        <v>2</v>
      </c>
      <c r="L10" s="1051">
        <f>'Information Systems Expense'!K39</f>
        <v>1</v>
      </c>
      <c r="O10" s="127" t="s">
        <v>734</v>
      </c>
      <c r="P10" s="34">
        <f t="shared" si="1"/>
        <v>2500</v>
      </c>
      <c r="Q10" s="34">
        <f t="shared" si="1"/>
        <v>2500</v>
      </c>
      <c r="R10" s="34">
        <f t="shared" si="1"/>
        <v>2500</v>
      </c>
      <c r="S10" s="34">
        <f t="shared" si="1"/>
        <v>0</v>
      </c>
      <c r="T10" s="34">
        <f t="shared" si="1"/>
        <v>0</v>
      </c>
      <c r="U10" s="123">
        <f t="shared" si="1"/>
        <v>0</v>
      </c>
    </row>
    <row r="11" spans="1:21">
      <c r="B11" s="44" t="s">
        <v>473</v>
      </c>
      <c r="C11" s="972">
        <f>'Operations Assumptions'!C95</f>
        <v>1000</v>
      </c>
      <c r="D11" s="968">
        <f>'Operations Assumptions'!D95</f>
        <v>3</v>
      </c>
      <c r="E11" s="123">
        <f t="shared" si="0"/>
        <v>333.33333333333331</v>
      </c>
      <c r="G11" s="10" t="s">
        <v>1218</v>
      </c>
      <c r="H11" s="44">
        <f>'Information Systems Expense'!F40</f>
        <v>4</v>
      </c>
      <c r="I11">
        <f>'Information Systems Expense'!H40</f>
        <v>0</v>
      </c>
      <c r="J11">
        <f>'Information Systems Expense'!I40</f>
        <v>1</v>
      </c>
      <c r="K11">
        <f>'Information Systems Expense'!J40</f>
        <v>1</v>
      </c>
      <c r="L11" s="858">
        <f>'Information Systems Expense'!K40</f>
        <v>1</v>
      </c>
      <c r="O11" s="127" t="s">
        <v>1218</v>
      </c>
      <c r="P11" s="34">
        <f t="shared" si="1"/>
        <v>1333.3333333333333</v>
      </c>
      <c r="Q11" s="34">
        <f t="shared" si="1"/>
        <v>1333.3333333333333</v>
      </c>
      <c r="R11" s="34">
        <f t="shared" si="1"/>
        <v>1333.3333333333333</v>
      </c>
      <c r="S11" s="34">
        <f t="shared" si="1"/>
        <v>0</v>
      </c>
      <c r="T11" s="34">
        <f t="shared" si="1"/>
        <v>0</v>
      </c>
      <c r="U11" s="123">
        <f t="shared" si="1"/>
        <v>0</v>
      </c>
    </row>
    <row r="12" spans="1:21">
      <c r="B12" s="44" t="s">
        <v>453</v>
      </c>
      <c r="C12" s="972">
        <f>'Operations Assumptions'!C96</f>
        <v>750</v>
      </c>
      <c r="D12" s="968">
        <f>'Operations Assumptions'!D96</f>
        <v>5</v>
      </c>
      <c r="E12" s="123">
        <f t="shared" si="0"/>
        <v>150</v>
      </c>
      <c r="G12" s="10" t="s">
        <v>453</v>
      </c>
      <c r="H12" s="44">
        <f>'Information Systems Expense'!F41</f>
        <v>2</v>
      </c>
      <c r="I12">
        <f>'Information Systems Expense'!H41</f>
        <v>0</v>
      </c>
      <c r="J12">
        <f>'Information Systems Expense'!I41</f>
        <v>1</v>
      </c>
      <c r="K12">
        <f>'Information Systems Expense'!J41</f>
        <v>0</v>
      </c>
      <c r="L12" s="858">
        <f>'Information Systems Expense'!K41</f>
        <v>1</v>
      </c>
      <c r="O12" s="127" t="s">
        <v>453</v>
      </c>
      <c r="P12" s="34">
        <f t="shared" si="1"/>
        <v>300</v>
      </c>
      <c r="Q12" s="34">
        <f t="shared" si="1"/>
        <v>300</v>
      </c>
      <c r="R12" s="34">
        <f t="shared" si="1"/>
        <v>300</v>
      </c>
      <c r="S12" s="34">
        <f t="shared" si="1"/>
        <v>300</v>
      </c>
      <c r="T12" s="34">
        <f t="shared" si="1"/>
        <v>300</v>
      </c>
      <c r="U12" s="123">
        <f t="shared" si="1"/>
        <v>0</v>
      </c>
    </row>
    <row r="13" spans="1:21">
      <c r="B13" s="51" t="s">
        <v>474</v>
      </c>
      <c r="C13" s="973">
        <f>'Operations Assumptions'!C97</f>
        <v>350</v>
      </c>
      <c r="D13" s="969">
        <f>'Operations Assumptions'!D97</f>
        <v>5</v>
      </c>
      <c r="E13" s="124">
        <f t="shared" si="0"/>
        <v>70</v>
      </c>
      <c r="G13" s="15" t="s">
        <v>1219</v>
      </c>
      <c r="H13" s="808">
        <v>1</v>
      </c>
      <c r="I13" s="863">
        <v>0</v>
      </c>
      <c r="J13" s="863">
        <v>0</v>
      </c>
      <c r="K13" s="863">
        <v>0</v>
      </c>
      <c r="L13" s="1058">
        <v>0</v>
      </c>
      <c r="O13" s="128" t="s">
        <v>1219</v>
      </c>
      <c r="P13" s="62">
        <f t="shared" si="1"/>
        <v>70</v>
      </c>
      <c r="Q13" s="62">
        <f t="shared" si="1"/>
        <v>70</v>
      </c>
      <c r="R13" s="62">
        <f t="shared" si="1"/>
        <v>70</v>
      </c>
      <c r="S13" s="62">
        <f t="shared" si="1"/>
        <v>70</v>
      </c>
      <c r="T13" s="62">
        <f t="shared" si="1"/>
        <v>70</v>
      </c>
      <c r="U13" s="124">
        <f t="shared" si="1"/>
        <v>0</v>
      </c>
    </row>
    <row r="14" spans="1:21">
      <c r="E14" s="34"/>
      <c r="O14" s="616" t="s">
        <v>183</v>
      </c>
      <c r="P14" s="977">
        <f t="shared" ref="P14:U14" si="2">SUM(P5:P13)</f>
        <v>119627.14285714286</v>
      </c>
      <c r="Q14" s="977">
        <f t="shared" si="2"/>
        <v>119627.14285714286</v>
      </c>
      <c r="R14" s="977">
        <f t="shared" si="2"/>
        <v>119627.14285714286</v>
      </c>
      <c r="S14" s="977">
        <f t="shared" si="2"/>
        <v>115793.80952380953</v>
      </c>
      <c r="T14" s="977">
        <f t="shared" si="2"/>
        <v>65793.809523809527</v>
      </c>
      <c r="U14" s="978">
        <f t="shared" si="2"/>
        <v>65423.809523809527</v>
      </c>
    </row>
    <row r="16" spans="1:21">
      <c r="G16" s="38" t="s">
        <v>18</v>
      </c>
      <c r="H16" s="1184" t="s">
        <v>157</v>
      </c>
      <c r="I16" s="1184" t="s">
        <v>158</v>
      </c>
      <c r="J16" s="1184" t="s">
        <v>159</v>
      </c>
      <c r="K16" s="1184" t="s">
        <v>160</v>
      </c>
      <c r="L16" s="1196" t="s">
        <v>161</v>
      </c>
    </row>
    <row r="17" spans="7:21">
      <c r="G17" s="44" t="s">
        <v>1220</v>
      </c>
      <c r="H17" s="976">
        <f>P14</f>
        <v>119627.14285714286</v>
      </c>
      <c r="I17" s="976">
        <f>Q14</f>
        <v>119627.14285714286</v>
      </c>
      <c r="J17" s="976">
        <f>R14</f>
        <v>119627.14285714286</v>
      </c>
      <c r="K17" s="976">
        <f>S14</f>
        <v>115793.80952380953</v>
      </c>
      <c r="L17" s="309">
        <f>T14</f>
        <v>65793.809523809527</v>
      </c>
      <c r="O17" s="240" t="s">
        <v>1221</v>
      </c>
      <c r="P17" s="1222" t="s">
        <v>157</v>
      </c>
      <c r="Q17" s="1222" t="s">
        <v>158</v>
      </c>
      <c r="R17" s="1222" t="s">
        <v>159</v>
      </c>
      <c r="S17" s="1222" t="s">
        <v>160</v>
      </c>
      <c r="T17" s="1222" t="s">
        <v>161</v>
      </c>
      <c r="U17" s="1223" t="s">
        <v>1212</v>
      </c>
    </row>
    <row r="18" spans="7:21">
      <c r="G18" s="44" t="s">
        <v>1222</v>
      </c>
      <c r="H18" s="62">
        <f>P27</f>
        <v>0</v>
      </c>
      <c r="I18" s="62">
        <f>Q27</f>
        <v>0</v>
      </c>
      <c r="J18" s="62">
        <f>R27</f>
        <v>23666.666666666668</v>
      </c>
      <c r="K18" s="62">
        <f>S27</f>
        <v>87361.904761904763</v>
      </c>
      <c r="L18" s="124">
        <f>T27</f>
        <v>101407.14285714287</v>
      </c>
      <c r="O18" s="88" t="s">
        <v>1213</v>
      </c>
      <c r="P18" s="976">
        <v>0</v>
      </c>
      <c r="Q18" s="976">
        <v>0</v>
      </c>
      <c r="R18" s="976">
        <v>0</v>
      </c>
      <c r="S18" s="976">
        <v>0</v>
      </c>
      <c r="T18" s="976">
        <v>0</v>
      </c>
      <c r="U18" s="309">
        <v>0</v>
      </c>
    </row>
    <row r="19" spans="7:21">
      <c r="G19" s="724" t="s">
        <v>1223</v>
      </c>
      <c r="H19" s="977">
        <f>SUM(H17:H18)</f>
        <v>119627.14285714286</v>
      </c>
      <c r="I19" s="977">
        <f>SUM(I17:I18)</f>
        <v>119627.14285714286</v>
      </c>
      <c r="J19" s="977">
        <f>SUM(J17:J18)</f>
        <v>143293.80952380953</v>
      </c>
      <c r="K19" s="977">
        <f>SUM(K17:K18)</f>
        <v>203155.71428571429</v>
      </c>
      <c r="L19" s="978">
        <f>SUM(L17:L18)</f>
        <v>167200.9523809524</v>
      </c>
      <c r="O19" s="127" t="s">
        <v>1214</v>
      </c>
      <c r="P19" s="34">
        <v>0</v>
      </c>
      <c r="Q19" s="34">
        <v>0</v>
      </c>
      <c r="R19" s="34">
        <f t="shared" ref="R19:U26" si="3">SUM(R34,R45,R56,R67)</f>
        <v>22666.666666666668</v>
      </c>
      <c r="S19" s="34">
        <f t="shared" si="3"/>
        <v>34000</v>
      </c>
      <c r="T19" s="34">
        <f t="shared" si="3"/>
        <v>45333.333333333336</v>
      </c>
      <c r="U19" s="123">
        <f t="shared" si="3"/>
        <v>68000</v>
      </c>
    </row>
    <row r="20" spans="7:21">
      <c r="O20" s="127" t="s">
        <v>1215</v>
      </c>
      <c r="P20" s="34">
        <v>0</v>
      </c>
      <c r="Q20" s="34">
        <v>0</v>
      </c>
      <c r="R20" s="34">
        <f t="shared" si="3"/>
        <v>0</v>
      </c>
      <c r="S20" s="34">
        <f t="shared" si="3"/>
        <v>50000</v>
      </c>
      <c r="T20" s="34">
        <f t="shared" si="3"/>
        <v>50000</v>
      </c>
      <c r="U20" s="123">
        <f t="shared" si="3"/>
        <v>150000</v>
      </c>
    </row>
    <row r="21" spans="7:21">
      <c r="O21" s="127" t="s">
        <v>1216</v>
      </c>
      <c r="P21" s="34">
        <v>0</v>
      </c>
      <c r="Q21" s="34">
        <v>0</v>
      </c>
      <c r="R21" s="34">
        <f t="shared" si="3"/>
        <v>500</v>
      </c>
      <c r="S21" s="34">
        <f t="shared" si="3"/>
        <v>1000</v>
      </c>
      <c r="T21" s="34">
        <f t="shared" si="3"/>
        <v>1500</v>
      </c>
      <c r="U21" s="123">
        <f t="shared" si="3"/>
        <v>2000</v>
      </c>
    </row>
    <row r="22" spans="7:21">
      <c r="O22" s="127" t="s">
        <v>1217</v>
      </c>
      <c r="P22" s="34">
        <v>0</v>
      </c>
      <c r="Q22" s="34">
        <v>0</v>
      </c>
      <c r="R22" s="34">
        <f t="shared" si="3"/>
        <v>0</v>
      </c>
      <c r="S22" s="34">
        <f t="shared" si="3"/>
        <v>878.57142857142844</v>
      </c>
      <c r="T22" s="34">
        <f t="shared" si="3"/>
        <v>1757.1428571428569</v>
      </c>
      <c r="U22" s="123">
        <f t="shared" si="3"/>
        <v>2635.7142857142853</v>
      </c>
    </row>
    <row r="23" spans="7:21">
      <c r="O23" s="127" t="s">
        <v>734</v>
      </c>
      <c r="P23" s="34">
        <v>0</v>
      </c>
      <c r="Q23" s="34">
        <v>0</v>
      </c>
      <c r="R23" s="34">
        <f t="shared" si="3"/>
        <v>500</v>
      </c>
      <c r="S23" s="34">
        <f t="shared" si="3"/>
        <v>1000</v>
      </c>
      <c r="T23" s="34">
        <f t="shared" si="3"/>
        <v>2000</v>
      </c>
      <c r="U23" s="123">
        <f t="shared" si="3"/>
        <v>2500</v>
      </c>
    </row>
    <row r="24" spans="7:21">
      <c r="O24" s="127" t="s">
        <v>1218</v>
      </c>
      <c r="P24" s="34">
        <v>0</v>
      </c>
      <c r="Q24" s="34">
        <v>0</v>
      </c>
      <c r="R24" s="34">
        <f t="shared" si="3"/>
        <v>0</v>
      </c>
      <c r="S24" s="34">
        <f t="shared" si="3"/>
        <v>333.33333333333331</v>
      </c>
      <c r="T24" s="34">
        <f t="shared" si="3"/>
        <v>666.66666666666663</v>
      </c>
      <c r="U24" s="123">
        <f t="shared" si="3"/>
        <v>1000</v>
      </c>
    </row>
    <row r="25" spans="7:21">
      <c r="O25" s="127" t="s">
        <v>453</v>
      </c>
      <c r="P25" s="34">
        <v>0</v>
      </c>
      <c r="Q25" s="34">
        <v>0</v>
      </c>
      <c r="R25" s="34">
        <f t="shared" si="3"/>
        <v>0</v>
      </c>
      <c r="S25" s="34">
        <f t="shared" si="3"/>
        <v>150</v>
      </c>
      <c r="T25" s="34">
        <f t="shared" si="3"/>
        <v>150</v>
      </c>
      <c r="U25" s="123">
        <f t="shared" si="3"/>
        <v>300</v>
      </c>
    </row>
    <row r="26" spans="7:21">
      <c r="O26" s="128" t="s">
        <v>1219</v>
      </c>
      <c r="P26" s="62">
        <v>0</v>
      </c>
      <c r="Q26" s="62">
        <v>0</v>
      </c>
      <c r="R26" s="62">
        <f t="shared" si="3"/>
        <v>0</v>
      </c>
      <c r="S26" s="62">
        <f t="shared" si="3"/>
        <v>0</v>
      </c>
      <c r="T26" s="62">
        <f t="shared" si="3"/>
        <v>0</v>
      </c>
      <c r="U26" s="124">
        <f t="shared" si="3"/>
        <v>0</v>
      </c>
    </row>
    <row r="27" spans="7:21">
      <c r="O27" s="616" t="s">
        <v>183</v>
      </c>
      <c r="P27" s="977">
        <f t="shared" ref="P27:U27" si="4">SUM(P18:P26)</f>
        <v>0</v>
      </c>
      <c r="Q27" s="977">
        <f t="shared" si="4"/>
        <v>0</v>
      </c>
      <c r="R27" s="977">
        <f t="shared" si="4"/>
        <v>23666.666666666668</v>
      </c>
      <c r="S27" s="977">
        <f t="shared" si="4"/>
        <v>87361.904761904763</v>
      </c>
      <c r="T27" s="977">
        <f t="shared" si="4"/>
        <v>101407.14285714287</v>
      </c>
      <c r="U27" s="978">
        <f t="shared" si="4"/>
        <v>226435.71428571429</v>
      </c>
    </row>
    <row r="30" spans="7:21">
      <c r="O30" s="1313" t="s">
        <v>1224</v>
      </c>
      <c r="P30" s="1341"/>
      <c r="Q30" s="1341"/>
      <c r="R30" s="1341"/>
      <c r="S30" s="1341"/>
      <c r="T30" s="1341"/>
      <c r="U30" s="1342"/>
    </row>
    <row r="31" spans="7:21">
      <c r="O31" s="1314"/>
      <c r="P31" s="1343"/>
      <c r="Q31" s="1343"/>
      <c r="R31" s="1343"/>
      <c r="S31" s="1343"/>
      <c r="T31" s="1343"/>
      <c r="U31" s="1344"/>
    </row>
    <row r="32" spans="7:21">
      <c r="O32" s="987"/>
      <c r="P32" s="988"/>
      <c r="Q32" s="988"/>
      <c r="R32" s="988"/>
      <c r="S32" s="988"/>
      <c r="T32" s="988"/>
      <c r="U32" s="989"/>
    </row>
    <row r="33" spans="8:21">
      <c r="O33" s="240" t="s">
        <v>1225</v>
      </c>
      <c r="P33" s="1197" t="s">
        <v>157</v>
      </c>
      <c r="Q33" s="1184" t="s">
        <v>158</v>
      </c>
      <c r="R33" s="1197" t="s">
        <v>159</v>
      </c>
      <c r="S33" s="1197" t="s">
        <v>160</v>
      </c>
      <c r="T33" s="1197" t="s">
        <v>161</v>
      </c>
      <c r="U33" s="1194" t="s">
        <v>1212</v>
      </c>
    </row>
    <row r="34" spans="8:21" ht="30.75" customHeight="1">
      <c r="H34" s="34"/>
      <c r="I34" s="34"/>
      <c r="J34" s="34"/>
      <c r="K34" s="34"/>
      <c r="L34" s="34"/>
      <c r="O34" s="88" t="s">
        <v>1214</v>
      </c>
      <c r="P34" s="952"/>
      <c r="Q34" s="1335" t="s">
        <v>1226</v>
      </c>
      <c r="R34" s="34">
        <f t="shared" ref="R34:U41" si="5">IF(P$31*$E6&gt;$C6,0,$E6*$I6)</f>
        <v>22666.666666666668</v>
      </c>
      <c r="S34" s="34">
        <f t="shared" si="5"/>
        <v>22666.666666666668</v>
      </c>
      <c r="T34" s="34">
        <f t="shared" si="5"/>
        <v>22666.666666666668</v>
      </c>
      <c r="U34" s="123">
        <f t="shared" si="5"/>
        <v>22666.666666666668</v>
      </c>
    </row>
    <row r="35" spans="8:21" ht="15" customHeight="1">
      <c r="H35" s="34"/>
      <c r="I35" s="34"/>
      <c r="J35" s="34"/>
      <c r="K35" s="34"/>
      <c r="L35" s="34"/>
      <c r="O35" s="127" t="s">
        <v>1215</v>
      </c>
      <c r="P35" s="952"/>
      <c r="Q35" s="1336"/>
      <c r="R35" s="34">
        <f t="shared" si="5"/>
        <v>0</v>
      </c>
      <c r="S35" s="34">
        <f t="shared" si="5"/>
        <v>0</v>
      </c>
      <c r="T35" s="34">
        <f t="shared" si="5"/>
        <v>0</v>
      </c>
      <c r="U35" s="123">
        <f t="shared" si="5"/>
        <v>0</v>
      </c>
    </row>
    <row r="36" spans="8:21">
      <c r="H36" s="34"/>
      <c r="I36" s="34"/>
      <c r="J36" s="34"/>
      <c r="K36" s="34"/>
      <c r="L36" s="34"/>
      <c r="O36" s="127" t="s">
        <v>1216</v>
      </c>
      <c r="P36" s="952"/>
      <c r="Q36" s="1336"/>
      <c r="R36" s="34">
        <f t="shared" si="5"/>
        <v>500</v>
      </c>
      <c r="S36" s="34">
        <f t="shared" si="5"/>
        <v>500</v>
      </c>
      <c r="T36" s="34">
        <f t="shared" si="5"/>
        <v>500</v>
      </c>
      <c r="U36" s="123">
        <f t="shared" si="5"/>
        <v>500</v>
      </c>
    </row>
    <row r="37" spans="8:21">
      <c r="H37" s="34"/>
      <c r="I37" s="34"/>
      <c r="J37" s="34"/>
      <c r="K37" s="34"/>
      <c r="L37" s="34"/>
      <c r="O37" s="127" t="s">
        <v>1217</v>
      </c>
      <c r="P37" s="952"/>
      <c r="Q37" s="1336"/>
      <c r="R37" s="34">
        <f t="shared" si="5"/>
        <v>0</v>
      </c>
      <c r="S37" s="34">
        <f t="shared" si="5"/>
        <v>0</v>
      </c>
      <c r="T37" s="34">
        <f t="shared" si="5"/>
        <v>0</v>
      </c>
      <c r="U37" s="123">
        <f t="shared" si="5"/>
        <v>0</v>
      </c>
    </row>
    <row r="38" spans="8:21">
      <c r="H38" s="34"/>
      <c r="I38" s="34"/>
      <c r="J38" s="34"/>
      <c r="K38" s="34"/>
      <c r="L38" s="34"/>
      <c r="O38" s="127" t="s">
        <v>734</v>
      </c>
      <c r="P38" s="952"/>
      <c r="Q38" s="1336"/>
      <c r="R38" s="34">
        <f t="shared" si="5"/>
        <v>500</v>
      </c>
      <c r="S38" s="34">
        <f t="shared" si="5"/>
        <v>500</v>
      </c>
      <c r="T38" s="34">
        <f t="shared" si="5"/>
        <v>500</v>
      </c>
      <c r="U38" s="123">
        <f t="shared" si="5"/>
        <v>500</v>
      </c>
    </row>
    <row r="39" spans="8:21">
      <c r="H39" s="34"/>
      <c r="I39" s="34"/>
      <c r="J39" s="34"/>
      <c r="K39" s="34"/>
      <c r="L39" s="34"/>
      <c r="O39" s="127" t="s">
        <v>1218</v>
      </c>
      <c r="P39" s="952"/>
      <c r="Q39" s="1336"/>
      <c r="R39" s="34">
        <f t="shared" si="5"/>
        <v>0</v>
      </c>
      <c r="S39" s="34">
        <f t="shared" si="5"/>
        <v>0</v>
      </c>
      <c r="T39" s="34">
        <f t="shared" si="5"/>
        <v>0</v>
      </c>
      <c r="U39" s="123">
        <f t="shared" si="5"/>
        <v>0</v>
      </c>
    </row>
    <row r="40" spans="8:21">
      <c r="H40" s="34"/>
      <c r="I40" s="34"/>
      <c r="J40" s="34"/>
      <c r="K40" s="34"/>
      <c r="L40" s="34"/>
      <c r="O40" s="127" t="s">
        <v>453</v>
      </c>
      <c r="P40" s="952"/>
      <c r="Q40" s="1336"/>
      <c r="R40" s="34">
        <f t="shared" si="5"/>
        <v>0</v>
      </c>
      <c r="S40" s="34">
        <f t="shared" si="5"/>
        <v>0</v>
      </c>
      <c r="T40" s="34">
        <f t="shared" si="5"/>
        <v>0</v>
      </c>
      <c r="U40" s="123">
        <f t="shared" si="5"/>
        <v>0</v>
      </c>
    </row>
    <row r="41" spans="8:21">
      <c r="H41" s="34"/>
      <c r="I41" s="34"/>
      <c r="J41" s="34"/>
      <c r="K41" s="34"/>
      <c r="L41" s="34"/>
      <c r="O41" s="127" t="s">
        <v>1219</v>
      </c>
      <c r="P41" s="952"/>
      <c r="Q41" s="1337"/>
      <c r="R41" s="34">
        <f t="shared" si="5"/>
        <v>0</v>
      </c>
      <c r="S41" s="34">
        <f t="shared" si="5"/>
        <v>0</v>
      </c>
      <c r="T41" s="34">
        <f t="shared" si="5"/>
        <v>0</v>
      </c>
      <c r="U41" s="123">
        <f t="shared" si="5"/>
        <v>0</v>
      </c>
    </row>
    <row r="42" spans="8:21">
      <c r="H42" s="34"/>
      <c r="I42" s="34"/>
      <c r="J42" s="34"/>
      <c r="K42" s="34"/>
      <c r="L42" s="34"/>
      <c r="O42" s="724" t="s">
        <v>183</v>
      </c>
      <c r="P42" s="923">
        <f t="shared" ref="P42:U42" si="6">SUM(P34:P41)</f>
        <v>0</v>
      </c>
      <c r="Q42" s="923">
        <f t="shared" si="6"/>
        <v>0</v>
      </c>
      <c r="R42" s="923">
        <f t="shared" si="6"/>
        <v>23666.666666666668</v>
      </c>
      <c r="S42" s="923">
        <f t="shared" si="6"/>
        <v>23666.666666666668</v>
      </c>
      <c r="T42" s="923">
        <f t="shared" si="6"/>
        <v>23666.666666666668</v>
      </c>
      <c r="U42" s="308">
        <f t="shared" si="6"/>
        <v>23666.666666666668</v>
      </c>
    </row>
    <row r="43" spans="8:21">
      <c r="O43" s="44"/>
      <c r="P43" s="967">
        <v>0</v>
      </c>
      <c r="Q43" s="967">
        <v>1</v>
      </c>
      <c r="R43" s="967">
        <v>2</v>
      </c>
      <c r="S43" s="967">
        <v>3</v>
      </c>
      <c r="U43" s="50"/>
    </row>
    <row r="44" spans="8:21">
      <c r="O44" s="240" t="s">
        <v>1227</v>
      </c>
      <c r="P44" s="1197" t="s">
        <v>157</v>
      </c>
      <c r="Q44" s="1197" t="s">
        <v>158</v>
      </c>
      <c r="R44" s="1184" t="s">
        <v>159</v>
      </c>
      <c r="S44" s="1197" t="s">
        <v>160</v>
      </c>
      <c r="T44" s="1197" t="s">
        <v>161</v>
      </c>
      <c r="U44" s="1194" t="s">
        <v>1212</v>
      </c>
    </row>
    <row r="45" spans="8:21" ht="30.75" customHeight="1">
      <c r="O45" s="88" t="s">
        <v>1214</v>
      </c>
      <c r="P45" s="952"/>
      <c r="Q45" s="952"/>
      <c r="R45" s="1335" t="s">
        <v>1226</v>
      </c>
      <c r="S45" s="34">
        <f t="shared" ref="S45:U52" si="7">IF(Q$43*$E6&gt;$C6,0,$E6*$J6)</f>
        <v>11333.333333333334</v>
      </c>
      <c r="T45" s="34">
        <f t="shared" si="7"/>
        <v>11333.333333333334</v>
      </c>
      <c r="U45" s="123">
        <f t="shared" si="7"/>
        <v>11333.333333333334</v>
      </c>
    </row>
    <row r="46" spans="8:21" ht="15" customHeight="1">
      <c r="O46" s="127" t="s">
        <v>1215</v>
      </c>
      <c r="P46" s="952"/>
      <c r="Q46" s="952"/>
      <c r="R46" s="1336"/>
      <c r="S46" s="34">
        <f t="shared" si="7"/>
        <v>50000</v>
      </c>
      <c r="T46" s="34">
        <f t="shared" si="7"/>
        <v>50000</v>
      </c>
      <c r="U46" s="123">
        <f t="shared" si="7"/>
        <v>50000</v>
      </c>
    </row>
    <row r="47" spans="8:21">
      <c r="O47" s="127" t="s">
        <v>1216</v>
      </c>
      <c r="P47" s="952"/>
      <c r="Q47" s="952"/>
      <c r="R47" s="1336"/>
      <c r="S47" s="34">
        <f t="shared" si="7"/>
        <v>500</v>
      </c>
      <c r="T47" s="34">
        <f t="shared" si="7"/>
        <v>500</v>
      </c>
      <c r="U47" s="123">
        <f t="shared" si="7"/>
        <v>500</v>
      </c>
    </row>
    <row r="48" spans="8:21">
      <c r="O48" s="127" t="s">
        <v>1217</v>
      </c>
      <c r="P48" s="952"/>
      <c r="Q48" s="952"/>
      <c r="R48" s="1336"/>
      <c r="S48" s="34">
        <f t="shared" si="7"/>
        <v>878.57142857142844</v>
      </c>
      <c r="T48" s="34">
        <f t="shared" si="7"/>
        <v>878.57142857142844</v>
      </c>
      <c r="U48" s="123">
        <f t="shared" si="7"/>
        <v>878.57142857142844</v>
      </c>
    </row>
    <row r="49" spans="15:21">
      <c r="O49" s="127" t="s">
        <v>734</v>
      </c>
      <c r="P49" s="952"/>
      <c r="Q49" s="952"/>
      <c r="R49" s="1336"/>
      <c r="S49" s="34">
        <f t="shared" si="7"/>
        <v>500</v>
      </c>
      <c r="T49" s="34">
        <f t="shared" si="7"/>
        <v>500</v>
      </c>
      <c r="U49" s="123">
        <f t="shared" si="7"/>
        <v>500</v>
      </c>
    </row>
    <row r="50" spans="15:21">
      <c r="O50" s="127" t="s">
        <v>1218</v>
      </c>
      <c r="P50" s="952"/>
      <c r="Q50" s="952"/>
      <c r="R50" s="1336"/>
      <c r="S50" s="34">
        <f t="shared" si="7"/>
        <v>333.33333333333331</v>
      </c>
      <c r="T50" s="34">
        <f t="shared" si="7"/>
        <v>333.33333333333331</v>
      </c>
      <c r="U50" s="123">
        <f t="shared" si="7"/>
        <v>333.33333333333331</v>
      </c>
    </row>
    <row r="51" spans="15:21">
      <c r="O51" s="127" t="s">
        <v>453</v>
      </c>
      <c r="P51" s="952"/>
      <c r="Q51" s="952"/>
      <c r="R51" s="1336"/>
      <c r="S51" s="34">
        <f t="shared" si="7"/>
        <v>150</v>
      </c>
      <c r="T51" s="34">
        <f t="shared" si="7"/>
        <v>150</v>
      </c>
      <c r="U51" s="123">
        <f t="shared" si="7"/>
        <v>150</v>
      </c>
    </row>
    <row r="52" spans="15:21">
      <c r="O52" s="127" t="s">
        <v>1219</v>
      </c>
      <c r="P52" s="952"/>
      <c r="Q52" s="952"/>
      <c r="R52" s="1337"/>
      <c r="S52" s="34">
        <f t="shared" si="7"/>
        <v>0</v>
      </c>
      <c r="T52" s="34">
        <f t="shared" si="7"/>
        <v>0</v>
      </c>
      <c r="U52" s="123">
        <f t="shared" si="7"/>
        <v>0</v>
      </c>
    </row>
    <row r="53" spans="15:21">
      <c r="O53" s="724" t="s">
        <v>183</v>
      </c>
      <c r="P53" s="923">
        <f t="shared" ref="P53:R53" si="8">SUM(P45:P52)</f>
        <v>0</v>
      </c>
      <c r="Q53" s="923">
        <f t="shared" si="8"/>
        <v>0</v>
      </c>
      <c r="R53" s="923">
        <f t="shared" si="8"/>
        <v>0</v>
      </c>
      <c r="S53" s="923">
        <f>SUM(S45:S52)</f>
        <v>63695.238095238099</v>
      </c>
      <c r="T53" s="923">
        <f>SUM(T45:T52)</f>
        <v>63695.238095238099</v>
      </c>
      <c r="U53" s="308">
        <f>SUM(U45:U52)</f>
        <v>63695.238095238099</v>
      </c>
    </row>
    <row r="54" spans="15:21">
      <c r="O54" s="44"/>
      <c r="R54" s="967">
        <v>0</v>
      </c>
      <c r="S54" s="967">
        <v>0</v>
      </c>
      <c r="T54" s="967">
        <v>1</v>
      </c>
      <c r="U54" s="986">
        <v>2</v>
      </c>
    </row>
    <row r="55" spans="15:21">
      <c r="O55" s="240" t="s">
        <v>1228</v>
      </c>
      <c r="P55" s="1197" t="s">
        <v>157</v>
      </c>
      <c r="Q55" s="1197" t="s">
        <v>158</v>
      </c>
      <c r="R55" s="1197" t="s">
        <v>159</v>
      </c>
      <c r="S55" s="1184" t="s">
        <v>160</v>
      </c>
      <c r="T55" s="1197" t="s">
        <v>161</v>
      </c>
      <c r="U55" s="1194" t="s">
        <v>1212</v>
      </c>
    </row>
    <row r="56" spans="15:21" ht="30.75" customHeight="1">
      <c r="O56" s="88" t="s">
        <v>1214</v>
      </c>
      <c r="P56" s="952"/>
      <c r="Q56" s="952"/>
      <c r="R56" s="952"/>
      <c r="S56" s="1335" t="s">
        <v>1226</v>
      </c>
      <c r="T56" s="34">
        <f t="shared" ref="T56:U63" si="9">IF(T$54*$E6&gt;$C6,0,$E6*$K6)</f>
        <v>11333.333333333334</v>
      </c>
      <c r="U56" s="123">
        <f t="shared" si="9"/>
        <v>11333.333333333334</v>
      </c>
    </row>
    <row r="57" spans="15:21" ht="15" customHeight="1">
      <c r="O57" s="127" t="s">
        <v>1215</v>
      </c>
      <c r="P57" s="952"/>
      <c r="Q57" s="952"/>
      <c r="R57" s="952"/>
      <c r="S57" s="1336"/>
      <c r="T57" s="34">
        <f t="shared" si="9"/>
        <v>0</v>
      </c>
      <c r="U57" s="123">
        <f t="shared" si="9"/>
        <v>0</v>
      </c>
    </row>
    <row r="58" spans="15:21">
      <c r="O58" s="127" t="s">
        <v>1216</v>
      </c>
      <c r="P58" s="952"/>
      <c r="Q58" s="952"/>
      <c r="R58" s="952"/>
      <c r="S58" s="1336"/>
      <c r="T58" s="34">
        <f t="shared" si="9"/>
        <v>500</v>
      </c>
      <c r="U58" s="123">
        <f t="shared" si="9"/>
        <v>500</v>
      </c>
    </row>
    <row r="59" spans="15:21">
      <c r="O59" s="127" t="s">
        <v>1217</v>
      </c>
      <c r="P59" s="952"/>
      <c r="Q59" s="952"/>
      <c r="R59" s="952"/>
      <c r="S59" s="1336"/>
      <c r="T59" s="34">
        <f t="shared" si="9"/>
        <v>878.57142857142844</v>
      </c>
      <c r="U59" s="123">
        <f t="shared" si="9"/>
        <v>878.57142857142844</v>
      </c>
    </row>
    <row r="60" spans="15:21">
      <c r="O60" s="127" t="s">
        <v>734</v>
      </c>
      <c r="P60" s="952"/>
      <c r="Q60" s="952"/>
      <c r="R60" s="952"/>
      <c r="S60" s="1336"/>
      <c r="T60" s="34">
        <f t="shared" si="9"/>
        <v>1000</v>
      </c>
      <c r="U60" s="123">
        <f t="shared" si="9"/>
        <v>1000</v>
      </c>
    </row>
    <row r="61" spans="15:21">
      <c r="O61" s="127" t="s">
        <v>1218</v>
      </c>
      <c r="P61" s="952"/>
      <c r="Q61" s="952"/>
      <c r="R61" s="952"/>
      <c r="S61" s="1336"/>
      <c r="T61" s="34">
        <f t="shared" si="9"/>
        <v>333.33333333333331</v>
      </c>
      <c r="U61" s="123">
        <f t="shared" si="9"/>
        <v>333.33333333333331</v>
      </c>
    </row>
    <row r="62" spans="15:21">
      <c r="O62" s="127" t="s">
        <v>453</v>
      </c>
      <c r="P62" s="952"/>
      <c r="Q62" s="952"/>
      <c r="R62" s="952"/>
      <c r="S62" s="1336"/>
      <c r="T62" s="34">
        <f t="shared" si="9"/>
        <v>0</v>
      </c>
      <c r="U62" s="123">
        <f t="shared" si="9"/>
        <v>0</v>
      </c>
    </row>
    <row r="63" spans="15:21">
      <c r="O63" s="127" t="s">
        <v>1219</v>
      </c>
      <c r="P63" s="952"/>
      <c r="Q63" s="952"/>
      <c r="R63" s="952"/>
      <c r="S63" s="1337"/>
      <c r="T63" s="34">
        <f t="shared" si="9"/>
        <v>0</v>
      </c>
      <c r="U63" s="123">
        <f t="shared" si="9"/>
        <v>0</v>
      </c>
    </row>
    <row r="64" spans="15:21">
      <c r="O64" s="724" t="s">
        <v>183</v>
      </c>
      <c r="P64" s="308">
        <f t="shared" ref="P64:T64" si="10">SUM(P56:P63)</f>
        <v>0</v>
      </c>
      <c r="Q64" s="308">
        <f t="shared" si="10"/>
        <v>0</v>
      </c>
      <c r="R64" s="308">
        <f t="shared" si="10"/>
        <v>0</v>
      </c>
      <c r="S64" s="308">
        <f t="shared" si="10"/>
        <v>0</v>
      </c>
      <c r="T64" s="308">
        <f t="shared" si="10"/>
        <v>14045.238095238097</v>
      </c>
      <c r="U64" s="308">
        <f>SUM(U56:U63)</f>
        <v>14045.238095238097</v>
      </c>
    </row>
    <row r="65" spans="15:21">
      <c r="O65" s="44"/>
      <c r="R65" s="967">
        <v>0</v>
      </c>
      <c r="S65" s="967">
        <v>0</v>
      </c>
      <c r="T65" s="967">
        <v>0</v>
      </c>
      <c r="U65" s="986">
        <v>1</v>
      </c>
    </row>
    <row r="66" spans="15:21">
      <c r="O66" s="240" t="s">
        <v>1229</v>
      </c>
      <c r="P66" s="1184" t="s">
        <v>157</v>
      </c>
      <c r="Q66" s="1184" t="s">
        <v>158</v>
      </c>
      <c r="R66" s="1184" t="s">
        <v>159</v>
      </c>
      <c r="S66" s="1184" t="s">
        <v>160</v>
      </c>
      <c r="T66" s="1184" t="s">
        <v>161</v>
      </c>
      <c r="U66" s="1194" t="s">
        <v>1212</v>
      </c>
    </row>
    <row r="67" spans="15:21" ht="30.75" customHeight="1">
      <c r="O67" s="49" t="s">
        <v>1214</v>
      </c>
      <c r="P67" s="1047"/>
      <c r="Q67" s="1048"/>
      <c r="R67" s="1048"/>
      <c r="S67" s="1049"/>
      <c r="T67" s="1338" t="s">
        <v>1226</v>
      </c>
      <c r="U67" s="123">
        <f t="shared" ref="U67:U74" si="11">IF(U$65*$E6&gt;$C6,0,$E6*$L6)</f>
        <v>22666.666666666668</v>
      </c>
    </row>
    <row r="68" spans="15:21" ht="15" customHeight="1">
      <c r="O68" s="44" t="s">
        <v>1215</v>
      </c>
      <c r="P68" s="490"/>
      <c r="Q68" s="952"/>
      <c r="R68" s="952"/>
      <c r="S68" s="953"/>
      <c r="T68" s="1339"/>
      <c r="U68" s="123">
        <f t="shared" si="11"/>
        <v>100000</v>
      </c>
    </row>
    <row r="69" spans="15:21">
      <c r="O69" s="44" t="s">
        <v>1216</v>
      </c>
      <c r="P69" s="490"/>
      <c r="Q69" s="952"/>
      <c r="R69" s="952"/>
      <c r="S69" s="953"/>
      <c r="T69" s="1339"/>
      <c r="U69" s="123">
        <f t="shared" si="11"/>
        <v>500</v>
      </c>
    </row>
    <row r="70" spans="15:21">
      <c r="O70" s="44" t="s">
        <v>1217</v>
      </c>
      <c r="P70" s="490"/>
      <c r="Q70" s="952"/>
      <c r="R70" s="952"/>
      <c r="S70" s="953"/>
      <c r="T70" s="1339"/>
      <c r="U70" s="123">
        <f t="shared" si="11"/>
        <v>878.57142857142844</v>
      </c>
    </row>
    <row r="71" spans="15:21">
      <c r="O71" s="44" t="s">
        <v>734</v>
      </c>
      <c r="P71" s="490"/>
      <c r="Q71" s="952"/>
      <c r="R71" s="952"/>
      <c r="S71" s="953"/>
      <c r="T71" s="1339"/>
      <c r="U71" s="123">
        <f t="shared" si="11"/>
        <v>500</v>
      </c>
    </row>
    <row r="72" spans="15:21">
      <c r="O72" s="44" t="s">
        <v>1218</v>
      </c>
      <c r="P72" s="490"/>
      <c r="Q72" s="952"/>
      <c r="R72" s="952"/>
      <c r="S72" s="953"/>
      <c r="T72" s="1339"/>
      <c r="U72" s="123">
        <f t="shared" si="11"/>
        <v>333.33333333333331</v>
      </c>
    </row>
    <row r="73" spans="15:21">
      <c r="O73" s="44" t="s">
        <v>453</v>
      </c>
      <c r="P73" s="490"/>
      <c r="Q73" s="952"/>
      <c r="R73" s="952"/>
      <c r="S73" s="953"/>
      <c r="T73" s="1339"/>
      <c r="U73" s="123">
        <f t="shared" si="11"/>
        <v>150</v>
      </c>
    </row>
    <row r="74" spans="15:21">
      <c r="O74" s="44" t="s">
        <v>1219</v>
      </c>
      <c r="P74" s="491"/>
      <c r="Q74" s="950"/>
      <c r="R74" s="950"/>
      <c r="S74" s="951"/>
      <c r="T74" s="1340"/>
      <c r="U74" s="123">
        <f t="shared" si="11"/>
        <v>0</v>
      </c>
    </row>
    <row r="75" spans="15:21">
      <c r="O75" s="724" t="s">
        <v>183</v>
      </c>
      <c r="P75" s="977">
        <f t="shared" ref="P75:S75" si="12">SUM(P67:P74)</f>
        <v>0</v>
      </c>
      <c r="Q75" s="977">
        <f t="shared" si="12"/>
        <v>0</v>
      </c>
      <c r="R75" s="977">
        <f t="shared" si="12"/>
        <v>0</v>
      </c>
      <c r="S75" s="977">
        <f t="shared" si="12"/>
        <v>0</v>
      </c>
      <c r="T75" s="977">
        <f>SUM(T67:T74)</f>
        <v>0</v>
      </c>
      <c r="U75" s="308">
        <f>SUM(U67:U74)</f>
        <v>125028.57142857143</v>
      </c>
    </row>
  </sheetData>
  <mergeCells count="5">
    <mergeCell ref="Q34:Q41"/>
    <mergeCell ref="R45:R52"/>
    <mergeCell ref="S56:S63"/>
    <mergeCell ref="T67:T74"/>
    <mergeCell ref="O30:U31"/>
  </mergeCells>
  <hyperlinks>
    <hyperlink ref="A2" location="'Index'!A1" display="Back to Index" xr:uid="{7E821E2D-B5CE-4825-B783-B72E60C3757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58BC-E87F-4BC7-BC07-A3745B6EBBD4}">
  <sheetPr>
    <tabColor rgb="FF00B050"/>
  </sheetPr>
  <dimension ref="A1:I22"/>
  <sheetViews>
    <sheetView workbookViewId="0">
      <selection activeCell="A2" sqref="A2:XFD2"/>
    </sheetView>
  </sheetViews>
  <sheetFormatPr defaultRowHeight="14.4"/>
  <cols>
    <col min="3" max="3" width="9.6640625" customWidth="1"/>
    <col min="4" max="4" width="13.5546875" bestFit="1" customWidth="1"/>
    <col min="5" max="5" width="14.88671875" bestFit="1" customWidth="1"/>
    <col min="6" max="8" width="13.5546875" bestFit="1" customWidth="1"/>
    <col min="9" max="9" width="11.44140625" customWidth="1"/>
  </cols>
  <sheetData>
    <row r="1" spans="1:9" ht="28.8">
      <c r="A1" s="1" t="s">
        <v>1230</v>
      </c>
    </row>
    <row r="2" spans="1:9">
      <c r="A2" s="284" t="s">
        <v>32</v>
      </c>
    </row>
    <row r="4" spans="1:9">
      <c r="B4" s="74"/>
      <c r="C4" s="75"/>
      <c r="D4" s="75" t="s">
        <v>176</v>
      </c>
      <c r="E4" s="75" t="s">
        <v>157</v>
      </c>
      <c r="F4" s="75" t="s">
        <v>158</v>
      </c>
      <c r="G4" s="75" t="s">
        <v>159</v>
      </c>
      <c r="H4" s="75" t="s">
        <v>160</v>
      </c>
      <c r="I4" s="76" t="s">
        <v>161</v>
      </c>
    </row>
    <row r="5" spans="1:9">
      <c r="B5" s="44" t="s">
        <v>1231</v>
      </c>
      <c r="E5" s="40">
        <f>'FE Assumptions'!C27*'FE Assumptions'!C35</f>
        <v>1779401.0800915335</v>
      </c>
      <c r="F5" s="40">
        <f>'FE Assumptions'!D27*'FE Assumptions'!D35</f>
        <v>2606413.9272655789</v>
      </c>
      <c r="G5" s="40">
        <f>'FE Assumptions'!E27*'FE Assumptions'!E35</f>
        <v>2687571.4832404163</v>
      </c>
      <c r="H5" s="40">
        <f>'FE Assumptions'!F27*'FE Assumptions'!F35</f>
        <v>2923317.532451719</v>
      </c>
      <c r="I5" s="84">
        <f>'FE Assumptions'!G27*'FE Assumptions'!G35</f>
        <v>3158640.861339659</v>
      </c>
    </row>
    <row r="6" spans="1:9">
      <c r="B6" s="44" t="s">
        <v>1232</v>
      </c>
      <c r="E6" s="40">
        <f>'FE Assumptions'!C34*'FE Assumptions'!C26</f>
        <v>282412.51990846684</v>
      </c>
      <c r="F6" s="40">
        <f>'FE Assumptions'!D34*'FE Assumptions'!D26+'FE Assumptions'!D28*'FE Assumptions'!D36</f>
        <v>1041516.5880283075</v>
      </c>
      <c r="G6" s="40">
        <f>'FE Assumptions'!E34*'FE Assumptions'!E26+'FE Assumptions'!E28*'FE Assumptions'!E36+'FE Assumptions'!E29*'FE Assumptions'!E37</f>
        <v>2012417.0617574558</v>
      </c>
      <c r="H6" s="40">
        <f>'FE Assumptions'!F34*'FE Assumptions'!F26+'FE Assumptions'!F28*'FE Assumptions'!F36+'FE Assumptions'!F29*'FE Assumptions'!F37+'FE Assumptions'!F30*'FE Assumptions'!F38</f>
        <v>3008680.7107509896</v>
      </c>
      <c r="I6" s="84">
        <f>'FE Assumptions'!G34*'FE Assumptions'!G26+'FE Assumptions'!G28*'FE Assumptions'!G36+'FE Assumptions'!G29*'FE Assumptions'!G37+'FE Assumptions'!G30*'FE Assumptions'!G38</f>
        <v>4828777.5030036969</v>
      </c>
    </row>
    <row r="7" spans="1:9">
      <c r="B7" s="44" t="s">
        <v>1233</v>
      </c>
      <c r="E7" s="40">
        <f>SUM(E5:E6)</f>
        <v>2061813.6000000003</v>
      </c>
      <c r="F7" s="40">
        <f t="shared" ref="F7:I7" si="0">SUM(F5:F6)</f>
        <v>3647930.5152938864</v>
      </c>
      <c r="G7" s="40">
        <f t="shared" si="0"/>
        <v>4699988.5449978719</v>
      </c>
      <c r="H7" s="40">
        <f t="shared" si="0"/>
        <v>5931998.2432027087</v>
      </c>
      <c r="I7" s="84">
        <f t="shared" si="0"/>
        <v>7987418.3643433563</v>
      </c>
    </row>
    <row r="8" spans="1:9">
      <c r="B8" s="44" t="s">
        <v>1234</v>
      </c>
      <c r="E8" s="40">
        <f>('FE Balance Sheet'!B35/365)*'AR&amp;AP Calculations '!E5</f>
        <v>24375.357261527854</v>
      </c>
      <c r="F8" s="40">
        <f>('FE Balance Sheet'!C35/365)*'AR&amp;AP Calculations '!F5</f>
        <v>35704.300373501079</v>
      </c>
      <c r="G8" s="40">
        <f>('FE Balance Sheet'!D35/365)*'AR&amp;AP Calculations '!G5</f>
        <v>36816.047715622139</v>
      </c>
      <c r="H8" s="40">
        <f>('FE Balance Sheet'!E35/365)*'AR&amp;AP Calculations '!H5</f>
        <v>40045.445650023546</v>
      </c>
      <c r="I8" s="84">
        <f>('FE Balance Sheet'!F35/365)*'AR&amp;AP Calculations '!I5</f>
        <v>43269.052895063818</v>
      </c>
    </row>
    <row r="9" spans="1:9">
      <c r="B9" s="44" t="s">
        <v>1235</v>
      </c>
      <c r="E9" s="40">
        <f>('FE Balance Sheet'!C36/365)*E6</f>
        <v>34817.98190652331</v>
      </c>
      <c r="F9" s="40">
        <f>('FE Balance Sheet'!D36/365)*F6</f>
        <v>128406.15468842148</v>
      </c>
      <c r="G9" s="40">
        <f>('FE Balance Sheet'!E36/365)*G6</f>
        <v>248106.21309338495</v>
      </c>
      <c r="H9" s="40">
        <f>('FE Balance Sheet'!F36/365)*H6</f>
        <v>370933.23831176583</v>
      </c>
      <c r="I9" s="84">
        <f>('FE Balance Sheet'!G36/365)*I6</f>
        <v>595328.73324703111</v>
      </c>
    </row>
    <row r="10" spans="1:9">
      <c r="B10" s="44"/>
      <c r="C10" t="s">
        <v>1236</v>
      </c>
      <c r="E10">
        <f t="shared" ref="E10:I11" si="1">E8/E5*365</f>
        <v>5</v>
      </c>
      <c r="F10">
        <f t="shared" si="1"/>
        <v>5</v>
      </c>
      <c r="G10">
        <f t="shared" si="1"/>
        <v>5</v>
      </c>
      <c r="H10">
        <f t="shared" si="1"/>
        <v>5</v>
      </c>
      <c r="I10" s="50">
        <f t="shared" si="1"/>
        <v>5</v>
      </c>
    </row>
    <row r="11" spans="1:9">
      <c r="B11" s="44"/>
      <c r="C11" t="s">
        <v>1237</v>
      </c>
      <c r="E11">
        <f t="shared" si="1"/>
        <v>45</v>
      </c>
      <c r="F11">
        <f t="shared" si="1"/>
        <v>45</v>
      </c>
      <c r="G11">
        <f t="shared" si="1"/>
        <v>45</v>
      </c>
      <c r="H11">
        <f t="shared" si="1"/>
        <v>45</v>
      </c>
      <c r="I11" s="50">
        <f t="shared" si="1"/>
        <v>45</v>
      </c>
    </row>
    <row r="12" spans="1:9">
      <c r="B12" s="44" t="s">
        <v>1238</v>
      </c>
      <c r="E12" s="24">
        <f>((E6/E7)*E11)+((E5/E7)*E10)</f>
        <v>10.478914677999345</v>
      </c>
      <c r="F12" s="24">
        <f t="shared" ref="F12:I12" si="2">((F6/F7)*F11)+((F5/F7)*F10)</f>
        <v>16.420355554051998</v>
      </c>
      <c r="G12" s="24">
        <f t="shared" si="2"/>
        <v>22.126995459588866</v>
      </c>
      <c r="H12" s="24">
        <f t="shared" si="2"/>
        <v>25.287805811126415</v>
      </c>
      <c r="I12" s="659">
        <f t="shared" si="2"/>
        <v>29.181918526065186</v>
      </c>
    </row>
    <row r="13" spans="1:9">
      <c r="B13" s="44" t="s">
        <v>1239</v>
      </c>
      <c r="E13" s="40">
        <f>E9+E8</f>
        <v>59193.339168051163</v>
      </c>
      <c r="F13" s="40">
        <f>F9+F8</f>
        <v>164110.45506192255</v>
      </c>
      <c r="G13" s="40">
        <f>G9+G8</f>
        <v>284922.2608090071</v>
      </c>
      <c r="H13" s="40">
        <f>H9+H8</f>
        <v>410978.68396178936</v>
      </c>
      <c r="I13" s="84">
        <f>I9+I8</f>
        <v>638597.78614209488</v>
      </c>
    </row>
    <row r="14" spans="1:9">
      <c r="B14" s="44"/>
      <c r="I14" s="50"/>
    </row>
    <row r="15" spans="1:9">
      <c r="B15" s="44" t="s">
        <v>1240</v>
      </c>
      <c r="E15" s="40">
        <f>E17-E16</f>
        <v>802096.46920000005</v>
      </c>
      <c r="F15" s="40">
        <f>F17-F16</f>
        <v>1238257.0434849102</v>
      </c>
      <c r="G15" s="40">
        <f>G17-G16</f>
        <v>1575734.7902900064</v>
      </c>
      <c r="H15" s="40">
        <f>H17-H16</f>
        <v>2011754.2824043748</v>
      </c>
      <c r="I15" s="84">
        <f>I17-I16</f>
        <v>2602517.8960524853</v>
      </c>
    </row>
    <row r="16" spans="1:9">
      <c r="B16" s="44" t="s">
        <v>1241</v>
      </c>
      <c r="E16" s="40">
        <f>SUM('Bill of Materials'!K$9,'Bill of Materials'!K$10,'Bill of Materials'!K$12,'Bill of Materials'!K$13)*'BASES Model'!C16</f>
        <v>57272.600000000006</v>
      </c>
      <c r="F16" s="40">
        <f>SUM('Bill of Materials'!$K$9,'Bill of Materials'!$K$11,'Bill of Materials'!$K$12,'Bill of Materials'!$K$13)*'BASES Model'!D16</f>
        <v>99608.616800000018</v>
      </c>
      <c r="G16" s="40">
        <f>SUM('Bill of Materials'!$K$9,'Bill of Materials'!$K$11,'Bill of Materials'!$K$12,'Bill of Materials'!$K$13)*'BASES Model'!E16</f>
        <v>132007.9376</v>
      </c>
      <c r="H16" s="40">
        <f>SUM('Bill of Materials'!$K$9,'Bill of Materials'!$K$11,'Bill of Materials'!$K$12,'Bill of Materials'!$K$13)*'BASES Model'!F16</f>
        <v>173983.90240000002</v>
      </c>
      <c r="I16" s="84">
        <f>SUM('Bill of Materials'!$K$9,'Bill of Materials'!$K$11,'Bill of Materials'!$K$12,'Bill of Materials'!$K$13)*'BASES Model'!G16</f>
        <v>236446.24080000003</v>
      </c>
    </row>
    <row r="17" spans="2:9">
      <c r="B17" s="44" t="s">
        <v>647</v>
      </c>
      <c r="E17" s="40" cm="1">
        <f t="array" ref="E17:I17">'FE Income Statement'!C10:G10</f>
        <v>859369.06920000003</v>
      </c>
      <c r="F17" s="40">
        <v>1337865.6602849101</v>
      </c>
      <c r="G17" s="40">
        <v>1707742.7278900065</v>
      </c>
      <c r="H17" s="40">
        <v>2185738.1848043748</v>
      </c>
      <c r="I17" s="84">
        <v>2838964.1368524851</v>
      </c>
    </row>
    <row r="18" spans="2:9">
      <c r="B18" s="44" t="s">
        <v>1242</v>
      </c>
      <c r="E18">
        <f>'FE Balance Sheet'!B39/365*'AR&amp;AP Calculations '!E16</f>
        <v>0</v>
      </c>
      <c r="F18">
        <f>'FE Balance Sheet'!C39/365*'AR&amp;AP Calculations '!F16</f>
        <v>0</v>
      </c>
      <c r="G18">
        <f>'FE Balance Sheet'!D39/365*'AR&amp;AP Calculations '!G16</f>
        <v>0</v>
      </c>
      <c r="H18">
        <f>'FE Balance Sheet'!E39/365*'AR&amp;AP Calculations '!H16</f>
        <v>0</v>
      </c>
      <c r="I18" s="50">
        <f>'FE Balance Sheet'!F39/365*'AR&amp;AP Calculations '!I16</f>
        <v>0</v>
      </c>
    </row>
    <row r="19" spans="2:9">
      <c r="B19" s="44" t="s">
        <v>1243</v>
      </c>
      <c r="D19" s="1138">
        <f>E19*0.2</f>
        <v>13185.14743890411</v>
      </c>
      <c r="E19" s="40">
        <f>'FE Balance Sheet'!B38/365*'AR&amp;AP Calculations '!E15</f>
        <v>65925.737194520552</v>
      </c>
      <c r="F19" s="40">
        <f>'FE Balance Sheet'!C38/365*'AR&amp;AP Calculations '!F15</f>
        <v>101774.55151930767</v>
      </c>
      <c r="G19" s="40">
        <f>'FE Balance Sheet'!D38/365*'AR&amp;AP Calculations '!G15</f>
        <v>129512.44851698683</v>
      </c>
      <c r="H19" s="40">
        <f>'FE Balance Sheet'!E38/365*'AR&amp;AP Calculations '!H15</f>
        <v>165349.66704693492</v>
      </c>
      <c r="I19" s="84">
        <f>'FE Balance Sheet'!F38/365*'AR&amp;AP Calculations '!I15</f>
        <v>213905.58049746454</v>
      </c>
    </row>
    <row r="20" spans="2:9">
      <c r="B20" s="44"/>
      <c r="C20" t="s">
        <v>1237</v>
      </c>
      <c r="E20">
        <f>E19/E15*365</f>
        <v>30</v>
      </c>
      <c r="F20">
        <f t="shared" ref="F20:I20" si="3">F19/F15*365</f>
        <v>30</v>
      </c>
      <c r="G20">
        <f t="shared" si="3"/>
        <v>30</v>
      </c>
      <c r="H20">
        <f t="shared" si="3"/>
        <v>30</v>
      </c>
      <c r="I20" s="50">
        <f t="shared" si="3"/>
        <v>30</v>
      </c>
    </row>
    <row r="21" spans="2:9">
      <c r="B21" s="44"/>
      <c r="C21" t="s">
        <v>1237</v>
      </c>
      <c r="E21" s="40">
        <f>E18/E16*365</f>
        <v>0</v>
      </c>
      <c r="F21" s="40">
        <f t="shared" ref="F21:I21" si="4">F18/F16*365</f>
        <v>0</v>
      </c>
      <c r="G21" s="40">
        <f t="shared" si="4"/>
        <v>0</v>
      </c>
      <c r="H21" s="40">
        <f t="shared" si="4"/>
        <v>0</v>
      </c>
      <c r="I21" s="84">
        <f t="shared" si="4"/>
        <v>0</v>
      </c>
    </row>
    <row r="22" spans="2:9">
      <c r="B22" s="51" t="s">
        <v>1244</v>
      </c>
      <c r="C22" s="35"/>
      <c r="D22" s="35"/>
      <c r="E22" s="237">
        <f>((E15/E17)*E20)+((E16/E17)*E18)</f>
        <v>28.000651801909186</v>
      </c>
      <c r="F22" s="237">
        <f>((F15/F17)*F20)+((F16/F17)*F18)</f>
        <v>27.766398680594268</v>
      </c>
      <c r="G22" s="237">
        <f>((G15/G17)*G20)+((G16/G17)*G18)</f>
        <v>27.681010105724148</v>
      </c>
      <c r="H22" s="237">
        <f>((H15/H17)*H20)+((H16/H17)*H18)</f>
        <v>27.612011764132149</v>
      </c>
      <c r="I22" s="671">
        <f>((I15/I17)*I20)+((I16/I17)*I18)</f>
        <v>27.501417107767935</v>
      </c>
    </row>
  </sheetData>
  <hyperlinks>
    <hyperlink ref="A2" location="'Index'!A1" display="Back to Index" xr:uid="{00DB101B-F391-4606-8991-2A855929EDC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2774-7858-4A52-82DA-DC6DC8E3013C}">
  <sheetPr>
    <tabColor rgb="FF00B050"/>
  </sheetPr>
  <dimension ref="A1:S141"/>
  <sheetViews>
    <sheetView zoomScale="64" workbookViewId="0">
      <selection activeCell="A14" sqref="A14"/>
    </sheetView>
  </sheetViews>
  <sheetFormatPr defaultRowHeight="14.4"/>
  <cols>
    <col min="3" max="3" width="25.33203125" bestFit="1" customWidth="1"/>
    <col min="4" max="4" width="9.88671875" bestFit="1" customWidth="1"/>
    <col min="5" max="5" width="20" bestFit="1" customWidth="1"/>
    <col min="6" max="6" width="11.44140625" bestFit="1" customWidth="1"/>
    <col min="7" max="7" width="15.33203125" bestFit="1" customWidth="1"/>
    <col min="8" max="8" width="13.5546875" bestFit="1" customWidth="1"/>
    <col min="9" max="9" width="15.33203125" customWidth="1"/>
    <col min="11" max="11" width="12.44140625" customWidth="1"/>
    <col min="12" max="12" width="19.6640625" bestFit="1" customWidth="1"/>
    <col min="13" max="13" width="25" customWidth="1"/>
    <col min="14" max="14" width="12.109375" customWidth="1"/>
  </cols>
  <sheetData>
    <row r="1" spans="1:14" ht="28.8">
      <c r="A1" s="1" t="s">
        <v>22</v>
      </c>
    </row>
    <row r="2" spans="1:14">
      <c r="A2" s="284" t="s">
        <v>32</v>
      </c>
    </row>
    <row r="3" spans="1:14">
      <c r="A3" s="284"/>
    </row>
    <row r="4" spans="1:14">
      <c r="C4" s="452" t="s">
        <v>1245</v>
      </c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4">
      <c r="C5" s="449" t="s">
        <v>1246</v>
      </c>
      <c r="D5" s="450"/>
      <c r="E5" s="449" t="s">
        <v>1247</v>
      </c>
      <c r="F5" s="450"/>
      <c r="G5" s="450"/>
      <c r="H5" s="450"/>
      <c r="I5" s="450"/>
      <c r="J5" s="450"/>
      <c r="K5" s="450"/>
      <c r="L5" s="450"/>
      <c r="M5" s="450"/>
      <c r="N5" s="451"/>
    </row>
    <row r="6" spans="1:14">
      <c r="C6" s="549" t="s">
        <v>1248</v>
      </c>
      <c r="D6" s="550" t="s">
        <v>1249</v>
      </c>
      <c r="E6" s="550" t="s">
        <v>1250</v>
      </c>
      <c r="F6" s="551" t="s">
        <v>1251</v>
      </c>
      <c r="G6" s="551" t="s">
        <v>1252</v>
      </c>
      <c r="H6" s="551" t="s">
        <v>1253</v>
      </c>
      <c r="I6" s="551" t="s">
        <v>1254</v>
      </c>
      <c r="J6" s="551" t="s">
        <v>1255</v>
      </c>
      <c r="K6" s="551" t="s">
        <v>1256</v>
      </c>
      <c r="L6" s="551" t="s">
        <v>1257</v>
      </c>
      <c r="M6" s="551" t="s">
        <v>1258</v>
      </c>
      <c r="N6" s="552" t="s">
        <v>1259</v>
      </c>
    </row>
    <row r="7" spans="1:14">
      <c r="C7" s="440" t="s">
        <v>1260</v>
      </c>
      <c r="D7" s="441" t="s">
        <v>1261</v>
      </c>
      <c r="E7" s="441" t="s">
        <v>1262</v>
      </c>
      <c r="F7" s="442">
        <v>15616.7</v>
      </c>
      <c r="G7" s="442">
        <v>6809.1</v>
      </c>
      <c r="H7" s="442">
        <v>12700</v>
      </c>
      <c r="I7" s="442">
        <v>1870</v>
      </c>
      <c r="J7" s="442">
        <v>1100</v>
      </c>
      <c r="K7" s="443">
        <v>609</v>
      </c>
      <c r="L7" s="444">
        <v>5.81</v>
      </c>
      <c r="M7" s="445">
        <v>9.86</v>
      </c>
      <c r="N7" s="446">
        <v>1.155</v>
      </c>
    </row>
    <row r="8" spans="1:14">
      <c r="C8" s="440" t="s">
        <v>1263</v>
      </c>
      <c r="D8" s="441" t="s">
        <v>1264</v>
      </c>
      <c r="E8" s="441" t="s">
        <v>1265</v>
      </c>
      <c r="F8" s="442">
        <v>8601</v>
      </c>
      <c r="G8" s="442">
        <v>4740.2</v>
      </c>
      <c r="H8" s="442">
        <v>6000</v>
      </c>
      <c r="I8" s="442">
        <v>864</v>
      </c>
      <c r="J8" s="442">
        <v>595</v>
      </c>
      <c r="K8" s="443">
        <v>325</v>
      </c>
      <c r="L8" s="444">
        <v>44.54</v>
      </c>
      <c r="M8" s="445">
        <v>13.38</v>
      </c>
      <c r="N8" s="446">
        <v>0.82499999999999996</v>
      </c>
    </row>
    <row r="9" spans="1:14">
      <c r="C9" s="440" t="s">
        <v>1266</v>
      </c>
      <c r="D9" s="441" t="s">
        <v>1267</v>
      </c>
      <c r="E9" s="441" t="s">
        <v>1268</v>
      </c>
      <c r="F9" s="442">
        <v>8149.9</v>
      </c>
      <c r="G9" s="442">
        <v>2945.7</v>
      </c>
      <c r="H9" s="442">
        <v>8100</v>
      </c>
      <c r="I9" s="442">
        <v>421</v>
      </c>
      <c r="J9" s="442">
        <v>-260</v>
      </c>
      <c r="K9" s="447">
        <v>-388</v>
      </c>
      <c r="L9" s="444">
        <v>7.11</v>
      </c>
      <c r="M9" s="445">
        <v>13.85</v>
      </c>
      <c r="N9" s="446">
        <v>1.3520000000000001</v>
      </c>
    </row>
    <row r="10" spans="1:14">
      <c r="C10" s="440" t="s">
        <v>1269</v>
      </c>
      <c r="D10" s="441" t="s">
        <v>1270</v>
      </c>
      <c r="E10" s="441" t="s">
        <v>1271</v>
      </c>
      <c r="F10" s="442">
        <v>3738.6</v>
      </c>
      <c r="G10" s="442">
        <v>2944.7</v>
      </c>
      <c r="H10" s="442">
        <v>2100</v>
      </c>
      <c r="I10" s="442">
        <v>272</v>
      </c>
      <c r="J10" s="442">
        <v>211</v>
      </c>
      <c r="K10" s="443">
        <v>140</v>
      </c>
      <c r="L10" s="444">
        <v>124</v>
      </c>
      <c r="M10" s="445">
        <v>17.61</v>
      </c>
      <c r="N10" s="446">
        <v>1.113</v>
      </c>
    </row>
    <row r="11" spans="1:14">
      <c r="C11" s="440" t="s">
        <v>1272</v>
      </c>
      <c r="D11" s="441" t="s">
        <v>1273</v>
      </c>
      <c r="E11" s="441" t="s">
        <v>1274</v>
      </c>
      <c r="F11" s="442">
        <v>21643.1</v>
      </c>
      <c r="G11" s="442">
        <v>18694.099999999999</v>
      </c>
      <c r="H11" s="442">
        <v>7400</v>
      </c>
      <c r="I11" s="442">
        <v>733</v>
      </c>
      <c r="J11" s="442">
        <v>408</v>
      </c>
      <c r="K11" s="443">
        <v>149</v>
      </c>
      <c r="L11" s="444">
        <v>150.62</v>
      </c>
      <c r="M11" s="445">
        <v>33.44</v>
      </c>
      <c r="N11" s="446">
        <v>0.86299999999999999</v>
      </c>
    </row>
    <row r="12" spans="1:14">
      <c r="C12" s="440" t="s">
        <v>1275</v>
      </c>
      <c r="D12" s="441" t="s">
        <v>1276</v>
      </c>
      <c r="E12" s="441" t="s">
        <v>1277</v>
      </c>
      <c r="F12" s="442">
        <v>401502.4</v>
      </c>
      <c r="G12" s="442">
        <v>374295.1</v>
      </c>
      <c r="H12" s="442">
        <v>82000</v>
      </c>
      <c r="I12" s="442">
        <v>21000</v>
      </c>
      <c r="J12" s="442">
        <v>18100</v>
      </c>
      <c r="K12" s="443">
        <v>14653</v>
      </c>
      <c r="L12" s="444">
        <v>159.51</v>
      </c>
      <c r="M12" s="445">
        <v>24.94</v>
      </c>
      <c r="N12" s="446">
        <v>0.63</v>
      </c>
    </row>
    <row r="13" spans="1:14">
      <c r="C13" s="440" t="s">
        <v>1278</v>
      </c>
      <c r="D13" s="441" t="s">
        <v>1279</v>
      </c>
      <c r="E13" s="441" t="s">
        <v>1280</v>
      </c>
      <c r="F13" s="442">
        <v>530.70000000000005</v>
      </c>
      <c r="G13" s="442">
        <v>224.3</v>
      </c>
      <c r="H13" s="442">
        <v>609.6</v>
      </c>
      <c r="I13" s="442">
        <v>61</v>
      </c>
      <c r="J13" s="442">
        <v>24</v>
      </c>
      <c r="K13" s="447">
        <v>-11.7</v>
      </c>
      <c r="L13" s="444">
        <v>10.28</v>
      </c>
      <c r="M13" s="445">
        <v>18.59</v>
      </c>
      <c r="N13" s="446">
        <v>1.012</v>
      </c>
    </row>
    <row r="14" spans="1:14">
      <c r="C14" s="440" t="s">
        <v>1281</v>
      </c>
      <c r="D14" s="441" t="s">
        <v>1282</v>
      </c>
      <c r="E14" s="441" t="s">
        <v>1268</v>
      </c>
      <c r="F14" s="442">
        <v>12484.6</v>
      </c>
      <c r="G14" s="442">
        <v>10180.9</v>
      </c>
      <c r="H14" s="442">
        <v>4600</v>
      </c>
      <c r="I14" s="442">
        <v>783</v>
      </c>
      <c r="J14" s="442">
        <v>614</v>
      </c>
      <c r="K14" s="443">
        <v>405</v>
      </c>
      <c r="L14" s="444">
        <v>80.739999999999995</v>
      </c>
      <c r="M14" s="445">
        <v>21.92</v>
      </c>
      <c r="N14" s="446">
        <v>1.373</v>
      </c>
    </row>
    <row r="15" spans="1:14">
      <c r="C15" s="440" t="s">
        <v>1283</v>
      </c>
      <c r="D15" s="441" t="s">
        <v>1284</v>
      </c>
      <c r="E15" s="441" t="s">
        <v>1285</v>
      </c>
      <c r="F15" s="442">
        <v>7858.6</v>
      </c>
      <c r="G15" s="442">
        <v>5832.6</v>
      </c>
      <c r="H15" s="442">
        <v>8000</v>
      </c>
      <c r="I15" s="442">
        <v>961</v>
      </c>
      <c r="J15" s="442">
        <v>667</v>
      </c>
      <c r="K15" s="443">
        <v>386.2</v>
      </c>
      <c r="L15" s="444">
        <v>105.4</v>
      </c>
      <c r="M15" s="445">
        <v>15.09</v>
      </c>
      <c r="N15" s="446">
        <v>1.0780000000000001</v>
      </c>
    </row>
    <row r="16" spans="1:14">
      <c r="C16" s="553" t="s">
        <v>1286</v>
      </c>
      <c r="D16" s="441"/>
      <c r="E16" s="441"/>
      <c r="F16" s="554">
        <f t="shared" ref="F16:L16" si="0">AVERAGE(F7:F15)</f>
        <v>53347.288888888885</v>
      </c>
      <c r="G16" s="554">
        <f t="shared" si="0"/>
        <v>47407.411111111105</v>
      </c>
      <c r="H16" s="554">
        <f t="shared" si="0"/>
        <v>14612.177777777779</v>
      </c>
      <c r="I16" s="554">
        <f t="shared" si="0"/>
        <v>2996.1111111111113</v>
      </c>
      <c r="J16" s="554">
        <f t="shared" si="0"/>
        <v>2384.3333333333335</v>
      </c>
      <c r="K16" s="554">
        <f t="shared" si="0"/>
        <v>1807.5</v>
      </c>
      <c r="L16" s="555">
        <f t="shared" si="0"/>
        <v>76.445555555555558</v>
      </c>
      <c r="M16" s="555">
        <f>AVERAGE(M7:M15)</f>
        <v>18.742222222222221</v>
      </c>
      <c r="N16" s="556">
        <f>AVERAGE(N7:N15)</f>
        <v>1.0445555555555552</v>
      </c>
    </row>
    <row r="17" spans="3:14">
      <c r="C17" s="557" t="s">
        <v>1287</v>
      </c>
      <c r="D17" s="448"/>
      <c r="E17" s="448"/>
      <c r="F17" s="558">
        <f t="shared" ref="F17:L17" si="1">MEDIAN(F7:F15)</f>
        <v>8601</v>
      </c>
      <c r="G17" s="558">
        <f t="shared" si="1"/>
        <v>5832.6</v>
      </c>
      <c r="H17" s="558">
        <f t="shared" si="1"/>
        <v>7400</v>
      </c>
      <c r="I17" s="558">
        <f t="shared" si="1"/>
        <v>783</v>
      </c>
      <c r="J17" s="558">
        <f t="shared" si="1"/>
        <v>595</v>
      </c>
      <c r="K17" s="558">
        <f t="shared" si="1"/>
        <v>325</v>
      </c>
      <c r="L17" s="559">
        <f t="shared" si="1"/>
        <v>80.739999999999995</v>
      </c>
      <c r="M17" s="559">
        <f>MEDIAN(M7:M15)</f>
        <v>17.61</v>
      </c>
      <c r="N17" s="560">
        <f>MEDIAN(N7:N15)</f>
        <v>1.0780000000000001</v>
      </c>
    </row>
    <row r="19" spans="3:14">
      <c r="C19" s="779" t="s">
        <v>1288</v>
      </c>
      <c r="D19" s="780"/>
      <c r="E19" s="779" t="s">
        <v>1289</v>
      </c>
      <c r="F19" s="781"/>
      <c r="G19" s="781"/>
      <c r="H19" s="779" t="s">
        <v>1290</v>
      </c>
      <c r="I19" s="781"/>
      <c r="J19" s="507"/>
    </row>
    <row r="20" spans="3:14">
      <c r="C20" s="1178" t="s">
        <v>1291</v>
      </c>
      <c r="D20" s="1179">
        <f>PERCENTILE($N$7:$N$15,0.75)</f>
        <v>1.155</v>
      </c>
      <c r="E20" s="440" t="s">
        <v>1292</v>
      </c>
      <c r="F20" s="441"/>
      <c r="G20" s="441">
        <v>4.3689999999999998</v>
      </c>
      <c r="H20" s="440" t="s">
        <v>1293</v>
      </c>
      <c r="I20" s="441"/>
      <c r="J20" s="504">
        <f>($G$20+D20*($G$21))+$G$22</f>
        <v>23.107500000000002</v>
      </c>
    </row>
    <row r="21" spans="3:14">
      <c r="C21" s="1178" t="s">
        <v>1294</v>
      </c>
      <c r="D21" s="1148">
        <f>N17</f>
        <v>1.0780000000000001</v>
      </c>
      <c r="E21" s="440" t="s">
        <v>1295</v>
      </c>
      <c r="F21" s="441"/>
      <c r="G21" s="441">
        <v>6.7</v>
      </c>
      <c r="H21" s="440" t="s">
        <v>1296</v>
      </c>
      <c r="I21" s="441"/>
      <c r="J21" s="504">
        <f>($G$20+D21*($G$21))+$G$22</f>
        <v>22.5916</v>
      </c>
    </row>
    <row r="22" spans="3:14">
      <c r="C22" s="1180" t="s">
        <v>1297</v>
      </c>
      <c r="D22" s="1181">
        <f>PERCENTILE($N$7:$N$15,0.25)</f>
        <v>0.86299999999999999</v>
      </c>
      <c r="E22" s="505" t="s">
        <v>1298</v>
      </c>
      <c r="F22" s="448"/>
      <c r="G22" s="448">
        <v>11</v>
      </c>
      <c r="H22" s="505" t="s">
        <v>1299</v>
      </c>
      <c r="I22" s="448"/>
      <c r="J22" s="506">
        <f>($G$20+D22*($G$21))+$G$22</f>
        <v>21.1511</v>
      </c>
    </row>
    <row r="24" spans="3:14">
      <c r="C24" s="1345" t="s">
        <v>1300</v>
      </c>
      <c r="D24" s="1347"/>
      <c r="E24" s="1347"/>
      <c r="F24" s="1347"/>
      <c r="G24" s="1346"/>
      <c r="I24" s="1345" t="s">
        <v>1301</v>
      </c>
      <c r="J24" s="1347"/>
      <c r="K24" s="1347"/>
      <c r="L24" s="1347"/>
      <c r="M24" s="1346"/>
    </row>
    <row r="25" spans="3:14">
      <c r="C25" s="561" t="s">
        <v>1302</v>
      </c>
      <c r="D25" s="562" t="s">
        <v>1249</v>
      </c>
      <c r="E25" s="563" t="s">
        <v>27</v>
      </c>
      <c r="F25" s="563" t="s">
        <v>1166</v>
      </c>
      <c r="G25" s="564" t="s">
        <v>1303</v>
      </c>
      <c r="I25" s="561" t="s">
        <v>1302</v>
      </c>
      <c r="J25" s="562" t="s">
        <v>1249</v>
      </c>
      <c r="K25" s="563" t="s">
        <v>1304</v>
      </c>
      <c r="L25" s="563" t="s">
        <v>1156</v>
      </c>
      <c r="M25" s="564" t="s">
        <v>1305</v>
      </c>
    </row>
    <row r="26" spans="3:14">
      <c r="C26" s="508" t="str">
        <f>D99</f>
        <v xml:space="preserve">Berry </v>
      </c>
      <c r="D26" s="441" t="str">
        <f>D7</f>
        <v>BERY</v>
      </c>
      <c r="E26" s="509">
        <f>G99</f>
        <v>10354</v>
      </c>
      <c r="F26" s="510">
        <f>G100</f>
        <v>1528</v>
      </c>
      <c r="G26" s="511">
        <f>F26/E26*365</f>
        <v>53.865172880046352</v>
      </c>
      <c r="I26" s="508" t="str">
        <f>D114</f>
        <v>Clorox Company</v>
      </c>
      <c r="J26" s="515" t="str">
        <f>D11</f>
        <v>CLX</v>
      </c>
      <c r="K26" s="509">
        <f>G114</f>
        <v>7389</v>
      </c>
      <c r="L26" s="510">
        <f>G115</f>
        <v>688</v>
      </c>
      <c r="M26" s="511">
        <f>L26/K26*365</f>
        <v>33.985654351062387</v>
      </c>
    </row>
    <row r="27" spans="3:14">
      <c r="C27" s="440" t="str">
        <f>D102</f>
        <v xml:space="preserve">Silgan </v>
      </c>
      <c r="D27" s="441" t="str">
        <f>D8</f>
        <v>SLGN</v>
      </c>
      <c r="E27" s="512">
        <f>G102</f>
        <v>5363690</v>
      </c>
      <c r="F27" s="513">
        <f>G103</f>
        <v>974030</v>
      </c>
      <c r="G27" s="514">
        <f t="shared" ref="G27:G30" si="2">F27/E27*365</f>
        <v>66.28290412011134</v>
      </c>
      <c r="I27" s="440" t="str">
        <f>D117</f>
        <v xml:space="preserve">Helen of Troy </v>
      </c>
      <c r="J27" s="441" t="str">
        <f>D10</f>
        <v>HELE</v>
      </c>
      <c r="K27" s="512">
        <f>G117</f>
        <v>2072667</v>
      </c>
      <c r="L27" s="513">
        <f>G118</f>
        <v>377604</v>
      </c>
      <c r="M27" s="514">
        <f t="shared" ref="M27:M31" si="3">L27/K27*365</f>
        <v>66.496673126942241</v>
      </c>
    </row>
    <row r="28" spans="3:14">
      <c r="C28" s="440" t="str">
        <f>D105</f>
        <v>Clorox Company</v>
      </c>
      <c r="D28" s="441" t="str">
        <f>D11</f>
        <v>CLX</v>
      </c>
      <c r="E28" s="512">
        <f>G105</f>
        <v>4481</v>
      </c>
      <c r="F28" s="513">
        <f>G106</f>
        <v>1659</v>
      </c>
      <c r="G28" s="514">
        <f t="shared" si="2"/>
        <v>135.13389868332959</v>
      </c>
      <c r="I28" s="440" t="str">
        <f>D120</f>
        <v xml:space="preserve">Newel Brands </v>
      </c>
      <c r="J28" s="441" t="str">
        <f>D9</f>
        <v xml:space="preserve">NWL </v>
      </c>
      <c r="K28" s="512">
        <f>G120</f>
        <v>8133</v>
      </c>
      <c r="L28" s="513">
        <f>G121</f>
        <v>1195</v>
      </c>
      <c r="M28" s="514">
        <f t="shared" si="3"/>
        <v>53.630271732448051</v>
      </c>
    </row>
    <row r="29" spans="3:14">
      <c r="C29" s="440" t="str">
        <f>D108</f>
        <v>P&amp;G</v>
      </c>
      <c r="D29" s="441" t="str">
        <f>D12</f>
        <v>PG</v>
      </c>
      <c r="E29" s="512">
        <f>G108</f>
        <v>42760</v>
      </c>
      <c r="F29" s="513">
        <f>G109</f>
        <v>10929</v>
      </c>
      <c r="G29" s="514">
        <f t="shared" si="2"/>
        <v>93.290107577174936</v>
      </c>
      <c r="I29" s="440" t="str">
        <f>D123</f>
        <v xml:space="preserve">Lifetime Brands </v>
      </c>
      <c r="J29" s="441" t="str">
        <f>D13</f>
        <v>LCUT</v>
      </c>
      <c r="K29" s="512">
        <f>G123</f>
        <v>727662</v>
      </c>
      <c r="L29" s="513">
        <f>G124</f>
        <v>141195</v>
      </c>
      <c r="M29" s="514">
        <f t="shared" si="3"/>
        <v>70.824331901349808</v>
      </c>
    </row>
    <row r="30" spans="3:14">
      <c r="C30" s="440" t="str">
        <f>D111</f>
        <v xml:space="preserve">Lifetime Brands </v>
      </c>
      <c r="D30" s="441" t="str">
        <f>D13</f>
        <v>LCUT</v>
      </c>
      <c r="E30" s="512">
        <f>G111</f>
        <v>467346</v>
      </c>
      <c r="F30" s="513">
        <f>G112</f>
        <v>38052</v>
      </c>
      <c r="G30" s="514">
        <f t="shared" si="2"/>
        <v>29.718837863167764</v>
      </c>
      <c r="I30" s="440" t="str">
        <f>D126</f>
        <v>Fortune Brand Innovation</v>
      </c>
      <c r="J30" s="441" t="str">
        <f>D14</f>
        <v>FBIN</v>
      </c>
      <c r="K30" s="512">
        <f>G126</f>
        <v>4626.2</v>
      </c>
      <c r="L30" s="445">
        <f>G127</f>
        <v>534.20000000000005</v>
      </c>
      <c r="M30" s="514">
        <f t="shared" si="3"/>
        <v>42.147550905710958</v>
      </c>
    </row>
    <row r="31" spans="3:14">
      <c r="C31" s="553" t="s">
        <v>1286</v>
      </c>
      <c r="D31" s="441"/>
      <c r="E31" s="441"/>
      <c r="F31" s="441"/>
      <c r="G31" s="565">
        <f>AVERAGE(G26:G30)</f>
        <v>75.658184224766003</v>
      </c>
      <c r="I31" s="440" t="str">
        <f>D129</f>
        <v xml:space="preserve">SEB SA </v>
      </c>
      <c r="J31" s="441" t="str">
        <f>D15</f>
        <v>SK FP</v>
      </c>
      <c r="K31" s="512">
        <f>G129</f>
        <v>7960</v>
      </c>
      <c r="L31" s="445">
        <f>G130</f>
        <v>891.5</v>
      </c>
      <c r="M31" s="514">
        <f t="shared" si="3"/>
        <v>40.879082914572862</v>
      </c>
    </row>
    <row r="32" spans="3:14">
      <c r="C32" s="566" t="s">
        <v>1306</v>
      </c>
      <c r="D32" s="448"/>
      <c r="E32" s="448"/>
      <c r="F32" s="448"/>
      <c r="G32" s="567">
        <f>MEDIAN(G26:G30)</f>
        <v>66.28290412011134</v>
      </c>
      <c r="I32" s="553" t="s">
        <v>1286</v>
      </c>
      <c r="J32" s="441"/>
      <c r="K32" s="441"/>
      <c r="L32" s="441"/>
      <c r="M32" s="565">
        <f>AVERAGE(M26:M31)</f>
        <v>51.327260822014381</v>
      </c>
    </row>
    <row r="33" spans="3:14">
      <c r="I33" s="566" t="s">
        <v>1306</v>
      </c>
      <c r="J33" s="448"/>
      <c r="K33" s="448"/>
      <c r="L33" s="448"/>
      <c r="M33" s="567">
        <f>MEDIAN(M26:M31)</f>
        <v>47.888911319079504</v>
      </c>
    </row>
    <row r="34" spans="3:14">
      <c r="C34" s="1224" t="s">
        <v>1307</v>
      </c>
      <c r="D34" s="1226"/>
      <c r="E34" s="1226"/>
      <c r="F34" s="1226"/>
      <c r="G34" s="1225"/>
    </row>
    <row r="35" spans="3:14">
      <c r="C35" s="561" t="s">
        <v>1302</v>
      </c>
      <c r="D35" s="568" t="s">
        <v>1249</v>
      </c>
      <c r="E35" s="563" t="s">
        <v>27</v>
      </c>
      <c r="F35" s="563" t="s">
        <v>1308</v>
      </c>
      <c r="G35" s="564" t="s">
        <v>1305</v>
      </c>
      <c r="M35" s="1345" t="s">
        <v>1309</v>
      </c>
      <c r="N35" s="1346"/>
    </row>
    <row r="36" spans="3:14">
      <c r="C36" s="508" t="str">
        <f>C27</f>
        <v xml:space="preserve">Silgan </v>
      </c>
      <c r="D36" s="515" t="str">
        <f>D27</f>
        <v>SLGN</v>
      </c>
      <c r="E36" s="509">
        <f>G134</f>
        <v>1173316</v>
      </c>
      <c r="F36" s="516">
        <f>G135</f>
        <v>455485</v>
      </c>
      <c r="G36" s="511">
        <f>F36/E36*365</f>
        <v>141.694159970545</v>
      </c>
      <c r="M36" s="440" t="s">
        <v>1310</v>
      </c>
      <c r="N36" s="525">
        <f>G32</f>
        <v>66.28290412011134</v>
      </c>
    </row>
    <row r="37" spans="3:14">
      <c r="C37" s="440" t="str">
        <f>I27</f>
        <v xml:space="preserve">Helen of Troy </v>
      </c>
      <c r="D37" s="441" t="str">
        <f>J27</f>
        <v>HELE</v>
      </c>
      <c r="E37" s="512">
        <f>G137</f>
        <v>5363690</v>
      </c>
      <c r="F37" s="513">
        <f>G138</f>
        <v>769403</v>
      </c>
      <c r="G37" s="514">
        <f t="shared" ref="G37:G38" si="4">F37/E37*365</f>
        <v>52.358002606414608</v>
      </c>
      <c r="M37" s="440" t="s">
        <v>1311</v>
      </c>
      <c r="N37" s="525">
        <f>M33</f>
        <v>47.888911319079504</v>
      </c>
    </row>
    <row r="38" spans="3:14">
      <c r="C38" s="440" t="str">
        <f>I29</f>
        <v xml:space="preserve">Lifetime Brands </v>
      </c>
      <c r="D38" s="441" t="str">
        <f>J29</f>
        <v>LCUT</v>
      </c>
      <c r="E38" s="512">
        <f>G140</f>
        <v>467346</v>
      </c>
      <c r="F38" s="513">
        <f>G141</f>
        <v>222209</v>
      </c>
      <c r="G38" s="514">
        <f t="shared" si="4"/>
        <v>173.54654795376445</v>
      </c>
      <c r="M38" s="440" t="s">
        <v>1312</v>
      </c>
      <c r="N38" s="525">
        <f>G40</f>
        <v>141.694159970545</v>
      </c>
    </row>
    <row r="39" spans="3:14">
      <c r="C39" s="553" t="s">
        <v>1286</v>
      </c>
      <c r="D39" s="441"/>
      <c r="E39" s="441"/>
      <c r="F39" s="441"/>
      <c r="G39" s="565">
        <f>AVERAGE(G36:G38)</f>
        <v>122.53290351024134</v>
      </c>
      <c r="M39" s="440" t="s">
        <v>1313</v>
      </c>
      <c r="N39" s="526">
        <f>I50</f>
        <v>22.015625</v>
      </c>
    </row>
    <row r="40" spans="3:14">
      <c r="C40" s="566" t="s">
        <v>1306</v>
      </c>
      <c r="D40" s="448"/>
      <c r="E40" s="448"/>
      <c r="F40" s="448"/>
      <c r="G40" s="567">
        <f>MEDIAN(G36:G38)</f>
        <v>141.694159970545</v>
      </c>
      <c r="M40" s="440" t="s">
        <v>1314</v>
      </c>
      <c r="N40" s="526">
        <f>J50</f>
        <v>3.9175000000000004</v>
      </c>
    </row>
    <row r="41" spans="3:14">
      <c r="M41" s="440" t="s">
        <v>1315</v>
      </c>
      <c r="N41" s="526">
        <f>K50</f>
        <v>7.83</v>
      </c>
    </row>
    <row r="42" spans="3:14">
      <c r="M42" s="440" t="s">
        <v>1316</v>
      </c>
      <c r="N42" s="527">
        <f>MEDIAN(E62,E47)</f>
        <v>0.17285993908724276</v>
      </c>
    </row>
    <row r="43" spans="3:14">
      <c r="C43" s="1348" t="s">
        <v>1317</v>
      </c>
      <c r="D43" s="1349"/>
      <c r="E43" s="1350"/>
      <c r="G43" s="1345" t="s">
        <v>1318</v>
      </c>
      <c r="H43" s="1347"/>
      <c r="I43" s="1347"/>
      <c r="J43" s="1347"/>
      <c r="K43" s="1346"/>
      <c r="M43" s="440" t="s">
        <v>1319</v>
      </c>
      <c r="N43" s="527">
        <f>E65</f>
        <v>9.3745125565434406E-2</v>
      </c>
    </row>
    <row r="44" spans="3:14">
      <c r="C44" s="1351" t="s">
        <v>1320</v>
      </c>
      <c r="D44" s="1352"/>
      <c r="E44" s="1353"/>
      <c r="G44" s="561" t="s">
        <v>1246</v>
      </c>
      <c r="H44" s="562" t="s">
        <v>1321</v>
      </c>
      <c r="I44" s="562" t="s">
        <v>1322</v>
      </c>
      <c r="J44" s="562" t="s">
        <v>1323</v>
      </c>
      <c r="K44" s="569" t="s">
        <v>1324</v>
      </c>
      <c r="M44" s="505" t="s">
        <v>1325</v>
      </c>
      <c r="N44" s="528">
        <f>E70</f>
        <v>4.7418499454063331E-2</v>
      </c>
    </row>
    <row r="45" spans="3:14">
      <c r="C45" s="440" t="s">
        <v>1326</v>
      </c>
      <c r="D45" s="517">
        <v>12664</v>
      </c>
      <c r="E45" s="504"/>
      <c r="G45" s="440" t="s">
        <v>1327</v>
      </c>
      <c r="H45" s="441" t="s">
        <v>1261</v>
      </c>
      <c r="I45" s="512">
        <v>19</v>
      </c>
      <c r="J45" s="444">
        <v>3.63</v>
      </c>
      <c r="K45" s="520">
        <v>7.83</v>
      </c>
    </row>
    <row r="46" spans="3:14">
      <c r="C46" s="518" t="s">
        <v>1328</v>
      </c>
      <c r="D46" s="519">
        <v>10354</v>
      </c>
      <c r="E46" s="504"/>
      <c r="G46" s="440" t="s">
        <v>1329</v>
      </c>
      <c r="H46" s="441" t="s">
        <v>1264</v>
      </c>
      <c r="I46" s="445">
        <v>18.07</v>
      </c>
      <c r="J46" s="445">
        <v>4.3600000000000003</v>
      </c>
      <c r="K46" s="446" t="s">
        <v>1330</v>
      </c>
    </row>
    <row r="47" spans="3:14">
      <c r="C47" s="440" t="s">
        <v>1316</v>
      </c>
      <c r="D47" s="517">
        <f>D45-D46</f>
        <v>2310</v>
      </c>
      <c r="E47" s="570">
        <f>D47/D45</f>
        <v>0.18240682248894505</v>
      </c>
      <c r="G47" s="440" t="s">
        <v>1269</v>
      </c>
      <c r="H47" s="441" t="s">
        <v>1270</v>
      </c>
      <c r="I47" s="445">
        <v>10.18</v>
      </c>
      <c r="J47" s="445">
        <v>4.99</v>
      </c>
      <c r="K47" s="446">
        <v>7.47</v>
      </c>
    </row>
    <row r="48" spans="3:14">
      <c r="C48" s="440"/>
      <c r="D48" s="521"/>
      <c r="E48" s="504"/>
      <c r="G48" s="440" t="s">
        <v>1331</v>
      </c>
      <c r="H48" s="441" t="s">
        <v>1273</v>
      </c>
      <c r="I48" s="445">
        <v>38.4</v>
      </c>
      <c r="J48" s="445">
        <v>2.46</v>
      </c>
      <c r="K48" s="446">
        <v>7.98</v>
      </c>
    </row>
    <row r="49" spans="3:11">
      <c r="C49" s="518" t="s">
        <v>1332</v>
      </c>
      <c r="D49" s="519">
        <f>D47-D50</f>
        <v>1231</v>
      </c>
      <c r="E49" s="504"/>
      <c r="G49" s="553" t="s">
        <v>1286</v>
      </c>
      <c r="H49" s="441"/>
      <c r="I49" s="571">
        <f>AVERAGE(I45:I48)</f>
        <v>21.412500000000001</v>
      </c>
      <c r="J49" s="571">
        <f>AVERAGE(J45:J48)</f>
        <v>3.8600000000000003</v>
      </c>
      <c r="K49" s="572">
        <f>AVERAGE(K45:K48)</f>
        <v>7.7600000000000007</v>
      </c>
    </row>
    <row r="50" spans="3:11">
      <c r="C50" s="440" t="s">
        <v>1333</v>
      </c>
      <c r="D50" s="441">
        <v>1079</v>
      </c>
      <c r="E50" s="570">
        <f>D50/D45</f>
        <v>8.5202147820593807E-2</v>
      </c>
      <c r="G50" s="557" t="s">
        <v>1306</v>
      </c>
      <c r="H50" s="448"/>
      <c r="I50" s="573">
        <f>AVERAGE(I46:I49)</f>
        <v>22.015625</v>
      </c>
      <c r="J50" s="573">
        <f>AVERAGE(J46:J49)</f>
        <v>3.9175000000000004</v>
      </c>
      <c r="K50" s="574">
        <f>MEDIAN(K45:K48)</f>
        <v>7.83</v>
      </c>
    </row>
    <row r="51" spans="3:11">
      <c r="C51" s="440"/>
      <c r="D51" s="521"/>
      <c r="E51" s="504"/>
    </row>
    <row r="52" spans="3:11">
      <c r="C52" s="518" t="s">
        <v>1334</v>
      </c>
      <c r="D52" s="522">
        <f>D50-D53</f>
        <v>337</v>
      </c>
      <c r="E52" s="504"/>
    </row>
    <row r="53" spans="3:11">
      <c r="C53" s="440" t="s">
        <v>1335</v>
      </c>
      <c r="D53" s="441">
        <v>742</v>
      </c>
      <c r="E53" s="504"/>
    </row>
    <row r="54" spans="3:11">
      <c r="C54" s="440"/>
      <c r="D54" s="441"/>
      <c r="E54" s="504"/>
    </row>
    <row r="55" spans="3:11">
      <c r="C55" s="523" t="s">
        <v>1142</v>
      </c>
      <c r="D55" s="524">
        <v>609</v>
      </c>
      <c r="E55" s="575">
        <f>D55/D45</f>
        <v>4.8089071383449145E-2</v>
      </c>
    </row>
    <row r="58" spans="3:11">
      <c r="C58" s="1227"/>
      <c r="D58" s="1227" t="s">
        <v>1329</v>
      </c>
      <c r="E58" s="1228"/>
    </row>
    <row r="59" spans="3:11">
      <c r="C59" s="1229"/>
      <c r="D59" s="1229" t="s">
        <v>1320</v>
      </c>
      <c r="E59" s="1230"/>
    </row>
    <row r="60" spans="3:11">
      <c r="C60" s="440" t="s">
        <v>1326</v>
      </c>
      <c r="D60" s="517">
        <v>6411</v>
      </c>
      <c r="E60" s="504"/>
    </row>
    <row r="61" spans="3:11">
      <c r="C61" s="518" t="s">
        <v>1328</v>
      </c>
      <c r="D61" s="519">
        <v>5364</v>
      </c>
      <c r="E61" s="504"/>
    </row>
    <row r="62" spans="3:11">
      <c r="C62" s="440" t="s">
        <v>1316</v>
      </c>
      <c r="D62" s="517">
        <f>D60-D61</f>
        <v>1047</v>
      </c>
      <c r="E62" s="570">
        <f>D62/D60</f>
        <v>0.16331305568554047</v>
      </c>
    </row>
    <row r="63" spans="3:11">
      <c r="C63" s="440"/>
      <c r="D63" s="521"/>
      <c r="E63" s="504"/>
    </row>
    <row r="64" spans="3:11">
      <c r="C64" s="518" t="s">
        <v>1332</v>
      </c>
      <c r="D64" s="519">
        <f>D62-D65</f>
        <v>446</v>
      </c>
      <c r="E64" s="504"/>
    </row>
    <row r="65" spans="3:19">
      <c r="C65" s="440" t="s">
        <v>1333</v>
      </c>
      <c r="D65" s="441">
        <v>601</v>
      </c>
      <c r="E65" s="570">
        <f>D65/D60</f>
        <v>9.3745125565434406E-2</v>
      </c>
    </row>
    <row r="66" spans="3:19">
      <c r="C66" s="440"/>
      <c r="D66" s="521"/>
      <c r="E66" s="504"/>
    </row>
    <row r="67" spans="3:19">
      <c r="C67" s="518" t="s">
        <v>1334</v>
      </c>
      <c r="D67" s="522">
        <f>D65-D68</f>
        <v>127</v>
      </c>
      <c r="E67" s="504"/>
    </row>
    <row r="68" spans="3:19">
      <c r="C68" s="440" t="s">
        <v>1335</v>
      </c>
      <c r="D68" s="441">
        <v>474</v>
      </c>
      <c r="E68" s="504"/>
    </row>
    <row r="69" spans="3:19">
      <c r="C69" s="440"/>
      <c r="D69" s="441"/>
      <c r="E69" s="504"/>
    </row>
    <row r="70" spans="3:19">
      <c r="C70" s="523" t="s">
        <v>1142</v>
      </c>
      <c r="D70" s="524">
        <v>304</v>
      </c>
      <c r="E70" s="575">
        <f>D70/D60</f>
        <v>4.7418499454063331E-2</v>
      </c>
    </row>
    <row r="71" spans="3:19">
      <c r="Q71" s="94"/>
      <c r="R71" s="94"/>
      <c r="S71" s="94"/>
    </row>
    <row r="98" spans="4:8">
      <c r="D98" s="32"/>
    </row>
    <row r="99" spans="4:8">
      <c r="D99" t="s">
        <v>1336</v>
      </c>
      <c r="F99" t="s">
        <v>27</v>
      </c>
      <c r="G99">
        <v>10354</v>
      </c>
    </row>
    <row r="100" spans="4:8">
      <c r="F100" t="s">
        <v>1277</v>
      </c>
      <c r="G100">
        <v>1528</v>
      </c>
      <c r="H100" s="24">
        <f>G100/G99*365</f>
        <v>53.865172880046352</v>
      </c>
    </row>
    <row r="101" spans="4:8">
      <c r="H101" s="24"/>
    </row>
    <row r="102" spans="4:8">
      <c r="D102" t="s">
        <v>1263</v>
      </c>
      <c r="F102" t="s">
        <v>27</v>
      </c>
      <c r="G102">
        <v>5363690</v>
      </c>
      <c r="H102" s="24"/>
    </row>
    <row r="103" spans="4:8">
      <c r="F103" t="s">
        <v>1277</v>
      </c>
      <c r="G103">
        <v>974030</v>
      </c>
      <c r="H103" s="24">
        <f>G103/G102*365</f>
        <v>66.28290412011134</v>
      </c>
    </row>
    <row r="104" spans="4:8">
      <c r="H104" s="24"/>
    </row>
    <row r="105" spans="4:8">
      <c r="D105" t="s">
        <v>1272</v>
      </c>
      <c r="F105" t="s">
        <v>27</v>
      </c>
      <c r="G105" s="65">
        <v>4481</v>
      </c>
      <c r="H105" s="24"/>
    </row>
    <row r="106" spans="4:8">
      <c r="F106" t="s">
        <v>1277</v>
      </c>
      <c r="G106" s="65">
        <v>1659</v>
      </c>
      <c r="H106" s="24">
        <f>G106/G105*365</f>
        <v>135.13389868332959</v>
      </c>
    </row>
    <row r="107" spans="4:8">
      <c r="H107" s="24"/>
    </row>
    <row r="108" spans="4:8">
      <c r="D108" t="s">
        <v>1337</v>
      </c>
      <c r="F108" t="s">
        <v>27</v>
      </c>
      <c r="G108" s="65">
        <v>42760</v>
      </c>
      <c r="H108" s="24"/>
    </row>
    <row r="109" spans="4:8">
      <c r="F109" t="s">
        <v>1277</v>
      </c>
      <c r="G109" s="65">
        <v>10929</v>
      </c>
      <c r="H109" s="24">
        <f>G109/G108*365</f>
        <v>93.290107577174936</v>
      </c>
    </row>
    <row r="110" spans="4:8">
      <c r="H110" s="24"/>
    </row>
    <row r="111" spans="4:8">
      <c r="D111" t="s">
        <v>1278</v>
      </c>
      <c r="F111" t="s">
        <v>27</v>
      </c>
      <c r="G111" s="65">
        <v>467346</v>
      </c>
      <c r="H111" s="24"/>
    </row>
    <row r="112" spans="4:8">
      <c r="F112" t="s">
        <v>1277</v>
      </c>
      <c r="G112" s="65">
        <v>38052</v>
      </c>
      <c r="H112" s="24">
        <f>G112/G111*365</f>
        <v>29.718837863167764</v>
      </c>
    </row>
    <row r="113" spans="4:8">
      <c r="H113" s="24"/>
    </row>
    <row r="114" spans="4:8">
      <c r="D114" t="s">
        <v>1272</v>
      </c>
      <c r="F114" t="s">
        <v>1338</v>
      </c>
      <c r="G114" s="65">
        <v>7389</v>
      </c>
      <c r="H114" s="24"/>
    </row>
    <row r="115" spans="4:8">
      <c r="F115" t="s">
        <v>1339</v>
      </c>
      <c r="G115">
        <v>688</v>
      </c>
      <c r="H115" s="24">
        <f>G115/G114*365</f>
        <v>33.985654351062387</v>
      </c>
    </row>
    <row r="116" spans="4:8">
      <c r="H116" s="24"/>
    </row>
    <row r="117" spans="4:8">
      <c r="D117" t="s">
        <v>1269</v>
      </c>
      <c r="F117" t="s">
        <v>1338</v>
      </c>
      <c r="G117" s="65">
        <v>2072667</v>
      </c>
      <c r="H117" s="24"/>
    </row>
    <row r="118" spans="4:8">
      <c r="F118" t="s">
        <v>1339</v>
      </c>
      <c r="G118" s="65">
        <v>377604</v>
      </c>
      <c r="H118" s="24">
        <f>G118/G117*365</f>
        <v>66.496673126942241</v>
      </c>
    </row>
    <row r="119" spans="4:8">
      <c r="H119" s="24"/>
    </row>
    <row r="120" spans="4:8">
      <c r="D120" t="s">
        <v>1340</v>
      </c>
      <c r="F120" t="s">
        <v>1338</v>
      </c>
      <c r="G120" s="65">
        <v>8133</v>
      </c>
      <c r="H120" s="24"/>
    </row>
    <row r="121" spans="4:8">
      <c r="F121" t="s">
        <v>1339</v>
      </c>
      <c r="G121" s="65">
        <v>1195</v>
      </c>
      <c r="H121" s="24">
        <f>G121/G120*365</f>
        <v>53.630271732448051</v>
      </c>
    </row>
    <row r="122" spans="4:8">
      <c r="H122" s="24"/>
    </row>
    <row r="123" spans="4:8">
      <c r="D123" t="s">
        <v>1278</v>
      </c>
      <c r="F123" t="s">
        <v>1338</v>
      </c>
      <c r="G123" s="65">
        <v>727662</v>
      </c>
      <c r="H123" s="24"/>
    </row>
    <row r="124" spans="4:8">
      <c r="F124" t="s">
        <v>1339</v>
      </c>
      <c r="G124" s="65">
        <v>141195</v>
      </c>
      <c r="H124" s="24">
        <f>G124/G123*365</f>
        <v>70.824331901349808</v>
      </c>
    </row>
    <row r="125" spans="4:8">
      <c r="H125" s="24"/>
    </row>
    <row r="126" spans="4:8">
      <c r="D126" t="s">
        <v>1341</v>
      </c>
      <c r="F126" t="s">
        <v>1338</v>
      </c>
      <c r="G126" s="65">
        <v>4626.2</v>
      </c>
      <c r="H126" s="24"/>
    </row>
    <row r="127" spans="4:8">
      <c r="F127" t="s">
        <v>1339</v>
      </c>
      <c r="G127">
        <v>534.20000000000005</v>
      </c>
      <c r="H127" s="24">
        <f>G127/G126*365</f>
        <v>42.147550905710958</v>
      </c>
    </row>
    <row r="128" spans="4:8">
      <c r="H128" s="24"/>
    </row>
    <row r="129" spans="4:8">
      <c r="D129" t="s">
        <v>1342</v>
      </c>
      <c r="F129" t="s">
        <v>1338</v>
      </c>
      <c r="G129">
        <v>7960</v>
      </c>
      <c r="H129" s="24"/>
    </row>
    <row r="130" spans="4:8">
      <c r="F130" t="s">
        <v>1339</v>
      </c>
      <c r="G130" s="24">
        <v>891.5</v>
      </c>
      <c r="H130" s="24">
        <f>G130/G129*365</f>
        <v>40.879082914572862</v>
      </c>
    </row>
    <row r="131" spans="4:8">
      <c r="H131" s="24"/>
    </row>
    <row r="132" spans="4:8">
      <c r="H132" s="24"/>
    </row>
    <row r="133" spans="4:8">
      <c r="H133" s="24"/>
    </row>
    <row r="134" spans="4:8">
      <c r="D134" t="s">
        <v>1343</v>
      </c>
      <c r="F134" t="s">
        <v>1344</v>
      </c>
      <c r="G134" s="65">
        <v>1173316</v>
      </c>
      <c r="H134" s="24"/>
    </row>
    <row r="135" spans="4:8">
      <c r="F135" t="s">
        <v>1345</v>
      </c>
      <c r="G135" s="65">
        <v>455485</v>
      </c>
      <c r="H135" s="24">
        <f>G135/G134*365</f>
        <v>141.694159970545</v>
      </c>
    </row>
    <row r="136" spans="4:8">
      <c r="H136" s="24"/>
    </row>
    <row r="137" spans="4:8">
      <c r="D137" t="s">
        <v>1263</v>
      </c>
      <c r="F137" t="s">
        <v>27</v>
      </c>
      <c r="G137">
        <v>5363690</v>
      </c>
      <c r="H137" s="24"/>
    </row>
    <row r="138" spans="4:8">
      <c r="F138" t="s">
        <v>1345</v>
      </c>
      <c r="G138">
        <v>769403</v>
      </c>
      <c r="H138" s="24">
        <f>G138/G137*365</f>
        <v>52.358002606414608</v>
      </c>
    </row>
    <row r="139" spans="4:8">
      <c r="H139" s="24"/>
    </row>
    <row r="140" spans="4:8">
      <c r="D140" t="s">
        <v>1278</v>
      </c>
      <c r="F140" t="s">
        <v>27</v>
      </c>
      <c r="G140" s="65">
        <v>467346</v>
      </c>
      <c r="H140" s="24"/>
    </row>
    <row r="141" spans="4:8">
      <c r="F141" t="s">
        <v>1345</v>
      </c>
      <c r="G141" s="65">
        <v>222209</v>
      </c>
      <c r="H141" s="24">
        <f>G141/G140*365</f>
        <v>173.54654795376445</v>
      </c>
    </row>
  </sheetData>
  <mergeCells count="6">
    <mergeCell ref="M35:N35"/>
    <mergeCell ref="C24:G24"/>
    <mergeCell ref="I24:M24"/>
    <mergeCell ref="C43:E43"/>
    <mergeCell ref="C44:E44"/>
    <mergeCell ref="G43:K43"/>
  </mergeCells>
  <hyperlinks>
    <hyperlink ref="A2" location="'Index'!A1" display="Back to Index" xr:uid="{E16EF141-37D6-4E72-95AD-F63F5451DD3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8CB-74A2-48F7-A8FA-A2AC1211DB1B}">
  <sheetPr>
    <tabColor rgb="FF00B050"/>
  </sheetPr>
  <dimension ref="A1:J27"/>
  <sheetViews>
    <sheetView workbookViewId="0">
      <selection activeCell="J22" sqref="J22"/>
    </sheetView>
  </sheetViews>
  <sheetFormatPr defaultRowHeight="14.4"/>
  <cols>
    <col min="3" max="3" width="32.6640625" bestFit="1" customWidth="1"/>
    <col min="4" max="4" width="6.88671875" bestFit="1" customWidth="1"/>
    <col min="5" max="5" width="13.5546875" bestFit="1" customWidth="1"/>
    <col min="6" max="6" width="16.5546875" bestFit="1" customWidth="1"/>
    <col min="7" max="7" width="12.5546875" bestFit="1" customWidth="1"/>
  </cols>
  <sheetData>
    <row r="1" spans="1:10" ht="28.8">
      <c r="A1" s="1" t="s">
        <v>24</v>
      </c>
    </row>
    <row r="2" spans="1:10">
      <c r="A2" s="284" t="s">
        <v>32</v>
      </c>
    </row>
    <row r="6" spans="1:10">
      <c r="C6" s="1348" t="s">
        <v>1318</v>
      </c>
      <c r="D6" s="1349"/>
      <c r="E6" s="1349"/>
      <c r="F6" s="1349"/>
      <c r="G6" s="1350"/>
    </row>
    <row r="7" spans="1:10">
      <c r="C7" s="549" t="s">
        <v>1246</v>
      </c>
      <c r="D7" s="550" t="s">
        <v>1321</v>
      </c>
      <c r="E7" s="550" t="s">
        <v>1322</v>
      </c>
      <c r="F7" s="550" t="s">
        <v>1323</v>
      </c>
      <c r="G7" s="1134" t="s">
        <v>1324</v>
      </c>
    </row>
    <row r="8" spans="1:10">
      <c r="C8" s="440" t="s">
        <v>1327</v>
      </c>
      <c r="D8" s="441" t="s">
        <v>1261</v>
      </c>
      <c r="E8" s="1105">
        <v>19</v>
      </c>
      <c r="F8" s="1105">
        <v>3.63</v>
      </c>
      <c r="G8" s="520">
        <v>7.83</v>
      </c>
    </row>
    <row r="9" spans="1:10">
      <c r="C9" s="440" t="s">
        <v>1329</v>
      </c>
      <c r="D9" s="441" t="s">
        <v>1264</v>
      </c>
      <c r="E9" s="1105">
        <v>18.07</v>
      </c>
      <c r="F9" s="1105">
        <v>4.3600000000000003</v>
      </c>
      <c r="G9" s="446" t="s">
        <v>1330</v>
      </c>
    </row>
    <row r="10" spans="1:10">
      <c r="C10" s="440" t="s">
        <v>1269</v>
      </c>
      <c r="D10" s="441" t="s">
        <v>1270</v>
      </c>
      <c r="E10" s="1105">
        <v>10.18</v>
      </c>
      <c r="F10" s="1105">
        <v>4.99</v>
      </c>
      <c r="G10" s="446">
        <v>7.47</v>
      </c>
    </row>
    <row r="11" spans="1:10">
      <c r="C11" s="440" t="s">
        <v>1331</v>
      </c>
      <c r="D11" s="441" t="s">
        <v>1273</v>
      </c>
      <c r="E11" s="1105">
        <v>38.4</v>
      </c>
      <c r="F11" s="1105">
        <v>2.46</v>
      </c>
      <c r="G11" s="446">
        <v>7.98</v>
      </c>
    </row>
    <row r="12" spans="1:10">
      <c r="C12" s="553" t="s">
        <v>1286</v>
      </c>
      <c r="D12" s="441"/>
      <c r="E12" s="571">
        <f>AVERAGE(E8:E11)</f>
        <v>21.412500000000001</v>
      </c>
      <c r="F12" s="571">
        <f>AVERAGE(F8:F11)</f>
        <v>3.8600000000000003</v>
      </c>
      <c r="G12" s="572">
        <f>AVERAGE(G8:G11)</f>
        <v>7.7600000000000007</v>
      </c>
    </row>
    <row r="13" spans="1:10">
      <c r="C13" s="557" t="s">
        <v>1306</v>
      </c>
      <c r="D13" s="448"/>
      <c r="E13" s="573">
        <f>MEDIAN(E8:E11)</f>
        <v>18.535</v>
      </c>
      <c r="F13" s="573">
        <f>MEDIAN(F8:F11)</f>
        <v>3.9950000000000001</v>
      </c>
      <c r="G13" s="574">
        <f>MEDIAN(G8:G11)</f>
        <v>7.83</v>
      </c>
    </row>
    <row r="14" spans="1:10">
      <c r="C14" s="505" t="s">
        <v>1346</v>
      </c>
      <c r="D14" s="448" t="s">
        <v>1347</v>
      </c>
      <c r="E14" s="1135">
        <f>'FE Income Statement'!G22/'FE Balance Sheet'!G25*100</f>
        <v>49.029797684244649</v>
      </c>
      <c r="F14" s="1105">
        <f>'FE Income Statement'!G22/(('FE Balance Sheet'!G17+'FE Balance Sheet'!F17)/2)*100</f>
        <v>53.509064831693578</v>
      </c>
      <c r="G14" s="520">
        <f>'FE Income Statement'!G22/('FE Balance Sheet'!G15+'FE Balance Sheet'!G32)*100</f>
        <v>49.029797684244649</v>
      </c>
    </row>
    <row r="15" spans="1:10">
      <c r="F15" s="1162" t="s">
        <v>1348</v>
      </c>
      <c r="G15" s="1163">
        <f>('FE Income Statement'!G7/'FE Income Statement'!C7)^(1/COUNT('FE Income Statement'!C7:G7))-1</f>
        <v>0.31108668395188555</v>
      </c>
      <c r="J15" s="23"/>
    </row>
    <row r="18" spans="3:7">
      <c r="C18" s="1239" t="s">
        <v>1300</v>
      </c>
      <c r="D18" s="1237"/>
      <c r="E18" s="1237"/>
      <c r="F18" s="1237"/>
      <c r="G18" s="1265"/>
    </row>
    <row r="19" spans="3:7">
      <c r="C19" s="59" t="s">
        <v>1302</v>
      </c>
      <c r="D19" s="39" t="s">
        <v>1249</v>
      </c>
      <c r="E19" s="60" t="s">
        <v>27</v>
      </c>
      <c r="F19" s="60" t="s">
        <v>1166</v>
      </c>
      <c r="G19" s="954" t="s">
        <v>1303</v>
      </c>
    </row>
    <row r="20" spans="3:7">
      <c r="C20" s="44" t="s">
        <v>1336</v>
      </c>
      <c r="D20" s="127" t="s">
        <v>1261</v>
      </c>
      <c r="E20" s="40">
        <v>10354</v>
      </c>
      <c r="F20" s="40">
        <v>1528</v>
      </c>
      <c r="G20" s="84">
        <v>53.865172880046352</v>
      </c>
    </row>
    <row r="21" spans="3:7">
      <c r="C21" s="44" t="s">
        <v>1263</v>
      </c>
      <c r="D21" s="127" t="s">
        <v>1264</v>
      </c>
      <c r="E21" s="40">
        <v>5363690</v>
      </c>
      <c r="F21" s="40">
        <v>974030</v>
      </c>
      <c r="G21" s="84">
        <v>66.28290412011134</v>
      </c>
    </row>
    <row r="22" spans="3:7">
      <c r="C22" s="44" t="s">
        <v>1272</v>
      </c>
      <c r="D22" s="127" t="s">
        <v>1273</v>
      </c>
      <c r="E22" s="40">
        <v>4481</v>
      </c>
      <c r="F22" s="40">
        <v>1659</v>
      </c>
      <c r="G22" s="84">
        <v>135.13389868332959</v>
      </c>
    </row>
    <row r="23" spans="3:7">
      <c r="C23" s="44" t="s">
        <v>1337</v>
      </c>
      <c r="D23" s="127" t="s">
        <v>1276</v>
      </c>
      <c r="E23" s="40">
        <v>42760</v>
      </c>
      <c r="F23" s="40">
        <v>10929</v>
      </c>
      <c r="G23" s="84">
        <v>93.290107577174936</v>
      </c>
    </row>
    <row r="24" spans="3:7">
      <c r="C24" s="44" t="s">
        <v>1278</v>
      </c>
      <c r="D24" s="127" t="s">
        <v>1279</v>
      </c>
      <c r="E24" s="40">
        <v>467346</v>
      </c>
      <c r="F24" s="40">
        <v>38052</v>
      </c>
      <c r="G24" s="84">
        <v>29.718837863167764</v>
      </c>
    </row>
    <row r="25" spans="3:7">
      <c r="C25" s="44" t="s">
        <v>1346</v>
      </c>
      <c r="D25" s="127" t="s">
        <v>1349</v>
      </c>
      <c r="E25" s="40"/>
      <c r="F25" s="40"/>
      <c r="G25" s="84"/>
    </row>
    <row r="26" spans="3:7">
      <c r="C26" s="44" t="s">
        <v>1286</v>
      </c>
      <c r="D26" s="127"/>
      <c r="E26" s="40"/>
      <c r="F26" s="40"/>
      <c r="G26" s="84">
        <v>75.658184224766003</v>
      </c>
    </row>
    <row r="27" spans="3:7">
      <c r="C27" s="51" t="s">
        <v>1306</v>
      </c>
      <c r="D27" s="128"/>
      <c r="E27" s="81"/>
      <c r="F27" s="81"/>
      <c r="G27" s="303">
        <v>66.28290412011134</v>
      </c>
    </row>
  </sheetData>
  <mergeCells count="2">
    <mergeCell ref="C6:G6"/>
    <mergeCell ref="C18:G18"/>
  </mergeCells>
  <hyperlinks>
    <hyperlink ref="A2" location="'Index'!A1" display="Back to Index" xr:uid="{A965CE65-FC9E-479B-8D73-1E22AF085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Index</vt:lpstr>
      <vt:lpstr>BASES Model</vt:lpstr>
      <vt:lpstr>Purchase Intent and Price</vt:lpstr>
      <vt:lpstr>IMC Schedule</vt:lpstr>
      <vt:lpstr>Profile of Retail Environment</vt:lpstr>
      <vt:lpstr>Distribution Reach</vt:lpstr>
      <vt:lpstr>Operations Assumptions</vt:lpstr>
      <vt:lpstr>Time 0 Startup Inventory</vt:lpstr>
      <vt:lpstr>Production Capacity Analysis</vt:lpstr>
      <vt:lpstr>Inventory Management</vt:lpstr>
      <vt:lpstr>Logistics &amp; Transportation</vt:lpstr>
      <vt:lpstr>Capital Expenditures</vt:lpstr>
      <vt:lpstr>Information Systems Expense</vt:lpstr>
      <vt:lpstr>General and Administrative</vt:lpstr>
      <vt:lpstr>Manufacturing Overhead</vt:lpstr>
      <vt:lpstr>Labor Planning</vt:lpstr>
      <vt:lpstr>COGS</vt:lpstr>
      <vt:lpstr>Bill of Materials</vt:lpstr>
      <vt:lpstr>Location Analysis</vt:lpstr>
      <vt:lpstr>FE Assumptions</vt:lpstr>
      <vt:lpstr>FE Income Statement</vt:lpstr>
      <vt:lpstr>FE Balance Sheet</vt:lpstr>
      <vt:lpstr>FE Cash Flow</vt:lpstr>
      <vt:lpstr>Depreciation Schedule</vt:lpstr>
      <vt:lpstr>AR&amp;AP Calculations </vt:lpstr>
      <vt:lpstr>Comparable Companies</vt:lpstr>
      <vt:lpstr>Financial Ratios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Fong</dc:creator>
  <cp:keywords/>
  <dc:description/>
  <cp:lastModifiedBy>Soukhaseum, Deanna</cp:lastModifiedBy>
  <cp:revision/>
  <dcterms:created xsi:type="dcterms:W3CDTF">2024-03-26T17:08:05Z</dcterms:created>
  <dcterms:modified xsi:type="dcterms:W3CDTF">2025-08-11T23:05:57Z</dcterms:modified>
  <cp:category/>
  <cp:contentStatus/>
</cp:coreProperties>
</file>