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U173XXX" sheetId="1" r:id="rId1"/>
    <sheet name="Chart1" sheetId="5" r:id="rId2"/>
    <sheet name="U173XXX Trade" sheetId="3" r:id="rId3"/>
    <sheet name="Sheet1" sheetId="4" r:id="rId4"/>
    <sheet name="U615XXX" sheetId="2" r:id="rId5"/>
  </sheets>
  <definedNames>
    <definedName name="SpreadsheetBuilder_1" hidden="1">'U173XXX Trade'!$U$30:$V$36</definedName>
  </definedNames>
  <calcPr calcId="152511"/>
</workbook>
</file>

<file path=xl/calcChain.xml><?xml version="1.0" encoding="utf-8"?>
<calcChain xmlns="http://schemas.openxmlformats.org/spreadsheetml/2006/main">
  <c r="S31" i="3" l="1"/>
  <c r="D31" i="3" l="1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30" i="3"/>
  <c r="B14" i="1" l="1"/>
  <c r="E31" i="3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30" i="3"/>
  <c r="C31" i="3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B52" i="3"/>
  <c r="B53" i="3"/>
  <c r="B54" i="3"/>
  <c r="B55" i="3"/>
  <c r="B56" i="3"/>
  <c r="B57" i="3"/>
  <c r="B58" i="3"/>
  <c r="B59" i="3"/>
  <c r="B60" i="3"/>
  <c r="B61" i="3"/>
  <c r="B62" i="3"/>
  <c r="B63" i="3"/>
  <c r="B51" i="3"/>
  <c r="B50" i="3"/>
  <c r="B39" i="3"/>
  <c r="B40" i="3"/>
  <c r="B41" i="3"/>
  <c r="B42" i="3"/>
  <c r="B43" i="3"/>
  <c r="B44" i="3"/>
  <c r="B45" i="3"/>
  <c r="B46" i="3"/>
  <c r="B47" i="3"/>
  <c r="B48" i="3"/>
  <c r="B49" i="3"/>
  <c r="B38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J30" i="3"/>
  <c r="H30" i="3"/>
  <c r="B10" i="1"/>
  <c r="B20" i="1" l="1"/>
  <c r="B16" i="1"/>
  <c r="G17" i="2"/>
  <c r="C14" i="2"/>
  <c r="B14" i="2"/>
  <c r="G1" i="2"/>
  <c r="N30" i="3"/>
  <c r="P30" i="3"/>
  <c r="O30" i="3"/>
  <c r="L30" i="3"/>
  <c r="B10" i="2"/>
  <c r="C10" i="2"/>
  <c r="A30" i="3" l="1"/>
  <c r="B20" i="2"/>
  <c r="C20" i="2"/>
  <c r="B16" i="2"/>
  <c r="C16" i="2"/>
  <c r="G17" i="1"/>
  <c r="G1" i="1"/>
  <c r="C14" i="1"/>
  <c r="C10" i="1"/>
  <c r="C20" i="1" l="1"/>
  <c r="C16" i="1"/>
</calcChain>
</file>

<file path=xl/sharedStrings.xml><?xml version="1.0" encoding="utf-8"?>
<sst xmlns="http://schemas.openxmlformats.org/spreadsheetml/2006/main" count="119" uniqueCount="59">
  <si>
    <t>TLT</t>
  </si>
  <si>
    <t>SPY</t>
  </si>
  <si>
    <t>Strategy</t>
  </si>
  <si>
    <t>TLT_2ndM_95OTM_FixedLeverage2_5</t>
  </si>
  <si>
    <t>SPY_2ndM_95OTM_FixedLeverage2_5</t>
  </si>
  <si>
    <t>PX_LAST</t>
  </si>
  <si>
    <t>AUM</t>
  </si>
  <si>
    <t>Weights</t>
  </si>
  <si>
    <t>Strategy Leverage</t>
  </si>
  <si>
    <t>Notional</t>
  </si>
  <si>
    <t>No. Contracts</t>
  </si>
  <si>
    <t>Strike Price</t>
  </si>
  <si>
    <t>StrikePrice%</t>
  </si>
  <si>
    <t>Trades</t>
  </si>
  <si>
    <t>Data</t>
  </si>
  <si>
    <t>Order</t>
  </si>
  <si>
    <t>Equity and Index Options - Held with Interactive Brokers (U.K.) Limited carried by Interactive Brokers LLC</t>
  </si>
  <si>
    <t>USD</t>
  </si>
  <si>
    <t>SPY 16JUN23 390 P</t>
  </si>
  <si>
    <t>2023-04-21, 15:25:55</t>
  </si>
  <si>
    <t>O</t>
  </si>
  <si>
    <t>2023-05-10, 15:16:02</t>
  </si>
  <si>
    <t>2023-05-26, 11:06:20</t>
  </si>
  <si>
    <t>C;P</t>
  </si>
  <si>
    <t>SPY 21JUL23 398 P</t>
  </si>
  <si>
    <t>O;P</t>
  </si>
  <si>
    <t>TLT 16JUN23 103 P</t>
  </si>
  <si>
    <t>2023-05-10, 15:10:56</t>
  </si>
  <si>
    <t>2023-05-26, 11:34:30</t>
  </si>
  <si>
    <t>TLT 21JUL23 100 P</t>
  </si>
  <si>
    <t>Header</t>
  </si>
  <si>
    <t>DataDiscriminator</t>
  </si>
  <si>
    <t>Asset Category</t>
  </si>
  <si>
    <t>Currency</t>
  </si>
  <si>
    <t>Symbol</t>
  </si>
  <si>
    <t>Date/Time</t>
  </si>
  <si>
    <t>Quantity</t>
  </si>
  <si>
    <t>T. Price</t>
  </si>
  <si>
    <t>C. Price</t>
  </si>
  <si>
    <t>Proceeds</t>
  </si>
  <si>
    <t>Comm/Fee</t>
  </si>
  <si>
    <t>Basis</t>
  </si>
  <si>
    <t>Realized P/L</t>
  </si>
  <si>
    <t>Realized P/L %</t>
  </si>
  <si>
    <t>MTM P/L</t>
  </si>
  <si>
    <t>Code</t>
  </si>
  <si>
    <t>SPY US 06/16/23 P390 Equity</t>
  </si>
  <si>
    <t>SPY US 07/21/23 P398 Equity</t>
  </si>
  <si>
    <t>TLT US 06/16/23 P103 Equity</t>
  </si>
  <si>
    <t>TLT US 07/21/23 P100 Equity</t>
  </si>
  <si>
    <t>Exit Price</t>
  </si>
  <si>
    <t>Entry Price</t>
  </si>
  <si>
    <t>PNL Index</t>
  </si>
  <si>
    <t>Date</t>
  </si>
  <si>
    <t>PNL$</t>
  </si>
  <si>
    <t>SPY US Equity</t>
  </si>
  <si>
    <t>TLT US Equity</t>
  </si>
  <si>
    <t>PNL%</t>
  </si>
  <si>
    <t>PNL%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</si>
</sst>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164" fontId="0" fillId="0" borderId="0" xfId="1" applyNumberFormat="1" applyFont="1"/>
    <xf numFmtId="0" fontId="2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0" xfId="0" applyNumberFormat="1"/>
    <xf numFmtId="0" fontId="2" fillId="2" borderId="1" xfId="2" applyFont="1"/>
    <xf numFmtId="0" fontId="2" fillId="2" borderId="1" xfId="2" applyFont="1" applyAlignment="1">
      <alignment horizontal="center" vertical="center"/>
    </xf>
    <xf numFmtId="0" fontId="2" fillId="2" borderId="1" xfId="2" applyFont="1" applyAlignment="1">
      <alignment horizontal="left" vertical="center"/>
    </xf>
    <xf numFmtId="43" fontId="2" fillId="2" borderId="1" xfId="2" applyNumberFormat="1" applyFont="1" applyAlignment="1">
      <alignment horizontal="left" vertical="center"/>
    </xf>
    <xf numFmtId="14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0" fillId="3" borderId="0" xfId="0" applyFill="1"/>
    <xf numFmtId="0" fontId="0" fillId="4" borderId="0" xfId="0" applyFill="1"/>
    <xf numFmtId="164" fontId="0" fillId="3" borderId="0" xfId="1" applyNumberFormat="1" applyFont="1" applyFill="1"/>
    <xf numFmtId="14" fontId="0" fillId="0" borderId="0" xfId="0" applyNumberFormat="1" applyFill="1"/>
    <xf numFmtId="164" fontId="0" fillId="0" borderId="0" xfId="1" applyNumberFormat="1" applyFont="1" applyFill="1"/>
    <xf numFmtId="0" fontId="0" fillId="0" borderId="2" xfId="0" applyBorder="1"/>
    <xf numFmtId="164" fontId="0" fillId="0" borderId="0" xfId="0" applyNumberFormat="1"/>
    <xf numFmtId="10" fontId="0" fillId="0" borderId="0" xfId="3" applyNumberFormat="1" applyFont="1" applyFill="1"/>
    <xf numFmtId="165" fontId="0" fillId="0" borderId="0" xfId="3" applyNumberFormat="1" applyFont="1"/>
    <xf numFmtId="10" fontId="0" fillId="0" borderId="0" xfId="3" applyNumberFormat="1" applyFont="1"/>
  </cellXfs>
  <cellStyles count="4">
    <cellStyle name="Comma" xfId="1" builtinId="3"/>
    <cellStyle name="Normal" xfId="0" builtinId="0"/>
    <cellStyle name="Note" xfId="2" builtinId="10"/>
    <cellStyle name="Percent" xfId="3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434.94</v>
        <stp/>
        <stp>##V3_BDPV12</stp>
        <stp>SPY US Equity</stp>
        <stp>PX_LAST</stp>
        <stp>[2023-05-08TestingTrade.xlsx]U173XXX!R10C3</stp>
        <tr r="C10" s="1"/>
      </tp>
      <tp>
        <v>434.94</v>
        <stp/>
        <stp>##V3_BDPV12</stp>
        <stp>SPY US Equity</stp>
        <stp>PX_LAST</stp>
        <stp>[2023-05-08TestingTrade.xlsx]U615XXX!R10C3</stp>
        <tr r="C10" s="2"/>
      </tp>
      <tp>
        <v>103.56</v>
        <stp/>
        <stp>##V3_BDPV12</stp>
        <stp>TLT US Equity</stp>
        <stp>PX_LAST</stp>
        <stp>[2023-05-08TestingTrade.xlsx]U615XXX!R10C2</stp>
        <tr r="B10" s="2"/>
      </tp>
    </main>
    <main first="bofaddin.rtdserver">
      <tp t="e">
        <v>#N/A</v>
        <stp/>
        <stp>BDH|12586093242726569822</stp>
        <tr r="L30" s="3"/>
      </tp>
      <tp t="e">
        <v>#N/A</v>
        <stp/>
        <stp>BDH|16887183118719174020</stp>
        <tr r="N30" s="3"/>
      </tp>
    </main>
    <main first="bloomberg.rtd">
      <tp>
        <v>103.56</v>
        <stp/>
        <stp>##V3_BDPV12</stp>
        <stp>TLT US Equity</stp>
        <stp>PX_LAST</stp>
        <stp>[2023-05-08TestingTrade.xlsx]U173XXX!R10C2</stp>
        <tr r="B10" s="1"/>
      </tp>
    </main>
    <main first="bofaddin.rtdserver">
      <tp t="e">
        <v>#N/A</v>
        <stp/>
        <stp>BDH|13193851361882822321</stp>
        <tr r="O30" s="3"/>
      </tp>
      <tp t="e">
        <v>#N/A</v>
        <stp/>
        <stp>BDH|14398617779090759538</stp>
        <tr r="H30" s="3"/>
      </tp>
      <tp t="e">
        <v>#N/A</v>
        <stp/>
        <stp>BDH|14509400320640528392</stp>
        <tr r="J30" s="3"/>
      </tp>
    </main>
    <main first="bofaddin.rtdserver">
      <tp t="e">
        <v>#N/A</v>
        <stp/>
        <stp>BDH|7891730575597880788</stp>
        <tr r="P30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U173XXX</a:t>
            </a:r>
            <a:r>
              <a:rPr lang="en-US" altLang="zh-CN" b="1" baseline="0"/>
              <a:t> </a:t>
            </a:r>
            <a:r>
              <a:rPr lang="en-GB" b="1"/>
              <a:t>Sigmaa003 Enhanced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'U173XXX Trade'!$A$30:$A$100</c:f>
              <c:numCache>
                <c:formatCode>m/d/yyyy</c:formatCode>
                <c:ptCount val="71"/>
                <c:pt idx="0">
                  <c:v>45047</c:v>
                </c:pt>
                <c:pt idx="1">
                  <c:v>45048</c:v>
                </c:pt>
                <c:pt idx="2">
                  <c:v>45049</c:v>
                </c:pt>
                <c:pt idx="3">
                  <c:v>45050</c:v>
                </c:pt>
                <c:pt idx="4">
                  <c:v>45051</c:v>
                </c:pt>
                <c:pt idx="5">
                  <c:v>45054</c:v>
                </c:pt>
                <c:pt idx="6">
                  <c:v>45055</c:v>
                </c:pt>
                <c:pt idx="7">
                  <c:v>45056</c:v>
                </c:pt>
                <c:pt idx="8">
                  <c:v>45057</c:v>
                </c:pt>
                <c:pt idx="9">
                  <c:v>45058</c:v>
                </c:pt>
                <c:pt idx="10">
                  <c:v>45061</c:v>
                </c:pt>
                <c:pt idx="11">
                  <c:v>45062</c:v>
                </c:pt>
                <c:pt idx="12">
                  <c:v>45063</c:v>
                </c:pt>
                <c:pt idx="13">
                  <c:v>45064</c:v>
                </c:pt>
                <c:pt idx="14">
                  <c:v>45065</c:v>
                </c:pt>
                <c:pt idx="15">
                  <c:v>45068</c:v>
                </c:pt>
                <c:pt idx="16">
                  <c:v>45069</c:v>
                </c:pt>
                <c:pt idx="17">
                  <c:v>45070</c:v>
                </c:pt>
                <c:pt idx="18">
                  <c:v>45071</c:v>
                </c:pt>
                <c:pt idx="19">
                  <c:v>45072</c:v>
                </c:pt>
                <c:pt idx="20">
                  <c:v>45076</c:v>
                </c:pt>
                <c:pt idx="21">
                  <c:v>45077</c:v>
                </c:pt>
                <c:pt idx="22">
                  <c:v>45078</c:v>
                </c:pt>
                <c:pt idx="23">
                  <c:v>45079</c:v>
                </c:pt>
                <c:pt idx="24">
                  <c:v>45082</c:v>
                </c:pt>
                <c:pt idx="25">
                  <c:v>45083</c:v>
                </c:pt>
                <c:pt idx="26">
                  <c:v>45084</c:v>
                </c:pt>
                <c:pt idx="27">
                  <c:v>45085</c:v>
                </c:pt>
                <c:pt idx="28">
                  <c:v>45086</c:v>
                </c:pt>
                <c:pt idx="29">
                  <c:v>45089</c:v>
                </c:pt>
                <c:pt idx="30">
                  <c:v>45090</c:v>
                </c:pt>
                <c:pt idx="31">
                  <c:v>45091</c:v>
                </c:pt>
                <c:pt idx="32">
                  <c:v>45092</c:v>
                </c:pt>
                <c:pt idx="33">
                  <c:v>45093</c:v>
                </c:pt>
              </c:numCache>
            </c:numRef>
          </c:cat>
          <c:val>
            <c:numRef>
              <c:f>'U173XXX Trade'!$F$30:$F$100</c:f>
              <c:numCache>
                <c:formatCode>0.0%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6.0640633538824431E-3</c:v>
                </c:pt>
                <c:pt idx="9">
                  <c:v>3.1716886178116376E-3</c:v>
                </c:pt>
                <c:pt idx="10">
                  <c:v>-7.0371708872326525E-4</c:v>
                </c:pt>
                <c:pt idx="11">
                  <c:v>-4.8155191772267601E-3</c:v>
                </c:pt>
                <c:pt idx="12">
                  <c:v>-2.7780886681601988E-3</c:v>
                </c:pt>
                <c:pt idx="13">
                  <c:v>-7.9229704814883506E-3</c:v>
                </c:pt>
                <c:pt idx="14">
                  <c:v>-1.5531093616035087E-2</c:v>
                </c:pt>
                <c:pt idx="15">
                  <c:v>-1.7510120814221222E-2</c:v>
                </c:pt>
                <c:pt idx="16">
                  <c:v>-1.5574358712032594E-2</c:v>
                </c:pt>
                <c:pt idx="17">
                  <c:v>-2.1637832934872658E-2</c:v>
                </c:pt>
                <c:pt idx="18">
                  <c:v>-2.7320042453434543E-2</c:v>
                </c:pt>
                <c:pt idx="19">
                  <c:v>-2.2376347004556738E-2</c:v>
                </c:pt>
                <c:pt idx="20">
                  <c:v>-3.2289971333353644E-3</c:v>
                </c:pt>
                <c:pt idx="21">
                  <c:v>4.6635293440393938E-3</c:v>
                </c:pt>
                <c:pt idx="22">
                  <c:v>8.3395052796113069E-3</c:v>
                </c:pt>
                <c:pt idx="23">
                  <c:v>4.5890004039549686E-3</c:v>
                </c:pt>
                <c:pt idx="24">
                  <c:v>5.1911778777000307E-3</c:v>
                </c:pt>
                <c:pt idx="25">
                  <c:v>9.4120847971094872E-3</c:v>
                </c:pt>
                <c:pt idx="26">
                  <c:v>-1.9027635790765142E-3</c:v>
                </c:pt>
                <c:pt idx="27">
                  <c:v>5.8745554542315353E-3</c:v>
                </c:pt>
                <c:pt idx="28">
                  <c:v>5.5384758705861277E-3</c:v>
                </c:pt>
                <c:pt idx="29">
                  <c:v>5.8488509947361798E-3</c:v>
                </c:pt>
                <c:pt idx="30">
                  <c:v>2.9286969348703978E-4</c:v>
                </c:pt>
                <c:pt idx="31">
                  <c:v>7.9884762883598096E-3</c:v>
                </c:pt>
                <c:pt idx="32">
                  <c:v>1.4258512117135975E-2</c:v>
                </c:pt>
                <c:pt idx="33">
                  <c:v>1.421112144741103E-2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896728"/>
        <c:axId val="2058951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'U173XXX Trade'!$A$30:$A$100</c:f>
              <c:numCache>
                <c:formatCode>m/d/yyyy</c:formatCode>
                <c:ptCount val="71"/>
                <c:pt idx="0">
                  <c:v>45047</c:v>
                </c:pt>
                <c:pt idx="1">
                  <c:v>45048</c:v>
                </c:pt>
                <c:pt idx="2">
                  <c:v>45049</c:v>
                </c:pt>
                <c:pt idx="3">
                  <c:v>45050</c:v>
                </c:pt>
                <c:pt idx="4">
                  <c:v>45051</c:v>
                </c:pt>
                <c:pt idx="5">
                  <c:v>45054</c:v>
                </c:pt>
                <c:pt idx="6">
                  <c:v>45055</c:v>
                </c:pt>
                <c:pt idx="7">
                  <c:v>45056</c:v>
                </c:pt>
                <c:pt idx="8">
                  <c:v>45057</c:v>
                </c:pt>
                <c:pt idx="9">
                  <c:v>45058</c:v>
                </c:pt>
                <c:pt idx="10">
                  <c:v>45061</c:v>
                </c:pt>
                <c:pt idx="11">
                  <c:v>45062</c:v>
                </c:pt>
                <c:pt idx="12">
                  <c:v>45063</c:v>
                </c:pt>
                <c:pt idx="13">
                  <c:v>45064</c:v>
                </c:pt>
                <c:pt idx="14">
                  <c:v>45065</c:v>
                </c:pt>
                <c:pt idx="15">
                  <c:v>45068</c:v>
                </c:pt>
                <c:pt idx="16">
                  <c:v>45069</c:v>
                </c:pt>
                <c:pt idx="17">
                  <c:v>45070</c:v>
                </c:pt>
                <c:pt idx="18">
                  <c:v>45071</c:v>
                </c:pt>
                <c:pt idx="19">
                  <c:v>45072</c:v>
                </c:pt>
                <c:pt idx="20">
                  <c:v>45076</c:v>
                </c:pt>
                <c:pt idx="21">
                  <c:v>45077</c:v>
                </c:pt>
                <c:pt idx="22">
                  <c:v>45078</c:v>
                </c:pt>
                <c:pt idx="23">
                  <c:v>45079</c:v>
                </c:pt>
                <c:pt idx="24">
                  <c:v>45082</c:v>
                </c:pt>
                <c:pt idx="25">
                  <c:v>45083</c:v>
                </c:pt>
                <c:pt idx="26">
                  <c:v>45084</c:v>
                </c:pt>
                <c:pt idx="27">
                  <c:v>45085</c:v>
                </c:pt>
                <c:pt idx="28">
                  <c:v>45086</c:v>
                </c:pt>
                <c:pt idx="29">
                  <c:v>45089</c:v>
                </c:pt>
                <c:pt idx="30">
                  <c:v>45090</c:v>
                </c:pt>
                <c:pt idx="31">
                  <c:v>45091</c:v>
                </c:pt>
                <c:pt idx="32">
                  <c:v>45092</c:v>
                </c:pt>
                <c:pt idx="33">
                  <c:v>45093</c:v>
                </c:pt>
              </c:numCache>
            </c:numRef>
          </c:cat>
          <c:val>
            <c:numRef>
              <c:f>'U173XXX Trade'!$C$30:$C$100</c:f>
              <c:numCache>
                <c:formatCode>_-* #,##0_-;\-* #,##0_-;_-* "-"??_-;_-@_-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1265.0000000000009</c:v>
                </c:pt>
                <c:pt idx="9">
                  <c:v>665.00000000000091</c:v>
                </c:pt>
                <c:pt idx="10">
                  <c:v>-134.99999999999909</c:v>
                </c:pt>
                <c:pt idx="11">
                  <c:v>-979.99999999999818</c:v>
                </c:pt>
                <c:pt idx="12">
                  <c:v>-559.99999999999909</c:v>
                </c:pt>
                <c:pt idx="13">
                  <c:v>-1619.9999999999982</c:v>
                </c:pt>
                <c:pt idx="14">
                  <c:v>-3179.9999999999991</c:v>
                </c:pt>
                <c:pt idx="15">
                  <c:v>-3584.9999999999991</c:v>
                </c:pt>
                <c:pt idx="16">
                  <c:v>-3190.0000000000009</c:v>
                </c:pt>
                <c:pt idx="17">
                  <c:v>-4419.9999999999991</c:v>
                </c:pt>
                <c:pt idx="18">
                  <c:v>-5574.9999999999991</c:v>
                </c:pt>
                <c:pt idx="19">
                  <c:v>-4559.9999999999991</c:v>
                </c:pt>
                <c:pt idx="20">
                  <c:v>-604.99999999999727</c:v>
                </c:pt>
                <c:pt idx="21">
                  <c:v>1030.0000000000027</c:v>
                </c:pt>
                <c:pt idx="22">
                  <c:v>1795.0000000000027</c:v>
                </c:pt>
                <c:pt idx="23">
                  <c:v>1015.0000000000027</c:v>
                </c:pt>
                <c:pt idx="24">
                  <c:v>1140.0000000000027</c:v>
                </c:pt>
                <c:pt idx="25">
                  <c:v>2020.0000000000027</c:v>
                </c:pt>
                <c:pt idx="26">
                  <c:v>-314.99999999999727</c:v>
                </c:pt>
                <c:pt idx="27">
                  <c:v>1305.0000000000027</c:v>
                </c:pt>
                <c:pt idx="28">
                  <c:v>1235.0000000000027</c:v>
                </c:pt>
                <c:pt idx="29">
                  <c:v>1300.0000000000032</c:v>
                </c:pt>
                <c:pt idx="30">
                  <c:v>140.00000000000273</c:v>
                </c:pt>
                <c:pt idx="31">
                  <c:v>1755.0000000000023</c:v>
                </c:pt>
                <c:pt idx="32">
                  <c:v>3085.0000000000027</c:v>
                </c:pt>
                <c:pt idx="33">
                  <c:v>3075.0000000000027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93200"/>
        <c:axId val="205893592"/>
      </c:lineChart>
      <c:dateAx>
        <c:axId val="205893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93592"/>
        <c:crosses val="autoZero"/>
        <c:auto val="1"/>
        <c:lblOffset val="100"/>
        <c:baseTimeUnit val="days"/>
      </c:dateAx>
      <c:valAx>
        <c:axId val="20589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10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93200"/>
        <c:crosses val="autoZero"/>
        <c:crossBetween val="between"/>
      </c:valAx>
      <c:valAx>
        <c:axId val="205895160"/>
        <c:scaling>
          <c:orientation val="minMax"/>
          <c:max val="0.1"/>
          <c:min val="-5.000000000000001E-2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96728"/>
        <c:crosses val="max"/>
        <c:crossBetween val="between"/>
      </c:valAx>
      <c:dateAx>
        <c:axId val="2058967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58951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784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="130" zoomScaleNormal="130" workbookViewId="0">
      <selection activeCell="D11" sqref="D11"/>
    </sheetView>
  </sheetViews>
  <sheetFormatPr defaultRowHeight="15" x14ac:dyDescent="0.25"/>
  <cols>
    <col min="1" max="1" width="16.85546875" bestFit="1" customWidth="1"/>
    <col min="2" max="2" width="35" bestFit="1" customWidth="1"/>
    <col min="3" max="3" width="35.42578125" bestFit="1" customWidth="1"/>
    <col min="7" max="7" width="10.5703125" bestFit="1" customWidth="1"/>
  </cols>
  <sheetData>
    <row r="1" spans="1:7" x14ac:dyDescent="0.25">
      <c r="A1" s="1" t="s">
        <v>6</v>
      </c>
      <c r="B1" s="3">
        <v>430000</v>
      </c>
      <c r="G1" s="8">
        <f>B1*0.06</f>
        <v>25800</v>
      </c>
    </row>
    <row r="4" spans="1:7" x14ac:dyDescent="0.25">
      <c r="B4" s="4" t="s">
        <v>0</v>
      </c>
      <c r="C4" s="4" t="s">
        <v>1</v>
      </c>
    </row>
    <row r="6" spans="1:7" x14ac:dyDescent="0.25">
      <c r="A6" s="1" t="s">
        <v>2</v>
      </c>
      <c r="B6" s="4" t="s">
        <v>3</v>
      </c>
      <c r="C6" s="4" t="s">
        <v>4</v>
      </c>
    </row>
    <row r="8" spans="1:7" x14ac:dyDescent="0.25">
      <c r="A8" s="1" t="s">
        <v>7</v>
      </c>
      <c r="B8" s="5">
        <v>0.3</v>
      </c>
      <c r="C8" s="5">
        <v>0.2</v>
      </c>
    </row>
    <row r="10" spans="1:7" x14ac:dyDescent="0.25">
      <c r="A10" s="1" t="s">
        <v>5</v>
      </c>
      <c r="B10" s="2">
        <f>_xll.BDP("TLT US Equity",$A$10)</f>
        <v>103.56</v>
      </c>
      <c r="C10" s="2">
        <f>_xll.BDP("SPY US Equity",$A$10)</f>
        <v>434.94</v>
      </c>
    </row>
    <row r="12" spans="1:7" x14ac:dyDescent="0.25">
      <c r="A12" s="1" t="s">
        <v>8</v>
      </c>
      <c r="B12" s="2">
        <v>2.5</v>
      </c>
      <c r="C12" s="2">
        <v>2.5</v>
      </c>
    </row>
    <row r="14" spans="1:7" x14ac:dyDescent="0.25">
      <c r="A14" s="1" t="s">
        <v>9</v>
      </c>
      <c r="B14" s="7">
        <f>$B$1*B8*B12</f>
        <v>322500</v>
      </c>
      <c r="C14" s="7">
        <f>$B$1*C8*C12</f>
        <v>215000</v>
      </c>
    </row>
    <row r="16" spans="1:7" x14ac:dyDescent="0.25">
      <c r="A16" s="11" t="s">
        <v>10</v>
      </c>
      <c r="B16" s="12">
        <f>ROUNDDOWN(B14/(B10*100),0)</f>
        <v>31</v>
      </c>
      <c r="C16" s="12">
        <f>ROUNDDOWN(C14/(C10*100),0)</f>
        <v>4</v>
      </c>
    </row>
    <row r="17" spans="1:7" x14ac:dyDescent="0.25">
      <c r="G17">
        <f>200*62</f>
        <v>12400</v>
      </c>
    </row>
    <row r="18" spans="1:7" x14ac:dyDescent="0.25">
      <c r="A18" t="s">
        <v>12</v>
      </c>
      <c r="B18" s="2">
        <v>0.98</v>
      </c>
      <c r="C18" s="6">
        <v>0.95</v>
      </c>
    </row>
    <row r="20" spans="1:7" x14ac:dyDescent="0.25">
      <c r="A20" s="9" t="s">
        <v>11</v>
      </c>
      <c r="B20" s="10">
        <f>ROUND(B10*B18,0)</f>
        <v>101</v>
      </c>
      <c r="C20" s="10">
        <f>ROUND(C10*C18,0)</f>
        <v>413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topLeftCell="A16" workbookViewId="0">
      <selection activeCell="R37" sqref="R37"/>
    </sheetView>
  </sheetViews>
  <sheetFormatPr defaultRowHeight="15" x14ac:dyDescent="0.25"/>
  <cols>
    <col min="1" max="1" width="10.85546875" bestFit="1" customWidth="1"/>
    <col min="2" max="2" width="13.42578125" customWidth="1"/>
    <col min="3" max="3" width="18.140625" customWidth="1"/>
    <col min="4" max="4" width="15.42578125" customWidth="1"/>
    <col min="5" max="5" width="11" customWidth="1"/>
    <col min="6" max="6" width="15.28515625" customWidth="1"/>
    <col min="7" max="8" width="11" customWidth="1"/>
    <col min="9" max="9" width="17.28515625" bestFit="1" customWidth="1"/>
    <col min="10" max="10" width="18.85546875" bestFit="1" customWidth="1"/>
    <col min="11" max="11" width="11.7109375" customWidth="1"/>
    <col min="12" max="12" width="10.7109375" bestFit="1" customWidth="1"/>
    <col min="13" max="13" width="13.28515625" customWidth="1"/>
    <col min="14" max="14" width="10.7109375" bestFit="1" customWidth="1"/>
    <col min="15" max="15" width="16.140625" customWidth="1"/>
    <col min="16" max="16" width="25.85546875" bestFit="1" customWidth="1"/>
    <col min="17" max="18" width="12" bestFit="1" customWidth="1"/>
    <col min="19" max="19" width="14" bestFit="1" customWidth="1"/>
    <col min="20" max="20" width="15.140625" customWidth="1"/>
  </cols>
  <sheetData>
    <row r="1" spans="1:18" x14ac:dyDescent="0.25">
      <c r="A1" s="1" t="s">
        <v>13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/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" t="s">
        <v>43</v>
      </c>
      <c r="Q1" s="1" t="s">
        <v>44</v>
      </c>
      <c r="R1" s="1" t="s">
        <v>45</v>
      </c>
    </row>
    <row r="2" spans="1:18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>
        <v>-2</v>
      </c>
      <c r="J2">
        <v>4.12</v>
      </c>
      <c r="K2">
        <v>4.04</v>
      </c>
      <c r="L2">
        <v>824</v>
      </c>
      <c r="M2">
        <v>-0.56957199999999997</v>
      </c>
      <c r="N2">
        <v>-823.43042800000001</v>
      </c>
      <c r="O2">
        <v>0</v>
      </c>
      <c r="P2">
        <v>0</v>
      </c>
      <c r="Q2">
        <v>16</v>
      </c>
      <c r="R2" t="s">
        <v>20</v>
      </c>
    </row>
    <row r="3" spans="1:18" x14ac:dyDescent="0.25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21</v>
      </c>
      <c r="H3">
        <v>-3</v>
      </c>
      <c r="J3">
        <v>2.83</v>
      </c>
      <c r="K3">
        <v>2.7254999999999998</v>
      </c>
      <c r="L3">
        <v>849</v>
      </c>
      <c r="M3">
        <v>-2.0812620000000002</v>
      </c>
      <c r="N3">
        <v>-846.91873799999996</v>
      </c>
      <c r="O3">
        <v>0</v>
      </c>
      <c r="P3">
        <v>0</v>
      </c>
      <c r="Q3">
        <v>31.35</v>
      </c>
      <c r="R3" t="s">
        <v>20</v>
      </c>
    </row>
    <row r="4" spans="1:18" x14ac:dyDescent="0.25">
      <c r="A4" t="s">
        <v>13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  <c r="G4" t="s">
        <v>22</v>
      </c>
      <c r="H4">
        <v>5</v>
      </c>
      <c r="J4">
        <v>1.1499999999999999</v>
      </c>
      <c r="K4">
        <v>1.125</v>
      </c>
      <c r="L4">
        <v>-575</v>
      </c>
      <c r="M4">
        <v>-3.5077500000000001</v>
      </c>
      <c r="N4">
        <v>1670.349166</v>
      </c>
      <c r="O4">
        <v>1091.841416</v>
      </c>
      <c r="P4">
        <v>65.366058679000005</v>
      </c>
      <c r="Q4">
        <v>-12.5</v>
      </c>
      <c r="R4" t="s">
        <v>23</v>
      </c>
    </row>
    <row r="5" spans="1:18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26</v>
      </c>
      <c r="G5" t="s">
        <v>27</v>
      </c>
      <c r="H5">
        <v>-30</v>
      </c>
      <c r="J5">
        <v>1.7</v>
      </c>
      <c r="K5">
        <v>1.66</v>
      </c>
      <c r="L5">
        <v>5100</v>
      </c>
      <c r="M5">
        <v>-13.5855</v>
      </c>
      <c r="N5">
        <v>-5086.4144999999999</v>
      </c>
      <c r="O5">
        <v>0</v>
      </c>
      <c r="P5">
        <v>0</v>
      </c>
      <c r="Q5">
        <v>120</v>
      </c>
      <c r="R5" t="s">
        <v>20</v>
      </c>
    </row>
    <row r="6" spans="1:18" ht="15.75" thickBot="1" x14ac:dyDescent="0.3">
      <c r="A6" s="21" t="s">
        <v>13</v>
      </c>
      <c r="B6" s="21" t="s">
        <v>14</v>
      </c>
      <c r="C6" s="21" t="s">
        <v>15</v>
      </c>
      <c r="D6" s="21" t="s">
        <v>16</v>
      </c>
      <c r="E6" s="21" t="s">
        <v>17</v>
      </c>
      <c r="F6" s="21" t="s">
        <v>26</v>
      </c>
      <c r="G6" s="21" t="s">
        <v>28</v>
      </c>
      <c r="H6" s="21">
        <v>30</v>
      </c>
      <c r="I6" s="21"/>
      <c r="J6" s="21">
        <v>3.5</v>
      </c>
      <c r="K6" s="21">
        <v>2.8729</v>
      </c>
      <c r="L6" s="21">
        <v>-10500</v>
      </c>
      <c r="M6" s="21">
        <v>-20.971499999999999</v>
      </c>
      <c r="N6" s="21">
        <v>5086.4144999999999</v>
      </c>
      <c r="O6" s="21">
        <v>-5434.5569999999998</v>
      </c>
      <c r="P6" s="21">
        <v>-106.844556219</v>
      </c>
      <c r="Q6" s="21">
        <v>-1881.3</v>
      </c>
      <c r="R6" s="21" t="s">
        <v>23</v>
      </c>
    </row>
    <row r="7" spans="1:18" x14ac:dyDescent="0.25">
      <c r="A7" t="s">
        <v>13</v>
      </c>
      <c r="B7" t="s">
        <v>14</v>
      </c>
      <c r="C7" t="s">
        <v>15</v>
      </c>
      <c r="D7" t="s">
        <v>16</v>
      </c>
      <c r="E7" t="s">
        <v>17</v>
      </c>
      <c r="F7" t="s">
        <v>24</v>
      </c>
      <c r="G7" t="s">
        <v>22</v>
      </c>
      <c r="H7">
        <v>-5</v>
      </c>
      <c r="J7">
        <v>4.1399999999999997</v>
      </c>
      <c r="K7">
        <v>4.0400999999999998</v>
      </c>
      <c r="L7">
        <v>2070</v>
      </c>
      <c r="M7">
        <v>-3.5365099999999998</v>
      </c>
      <c r="N7">
        <v>-2066.4634900000001</v>
      </c>
      <c r="O7">
        <v>0</v>
      </c>
      <c r="P7">
        <v>0</v>
      </c>
      <c r="Q7">
        <v>49.95</v>
      </c>
      <c r="R7" t="s">
        <v>25</v>
      </c>
    </row>
    <row r="8" spans="1:18" x14ac:dyDescent="0.25">
      <c r="A8" t="s">
        <v>13</v>
      </c>
      <c r="B8" t="s">
        <v>14</v>
      </c>
      <c r="C8" t="s">
        <v>15</v>
      </c>
      <c r="D8" t="s">
        <v>16</v>
      </c>
      <c r="E8" t="s">
        <v>17</v>
      </c>
      <c r="F8" t="s">
        <v>29</v>
      </c>
      <c r="G8" t="s">
        <v>28</v>
      </c>
      <c r="H8">
        <v>-30</v>
      </c>
      <c r="J8">
        <v>2.62</v>
      </c>
      <c r="K8">
        <v>2.13</v>
      </c>
      <c r="L8">
        <v>7860</v>
      </c>
      <c r="M8">
        <v>-21.107579999999999</v>
      </c>
      <c r="N8">
        <v>-7838.8924200000001</v>
      </c>
      <c r="O8">
        <v>0</v>
      </c>
      <c r="P8">
        <v>0</v>
      </c>
      <c r="Q8">
        <v>1470</v>
      </c>
      <c r="R8" t="s">
        <v>25</v>
      </c>
    </row>
    <row r="26" spans="1:22" x14ac:dyDescent="0.25">
      <c r="A26" s="16"/>
      <c r="B26" s="1" t="s">
        <v>51</v>
      </c>
      <c r="L26" s="1"/>
      <c r="M26" s="1">
        <v>-5</v>
      </c>
      <c r="N26" s="1">
        <v>-30</v>
      </c>
      <c r="O26" s="1">
        <v>-5</v>
      </c>
      <c r="P26" s="1">
        <v>-30</v>
      </c>
    </row>
    <row r="27" spans="1:22" x14ac:dyDescent="0.25">
      <c r="A27" s="17"/>
      <c r="B27" s="1" t="s">
        <v>50</v>
      </c>
      <c r="L27" s="13">
        <v>45047</v>
      </c>
    </row>
    <row r="28" spans="1:22" x14ac:dyDescent="0.25">
      <c r="I28" t="s">
        <v>55</v>
      </c>
      <c r="J28" t="s">
        <v>56</v>
      </c>
      <c r="M28" t="s">
        <v>46</v>
      </c>
      <c r="N28" t="s">
        <v>48</v>
      </c>
      <c r="O28" t="s">
        <v>47</v>
      </c>
      <c r="P28" t="s">
        <v>49</v>
      </c>
    </row>
    <row r="29" spans="1:22" x14ac:dyDescent="0.25">
      <c r="A29" s="4" t="s">
        <v>53</v>
      </c>
      <c r="B29" s="4" t="s">
        <v>54</v>
      </c>
      <c r="C29" s="4" t="s">
        <v>52</v>
      </c>
      <c r="D29" s="1" t="s">
        <v>9</v>
      </c>
      <c r="E29" s="1" t="s">
        <v>57</v>
      </c>
      <c r="F29" s="1" t="s">
        <v>58</v>
      </c>
      <c r="G29" s="1"/>
      <c r="I29" t="s">
        <v>5</v>
      </c>
      <c r="J29" t="s">
        <v>5</v>
      </c>
      <c r="M29" t="s">
        <v>5</v>
      </c>
      <c r="N29" t="s">
        <v>5</v>
      </c>
      <c r="O29" t="s">
        <v>5</v>
      </c>
      <c r="P29" t="s">
        <v>5</v>
      </c>
    </row>
    <row r="30" spans="1:22" x14ac:dyDescent="0.25">
      <c r="A30" s="14">
        <f>L30</f>
        <v>45047</v>
      </c>
      <c r="B30" s="20">
        <v>0</v>
      </c>
      <c r="C30" s="20">
        <v>0</v>
      </c>
      <c r="D30" s="20">
        <f>(I30*ABS($M$26)*100+J30*ABS($N$26)*100)/2.5</f>
        <v>206858</v>
      </c>
      <c r="E30" s="23">
        <f>B30/D30</f>
        <v>0</v>
      </c>
      <c r="F30" s="24">
        <v>0</v>
      </c>
      <c r="G30" s="20"/>
      <c r="H30" s="14">
        <f>_xll.BDH(I$28,$M$29,$L$27,"","Per=D","cols=2;rows=34")</f>
        <v>45047</v>
      </c>
      <c r="I30">
        <v>415.51</v>
      </c>
      <c r="J30">
        <f>_xll.BDH(J$28,J$29,$L$27,"","Dts=H","Per=D","cols=1;rows=34")</f>
        <v>103.13</v>
      </c>
      <c r="L30" s="14">
        <f>_xll.BDH(M$28,$M$29,$L$27,"","Per=D","cols=2;rows=34")</f>
        <v>45047</v>
      </c>
      <c r="M30">
        <v>2.7</v>
      </c>
      <c r="N30">
        <f>_xll.BDH(N$28,N$29,$L$27,"","Dts=H","Per=D","cols=1;rows=34")</f>
        <v>2.27</v>
      </c>
      <c r="O30">
        <f>_xll.BDH(O$28,O$29,$L$27,"","Dts=H","Per=D","cols=1;rows=34")</f>
        <v>6.23</v>
      </c>
      <c r="P30">
        <f>_xll.BDH(P$28,P$29,$L$27,"","Dts=H","Per=D","cols=1;rows=34")</f>
        <v>1.81</v>
      </c>
      <c r="V30" s="13"/>
    </row>
    <row r="31" spans="1:22" x14ac:dyDescent="0.25">
      <c r="A31" s="14">
        <f t="shared" ref="A31:A63" si="0">L31</f>
        <v>45048</v>
      </c>
      <c r="B31" s="20">
        <v>0</v>
      </c>
      <c r="C31" s="22">
        <f>C30+B31</f>
        <v>0</v>
      </c>
      <c r="D31" s="20">
        <f t="shared" ref="D31:D63" si="1">(I31*ABS($M$26)*100+J31*ABS($N$26)*100)/2.5</f>
        <v>209008</v>
      </c>
      <c r="E31" s="23">
        <f t="shared" ref="E31:E63" si="2">B31/D31</f>
        <v>0</v>
      </c>
      <c r="F31" s="24">
        <f>F30+E31</f>
        <v>0</v>
      </c>
      <c r="G31" s="22"/>
      <c r="H31" s="14">
        <v>45048</v>
      </c>
      <c r="I31" s="22">
        <v>410.84</v>
      </c>
      <c r="J31" s="22">
        <v>105.7</v>
      </c>
      <c r="K31" s="22"/>
      <c r="L31" s="14">
        <v>45048</v>
      </c>
      <c r="M31">
        <v>3.88</v>
      </c>
      <c r="N31">
        <v>1.45</v>
      </c>
      <c r="O31">
        <v>1.45</v>
      </c>
      <c r="P31">
        <v>1.39</v>
      </c>
      <c r="S31" s="25">
        <f>0.02/3</f>
        <v>6.6666666666666671E-3</v>
      </c>
    </row>
    <row r="32" spans="1:22" x14ac:dyDescent="0.25">
      <c r="A32" s="14">
        <f t="shared" si="0"/>
        <v>45049</v>
      </c>
      <c r="B32" s="20">
        <v>0</v>
      </c>
      <c r="C32" s="22">
        <f t="shared" ref="C32:C63" si="3">C31+B32</f>
        <v>0</v>
      </c>
      <c r="D32" s="20">
        <f t="shared" si="1"/>
        <v>209152</v>
      </c>
      <c r="E32" s="23">
        <f t="shared" si="2"/>
        <v>0</v>
      </c>
      <c r="F32" s="24">
        <f t="shared" ref="F32:F63" si="4">F31+E32</f>
        <v>0</v>
      </c>
      <c r="G32" s="22"/>
      <c r="H32" s="14">
        <v>45049</v>
      </c>
      <c r="I32" s="22">
        <v>408.02</v>
      </c>
      <c r="J32" s="22">
        <v>106.29</v>
      </c>
      <c r="K32" s="22"/>
      <c r="L32" s="14">
        <v>45049</v>
      </c>
      <c r="M32">
        <v>4.28</v>
      </c>
      <c r="N32">
        <v>1.32</v>
      </c>
      <c r="O32">
        <v>1.32</v>
      </c>
      <c r="P32">
        <v>1.3</v>
      </c>
    </row>
    <row r="33" spans="1:21" x14ac:dyDescent="0.25">
      <c r="A33" s="14">
        <f t="shared" si="0"/>
        <v>45050</v>
      </c>
      <c r="B33" s="20">
        <v>0</v>
      </c>
      <c r="C33" s="22">
        <f t="shared" si="3"/>
        <v>0</v>
      </c>
      <c r="D33" s="20">
        <f t="shared" si="1"/>
        <v>207314</v>
      </c>
      <c r="E33" s="23">
        <f t="shared" si="2"/>
        <v>0</v>
      </c>
      <c r="F33" s="24">
        <f t="shared" si="4"/>
        <v>0</v>
      </c>
      <c r="G33" s="22"/>
      <c r="H33" s="14">
        <v>45050</v>
      </c>
      <c r="I33" s="22">
        <v>405.13</v>
      </c>
      <c r="J33" s="22">
        <v>105.24</v>
      </c>
      <c r="K33" s="22"/>
      <c r="L33" s="14">
        <v>45050</v>
      </c>
      <c r="M33">
        <v>5.55</v>
      </c>
      <c r="N33">
        <v>1.6</v>
      </c>
      <c r="O33">
        <v>1.6</v>
      </c>
      <c r="P33">
        <v>1.46</v>
      </c>
    </row>
    <row r="34" spans="1:21" x14ac:dyDescent="0.25">
      <c r="A34" s="14">
        <f t="shared" si="0"/>
        <v>45051</v>
      </c>
      <c r="B34" s="20">
        <v>0</v>
      </c>
      <c r="C34" s="22">
        <f t="shared" si="3"/>
        <v>0</v>
      </c>
      <c r="D34" s="20">
        <f t="shared" si="1"/>
        <v>208394</v>
      </c>
      <c r="E34" s="23">
        <f t="shared" si="2"/>
        <v>0</v>
      </c>
      <c r="F34" s="24">
        <f t="shared" si="4"/>
        <v>0</v>
      </c>
      <c r="G34" s="22"/>
      <c r="H34" s="14">
        <v>45051</v>
      </c>
      <c r="I34" s="22">
        <v>412.63</v>
      </c>
      <c r="J34" s="22">
        <v>104.89</v>
      </c>
      <c r="K34" s="22"/>
      <c r="L34" s="14">
        <v>45051</v>
      </c>
      <c r="M34">
        <v>3.3</v>
      </c>
      <c r="N34">
        <v>1.57</v>
      </c>
      <c r="O34">
        <v>1.57</v>
      </c>
      <c r="P34">
        <v>1.4</v>
      </c>
    </row>
    <row r="35" spans="1:21" x14ac:dyDescent="0.25">
      <c r="A35" s="14">
        <f t="shared" si="0"/>
        <v>45054</v>
      </c>
      <c r="B35" s="20">
        <v>0</v>
      </c>
      <c r="C35" s="22">
        <f t="shared" si="3"/>
        <v>0</v>
      </c>
      <c r="D35" s="20">
        <f t="shared" si="1"/>
        <v>206652</v>
      </c>
      <c r="E35" s="23">
        <f t="shared" si="2"/>
        <v>0</v>
      </c>
      <c r="F35" s="24">
        <f t="shared" si="4"/>
        <v>0</v>
      </c>
      <c r="G35" s="22"/>
      <c r="H35" s="14">
        <v>45054</v>
      </c>
      <c r="I35" s="22">
        <v>412.74</v>
      </c>
      <c r="J35" s="22">
        <v>103.42</v>
      </c>
      <c r="K35" s="22"/>
      <c r="L35" s="14">
        <v>45054</v>
      </c>
      <c r="M35">
        <v>3.02</v>
      </c>
      <c r="N35">
        <v>2.04</v>
      </c>
      <c r="O35">
        <v>2.04</v>
      </c>
      <c r="P35">
        <v>1.72</v>
      </c>
    </row>
    <row r="36" spans="1:21" x14ac:dyDescent="0.25">
      <c r="A36" s="14">
        <f t="shared" si="0"/>
        <v>45055</v>
      </c>
      <c r="B36" s="20">
        <v>0</v>
      </c>
      <c r="C36" s="22">
        <f t="shared" si="3"/>
        <v>0</v>
      </c>
      <c r="D36" s="20">
        <f t="shared" si="1"/>
        <v>205846</v>
      </c>
      <c r="E36" s="23">
        <f t="shared" si="2"/>
        <v>0</v>
      </c>
      <c r="F36" s="24">
        <f t="shared" si="4"/>
        <v>0</v>
      </c>
      <c r="G36" s="22"/>
      <c r="H36" s="14">
        <v>45055</v>
      </c>
      <c r="I36" s="22">
        <v>410.93</v>
      </c>
      <c r="J36" s="22">
        <v>103.05</v>
      </c>
      <c r="K36" s="22"/>
      <c r="L36" s="14">
        <v>45055</v>
      </c>
      <c r="M36">
        <v>3.25</v>
      </c>
      <c r="N36">
        <v>2.17</v>
      </c>
      <c r="O36">
        <v>2.17</v>
      </c>
      <c r="P36">
        <v>1.79</v>
      </c>
      <c r="U36" s="14"/>
    </row>
    <row r="37" spans="1:21" x14ac:dyDescent="0.25">
      <c r="A37" s="19">
        <f t="shared" si="0"/>
        <v>45056</v>
      </c>
      <c r="B37" s="20">
        <v>0</v>
      </c>
      <c r="C37" s="22">
        <f t="shared" si="3"/>
        <v>0</v>
      </c>
      <c r="D37" s="20">
        <f t="shared" si="1"/>
        <v>207430</v>
      </c>
      <c r="E37" s="23">
        <f t="shared" si="2"/>
        <v>0</v>
      </c>
      <c r="F37" s="24">
        <f t="shared" si="4"/>
        <v>0</v>
      </c>
      <c r="G37" s="22"/>
      <c r="H37" s="14">
        <v>45056</v>
      </c>
      <c r="I37" s="22">
        <v>412.85</v>
      </c>
      <c r="J37" s="22">
        <v>104.05</v>
      </c>
      <c r="K37" s="22"/>
      <c r="L37" s="15">
        <v>45056</v>
      </c>
      <c r="M37" s="16">
        <v>2.83</v>
      </c>
      <c r="N37" s="16">
        <v>1.7</v>
      </c>
      <c r="O37">
        <v>1.66</v>
      </c>
      <c r="P37">
        <v>1.45</v>
      </c>
      <c r="U37" s="14"/>
    </row>
    <row r="38" spans="1:21" x14ac:dyDescent="0.25">
      <c r="A38" s="15">
        <f t="shared" si="0"/>
        <v>45057</v>
      </c>
      <c r="B38" s="18">
        <f t="shared" ref="B38:B49" si="5">($M$26*M38+$N$26*N38)*100-($M$26*M37+$N$26*N37)*100</f>
        <v>1265.0000000000009</v>
      </c>
      <c r="C38" s="22">
        <f t="shared" si="3"/>
        <v>1265.0000000000009</v>
      </c>
      <c r="D38" s="20">
        <f t="shared" si="1"/>
        <v>208606</v>
      </c>
      <c r="E38" s="23">
        <f t="shared" si="2"/>
        <v>6.0640633538824431E-3</v>
      </c>
      <c r="F38" s="24">
        <f t="shared" si="4"/>
        <v>6.0640633538824431E-3</v>
      </c>
      <c r="G38" s="22"/>
      <c r="H38" s="14">
        <v>45057</v>
      </c>
      <c r="I38" s="22">
        <v>412.13</v>
      </c>
      <c r="J38" s="22">
        <v>105.15</v>
      </c>
      <c r="K38" s="22"/>
      <c r="L38" s="14">
        <v>45057</v>
      </c>
      <c r="M38">
        <v>2.7</v>
      </c>
      <c r="N38">
        <v>1.3</v>
      </c>
      <c r="O38">
        <v>1.3</v>
      </c>
      <c r="P38">
        <v>1.21</v>
      </c>
      <c r="U38" s="14"/>
    </row>
    <row r="39" spans="1:21" x14ac:dyDescent="0.25">
      <c r="A39" s="14">
        <f t="shared" si="0"/>
        <v>45058</v>
      </c>
      <c r="B39" s="3">
        <f t="shared" si="5"/>
        <v>-600</v>
      </c>
      <c r="C39" s="22">
        <f t="shared" si="3"/>
        <v>665.00000000000091</v>
      </c>
      <c r="D39" s="20">
        <f t="shared" si="1"/>
        <v>207442</v>
      </c>
      <c r="E39" s="23">
        <f t="shared" si="2"/>
        <v>-2.8923747360708055E-3</v>
      </c>
      <c r="F39" s="24">
        <f t="shared" si="4"/>
        <v>3.1716886178116376E-3</v>
      </c>
      <c r="G39" s="22"/>
      <c r="H39" s="14">
        <v>45058</v>
      </c>
      <c r="I39" s="22">
        <v>411.59</v>
      </c>
      <c r="J39" s="22">
        <v>104.27</v>
      </c>
      <c r="K39" s="22"/>
      <c r="L39" s="14">
        <v>45058</v>
      </c>
      <c r="M39">
        <v>2.7</v>
      </c>
      <c r="N39">
        <v>1.5</v>
      </c>
      <c r="O39">
        <v>1.5</v>
      </c>
      <c r="P39">
        <v>1.31</v>
      </c>
      <c r="U39" s="14"/>
    </row>
    <row r="40" spans="1:21" x14ac:dyDescent="0.25">
      <c r="A40" s="14">
        <f t="shared" si="0"/>
        <v>45061</v>
      </c>
      <c r="B40" s="3">
        <f t="shared" si="5"/>
        <v>-800</v>
      </c>
      <c r="C40" s="22">
        <f t="shared" si="3"/>
        <v>-134.99999999999909</v>
      </c>
      <c r="D40" s="20">
        <f t="shared" si="1"/>
        <v>206430</v>
      </c>
      <c r="E40" s="23">
        <f t="shared" si="2"/>
        <v>-3.8754057065349028E-3</v>
      </c>
      <c r="F40" s="24">
        <f t="shared" si="4"/>
        <v>-7.0371708872326525E-4</v>
      </c>
      <c r="G40" s="22"/>
      <c r="H40" s="14">
        <v>45061</v>
      </c>
      <c r="I40" s="22">
        <v>413.01</v>
      </c>
      <c r="J40" s="22">
        <v>103.19</v>
      </c>
      <c r="K40" s="22"/>
      <c r="L40" s="14">
        <v>45061</v>
      </c>
      <c r="M40">
        <v>2.2000000000000002</v>
      </c>
      <c r="N40">
        <v>1.85</v>
      </c>
      <c r="O40">
        <v>1.85</v>
      </c>
      <c r="P40">
        <v>1.55</v>
      </c>
      <c r="U40" s="14"/>
    </row>
    <row r="41" spans="1:21" x14ac:dyDescent="0.25">
      <c r="A41" s="14">
        <f t="shared" si="0"/>
        <v>45062</v>
      </c>
      <c r="B41" s="3">
        <f t="shared" si="5"/>
        <v>-844.99999999999909</v>
      </c>
      <c r="C41" s="22">
        <f t="shared" si="3"/>
        <v>-979.99999999999818</v>
      </c>
      <c r="D41" s="20">
        <f t="shared" si="1"/>
        <v>205505.99999999997</v>
      </c>
      <c r="E41" s="23">
        <f t="shared" si="2"/>
        <v>-4.1118020885034948E-3</v>
      </c>
      <c r="F41" s="24">
        <f t="shared" si="4"/>
        <v>-4.8155191772267601E-3</v>
      </c>
      <c r="G41" s="22"/>
      <c r="H41" s="14">
        <v>45062</v>
      </c>
      <c r="I41" s="22">
        <v>410.25</v>
      </c>
      <c r="J41" s="22">
        <v>102.88</v>
      </c>
      <c r="K41" s="22"/>
      <c r="L41" s="14">
        <v>45062</v>
      </c>
      <c r="M41">
        <v>2.57</v>
      </c>
      <c r="N41">
        <v>2.0699999999999998</v>
      </c>
      <c r="O41">
        <v>2.0699999999999998</v>
      </c>
      <c r="P41">
        <v>1.68</v>
      </c>
      <c r="U41" s="14"/>
    </row>
    <row r="42" spans="1:21" x14ac:dyDescent="0.25">
      <c r="A42" s="14">
        <f t="shared" si="0"/>
        <v>45063</v>
      </c>
      <c r="B42" s="3">
        <f t="shared" si="5"/>
        <v>419.99999999999909</v>
      </c>
      <c r="C42" s="22">
        <f t="shared" si="3"/>
        <v>-559.99999999999909</v>
      </c>
      <c r="D42" s="20">
        <f t="shared" si="1"/>
        <v>206142</v>
      </c>
      <c r="E42" s="23">
        <f t="shared" si="2"/>
        <v>2.0374305090665613E-3</v>
      </c>
      <c r="F42" s="24">
        <f t="shared" si="4"/>
        <v>-2.7780886681601988E-3</v>
      </c>
      <c r="G42" s="22"/>
      <c r="H42" s="14">
        <v>45063</v>
      </c>
      <c r="I42" s="22">
        <v>415.23</v>
      </c>
      <c r="J42" s="22">
        <v>102.58</v>
      </c>
      <c r="K42" s="22"/>
      <c r="L42" s="14">
        <v>45063</v>
      </c>
      <c r="M42">
        <v>1.73</v>
      </c>
      <c r="N42">
        <v>2.0699999999999998</v>
      </c>
      <c r="O42">
        <v>2.0699999999999998</v>
      </c>
      <c r="P42">
        <v>1.67</v>
      </c>
      <c r="U42" s="14"/>
    </row>
    <row r="43" spans="1:21" x14ac:dyDescent="0.25">
      <c r="A43" s="14">
        <f t="shared" si="0"/>
        <v>45064</v>
      </c>
      <c r="B43" s="3">
        <f t="shared" si="5"/>
        <v>-1059.9999999999991</v>
      </c>
      <c r="C43" s="22">
        <f t="shared" si="3"/>
        <v>-1619.9999999999982</v>
      </c>
      <c r="D43" s="20">
        <f t="shared" si="1"/>
        <v>206030</v>
      </c>
      <c r="E43" s="23">
        <f t="shared" si="2"/>
        <v>-5.1448818133281518E-3</v>
      </c>
      <c r="F43" s="24">
        <f t="shared" si="4"/>
        <v>-7.9229704814883506E-3</v>
      </c>
      <c r="G43" s="22"/>
      <c r="H43" s="14">
        <v>45064</v>
      </c>
      <c r="I43" s="22">
        <v>419.23</v>
      </c>
      <c r="J43" s="22">
        <v>101.82</v>
      </c>
      <c r="K43" s="22"/>
      <c r="L43" s="14">
        <v>45064</v>
      </c>
      <c r="M43">
        <v>1.21</v>
      </c>
      <c r="N43">
        <v>2.5099999999999998</v>
      </c>
      <c r="O43">
        <v>2.5099999999999998</v>
      </c>
      <c r="P43">
        <v>1.9</v>
      </c>
      <c r="U43" s="14"/>
    </row>
    <row r="44" spans="1:21" x14ac:dyDescent="0.25">
      <c r="A44" s="14">
        <f t="shared" si="0"/>
        <v>45065</v>
      </c>
      <c r="B44" s="3">
        <f t="shared" si="5"/>
        <v>-1560.0000000000009</v>
      </c>
      <c r="C44" s="22">
        <f t="shared" si="3"/>
        <v>-3179.9999999999991</v>
      </c>
      <c r="D44" s="20">
        <f t="shared" si="1"/>
        <v>205044</v>
      </c>
      <c r="E44" s="23">
        <f t="shared" si="2"/>
        <v>-7.6081231345467362E-3</v>
      </c>
      <c r="F44" s="24">
        <f t="shared" si="4"/>
        <v>-1.5531093616035087E-2</v>
      </c>
      <c r="G44" s="22"/>
      <c r="H44" s="14">
        <v>45065</v>
      </c>
      <c r="I44" s="22">
        <v>418.62</v>
      </c>
      <c r="J44" s="22">
        <v>101.1</v>
      </c>
      <c r="K44" s="22"/>
      <c r="L44" s="14">
        <v>45065</v>
      </c>
      <c r="M44">
        <v>1.39</v>
      </c>
      <c r="N44">
        <v>3</v>
      </c>
      <c r="O44">
        <v>3</v>
      </c>
      <c r="P44">
        <v>2.29</v>
      </c>
      <c r="U44" s="14"/>
    </row>
    <row r="45" spans="1:21" x14ac:dyDescent="0.25">
      <c r="A45" s="14">
        <f t="shared" si="0"/>
        <v>45068</v>
      </c>
      <c r="B45" s="3">
        <f t="shared" si="5"/>
        <v>-405</v>
      </c>
      <c r="C45" s="22">
        <f t="shared" si="3"/>
        <v>-3584.9999999999991</v>
      </c>
      <c r="D45" s="20">
        <f t="shared" si="1"/>
        <v>204646</v>
      </c>
      <c r="E45" s="23">
        <f t="shared" si="2"/>
        <v>-1.9790271981861359E-3</v>
      </c>
      <c r="F45" s="24">
        <f t="shared" si="4"/>
        <v>-1.7510120814221222E-2</v>
      </c>
      <c r="G45" s="22"/>
      <c r="H45" s="14">
        <v>45068</v>
      </c>
      <c r="I45" s="22">
        <v>418.79</v>
      </c>
      <c r="J45" s="22">
        <v>100.74</v>
      </c>
      <c r="K45" s="22"/>
      <c r="L45" s="14">
        <v>45068</v>
      </c>
      <c r="M45">
        <v>1.3</v>
      </c>
      <c r="N45">
        <v>3.15</v>
      </c>
      <c r="O45">
        <v>3.15</v>
      </c>
      <c r="P45">
        <v>2.27</v>
      </c>
      <c r="U45" s="14"/>
    </row>
    <row r="46" spans="1:21" x14ac:dyDescent="0.25">
      <c r="A46" s="14">
        <f t="shared" si="0"/>
        <v>45069</v>
      </c>
      <c r="B46" s="3">
        <f t="shared" si="5"/>
        <v>394.99999999999818</v>
      </c>
      <c r="C46" s="22">
        <f t="shared" si="3"/>
        <v>-3190.0000000000009</v>
      </c>
      <c r="D46" s="20">
        <f t="shared" si="1"/>
        <v>204054</v>
      </c>
      <c r="E46" s="23">
        <f t="shared" si="2"/>
        <v>1.9357621021886275E-3</v>
      </c>
      <c r="F46" s="24">
        <f t="shared" si="4"/>
        <v>-1.5574358712032594E-2</v>
      </c>
      <c r="G46" s="22"/>
      <c r="H46" s="14">
        <v>45069</v>
      </c>
      <c r="I46" s="22">
        <v>414.09</v>
      </c>
      <c r="J46" s="22">
        <v>101.03</v>
      </c>
      <c r="K46" s="22"/>
      <c r="L46" s="14">
        <v>45069</v>
      </c>
      <c r="M46">
        <v>1.83</v>
      </c>
      <c r="N46">
        <v>2.93</v>
      </c>
      <c r="O46">
        <v>2.93</v>
      </c>
      <c r="P46">
        <v>2.15</v>
      </c>
      <c r="U46" s="14"/>
    </row>
    <row r="47" spans="1:21" x14ac:dyDescent="0.25">
      <c r="A47" s="14">
        <f t="shared" si="0"/>
        <v>45070</v>
      </c>
      <c r="B47" s="3">
        <f t="shared" si="5"/>
        <v>-1229.9999999999982</v>
      </c>
      <c r="C47" s="22">
        <f t="shared" si="3"/>
        <v>-4419.9999999999991</v>
      </c>
      <c r="D47" s="20">
        <f t="shared" si="1"/>
        <v>202854</v>
      </c>
      <c r="E47" s="23">
        <f t="shared" si="2"/>
        <v>-6.0634742228400634E-3</v>
      </c>
      <c r="F47" s="24">
        <f t="shared" si="4"/>
        <v>-2.1637832934872658E-2</v>
      </c>
      <c r="G47" s="22"/>
      <c r="H47" s="14">
        <v>45070</v>
      </c>
      <c r="I47" s="22">
        <v>411.09</v>
      </c>
      <c r="J47" s="22">
        <v>100.53</v>
      </c>
      <c r="K47" s="22"/>
      <c r="L47" s="14">
        <v>45070</v>
      </c>
      <c r="M47">
        <v>2.37</v>
      </c>
      <c r="N47">
        <v>3.25</v>
      </c>
      <c r="O47">
        <v>3.25</v>
      </c>
      <c r="P47">
        <v>2.4</v>
      </c>
      <c r="U47" s="14"/>
    </row>
    <row r="48" spans="1:21" x14ac:dyDescent="0.25">
      <c r="A48" s="14">
        <f t="shared" si="0"/>
        <v>45071</v>
      </c>
      <c r="B48" s="3">
        <f t="shared" si="5"/>
        <v>-1155</v>
      </c>
      <c r="C48" s="22">
        <f t="shared" si="3"/>
        <v>-5574.9999999999991</v>
      </c>
      <c r="D48" s="20">
        <f t="shared" si="1"/>
        <v>203266</v>
      </c>
      <c r="E48" s="23">
        <f t="shared" si="2"/>
        <v>-5.6822095185618841E-3</v>
      </c>
      <c r="F48" s="24">
        <f t="shared" si="4"/>
        <v>-2.7320042453434543E-2</v>
      </c>
      <c r="G48" s="22"/>
      <c r="H48" s="14">
        <v>45071</v>
      </c>
      <c r="I48" s="22">
        <v>414.65</v>
      </c>
      <c r="J48" s="22">
        <v>100.28</v>
      </c>
      <c r="K48" s="22"/>
      <c r="L48" s="14">
        <v>45071</v>
      </c>
      <c r="M48">
        <v>1.74</v>
      </c>
      <c r="N48">
        <v>3.74</v>
      </c>
      <c r="O48">
        <v>3.74</v>
      </c>
      <c r="P48">
        <v>2.76</v>
      </c>
      <c r="U48" s="14"/>
    </row>
    <row r="49" spans="1:21" x14ac:dyDescent="0.25">
      <c r="A49" s="14">
        <f t="shared" si="0"/>
        <v>45072</v>
      </c>
      <c r="B49" s="3">
        <f t="shared" si="5"/>
        <v>1015</v>
      </c>
      <c r="C49" s="22">
        <f t="shared" si="3"/>
        <v>-4559.9999999999991</v>
      </c>
      <c r="D49" s="20">
        <f t="shared" si="1"/>
        <v>205312</v>
      </c>
      <c r="E49" s="23">
        <f t="shared" si="2"/>
        <v>4.9436954488778053E-3</v>
      </c>
      <c r="F49" s="24">
        <f t="shared" si="4"/>
        <v>-2.2376347004556738E-2</v>
      </c>
      <c r="G49" s="22"/>
      <c r="H49" s="14">
        <v>45072</v>
      </c>
      <c r="I49" s="22">
        <v>420.02</v>
      </c>
      <c r="J49" s="22">
        <v>101.09</v>
      </c>
      <c r="K49" s="22"/>
      <c r="L49" s="14">
        <v>45072</v>
      </c>
      <c r="M49" s="17">
        <v>1.1499999999999999</v>
      </c>
      <c r="N49" s="17">
        <v>3.5</v>
      </c>
      <c r="O49" s="16">
        <v>4.1399999999999997</v>
      </c>
      <c r="P49" s="16">
        <v>2.62</v>
      </c>
      <c r="U49" s="14"/>
    </row>
    <row r="50" spans="1:21" x14ac:dyDescent="0.25">
      <c r="A50" s="15">
        <f t="shared" si="0"/>
        <v>45076</v>
      </c>
      <c r="B50" s="18">
        <f>($M$26*O50+$N$26*P50)*100-($M$26*O49+$N$26*P49)*100</f>
        <v>3955.0000000000018</v>
      </c>
      <c r="C50" s="22">
        <f t="shared" si="3"/>
        <v>-604.99999999999727</v>
      </c>
      <c r="D50" s="20">
        <f t="shared" si="1"/>
        <v>206556</v>
      </c>
      <c r="E50" s="23">
        <f t="shared" si="2"/>
        <v>1.9147349871221374E-2</v>
      </c>
      <c r="F50" s="24">
        <f t="shared" si="4"/>
        <v>-3.2289971333353644E-3</v>
      </c>
      <c r="G50" s="22"/>
      <c r="H50" s="14">
        <v>45076</v>
      </c>
      <c r="I50" s="22">
        <v>420.18</v>
      </c>
      <c r="J50" s="22">
        <v>102.1</v>
      </c>
      <c r="K50" s="22"/>
      <c r="L50" s="15">
        <v>45076</v>
      </c>
      <c r="M50">
        <v>0.71</v>
      </c>
      <c r="N50">
        <v>2.17</v>
      </c>
      <c r="O50">
        <v>2.17</v>
      </c>
      <c r="P50">
        <v>1.63</v>
      </c>
      <c r="U50" s="14"/>
    </row>
    <row r="51" spans="1:21" x14ac:dyDescent="0.25">
      <c r="A51" s="14">
        <f t="shared" si="0"/>
        <v>45077</v>
      </c>
      <c r="B51" s="3">
        <f>($M$26*O51+$N$26*P51)*100-($M$26*O50+$N$26*P50)*100</f>
        <v>1635</v>
      </c>
      <c r="C51" s="22">
        <f t="shared" si="3"/>
        <v>1030.0000000000027</v>
      </c>
      <c r="D51" s="20">
        <f t="shared" si="1"/>
        <v>207158</v>
      </c>
      <c r="E51" s="23">
        <f t="shared" si="2"/>
        <v>7.8925264773747582E-3</v>
      </c>
      <c r="F51" s="24">
        <f t="shared" si="4"/>
        <v>4.6635293440393938E-3</v>
      </c>
      <c r="G51" s="22"/>
      <c r="H51" s="14">
        <v>45077</v>
      </c>
      <c r="I51" s="22">
        <v>417.85</v>
      </c>
      <c r="J51" s="22">
        <v>102.99</v>
      </c>
      <c r="K51" s="22"/>
      <c r="L51" s="14">
        <v>45077</v>
      </c>
      <c r="M51">
        <v>0.82</v>
      </c>
      <c r="N51">
        <v>1.48</v>
      </c>
      <c r="O51">
        <v>1.48</v>
      </c>
      <c r="P51">
        <v>1.2</v>
      </c>
      <c r="U51" s="14"/>
    </row>
    <row r="52" spans="1:21" x14ac:dyDescent="0.25">
      <c r="A52" s="14">
        <f t="shared" si="0"/>
        <v>45078</v>
      </c>
      <c r="B52" s="3">
        <f t="shared" ref="B52:B63" si="6">($M$26*O52+$N$26*P52)*100-($M$26*O51+$N$26*P51)*100</f>
        <v>765</v>
      </c>
      <c r="C52" s="22">
        <f t="shared" si="3"/>
        <v>1795.0000000000027</v>
      </c>
      <c r="D52" s="20">
        <f t="shared" si="1"/>
        <v>208108.00000000003</v>
      </c>
      <c r="E52" s="23">
        <f t="shared" si="2"/>
        <v>3.6759759355719139E-3</v>
      </c>
      <c r="F52" s="24">
        <f t="shared" si="4"/>
        <v>8.3395052796113069E-3</v>
      </c>
      <c r="G52" s="22"/>
      <c r="H52" s="14">
        <v>45078</v>
      </c>
      <c r="I52" s="22">
        <v>421.82</v>
      </c>
      <c r="J52" s="22">
        <v>103.12</v>
      </c>
      <c r="K52" s="22"/>
      <c r="L52" s="14">
        <v>45078</v>
      </c>
      <c r="M52">
        <v>0.38</v>
      </c>
      <c r="N52">
        <v>1.1499999999999999</v>
      </c>
      <c r="O52">
        <v>1.1499999999999999</v>
      </c>
      <c r="P52">
        <v>1</v>
      </c>
      <c r="U52" s="14"/>
    </row>
    <row r="53" spans="1:21" x14ac:dyDescent="0.25">
      <c r="A53" s="14">
        <f t="shared" si="0"/>
        <v>45079</v>
      </c>
      <c r="B53" s="3">
        <f t="shared" si="6"/>
        <v>-780</v>
      </c>
      <c r="C53" s="22">
        <f t="shared" si="3"/>
        <v>1015.0000000000027</v>
      </c>
      <c r="D53" s="20">
        <f t="shared" si="1"/>
        <v>207972</v>
      </c>
      <c r="E53" s="23">
        <f t="shared" si="2"/>
        <v>-3.7505048756563382E-3</v>
      </c>
      <c r="F53" s="24">
        <f t="shared" si="4"/>
        <v>4.5890004039549686E-3</v>
      </c>
      <c r="G53" s="22"/>
      <c r="H53" s="14">
        <v>45079</v>
      </c>
      <c r="I53" s="22">
        <v>427.92</v>
      </c>
      <c r="J53" s="22">
        <v>101.99</v>
      </c>
      <c r="K53" s="22"/>
      <c r="L53" s="14">
        <v>45079</v>
      </c>
      <c r="M53">
        <v>0.21</v>
      </c>
      <c r="N53">
        <v>1.57</v>
      </c>
      <c r="O53">
        <v>1.57</v>
      </c>
      <c r="P53">
        <v>1.19</v>
      </c>
      <c r="U53" s="14"/>
    </row>
    <row r="54" spans="1:21" x14ac:dyDescent="0.25">
      <c r="A54" s="14">
        <f t="shared" si="0"/>
        <v>45082</v>
      </c>
      <c r="B54" s="3">
        <f t="shared" si="6"/>
        <v>125</v>
      </c>
      <c r="C54" s="22">
        <f t="shared" si="3"/>
        <v>1140.0000000000027</v>
      </c>
      <c r="D54" s="20">
        <f t="shared" si="1"/>
        <v>207580</v>
      </c>
      <c r="E54" s="23">
        <f t="shared" si="2"/>
        <v>6.0217747374506213E-4</v>
      </c>
      <c r="F54" s="24">
        <f t="shared" si="4"/>
        <v>5.1911778777000307E-3</v>
      </c>
      <c r="G54" s="22"/>
      <c r="H54" s="14">
        <v>45082</v>
      </c>
      <c r="I54" s="22">
        <v>427.1</v>
      </c>
      <c r="J54" s="22">
        <v>101.8</v>
      </c>
      <c r="K54" s="22"/>
      <c r="L54" s="14">
        <v>45082</v>
      </c>
      <c r="M54">
        <v>0.16</v>
      </c>
      <c r="N54">
        <v>1.62</v>
      </c>
      <c r="O54">
        <v>1.62</v>
      </c>
      <c r="P54">
        <v>1.1399999999999999</v>
      </c>
      <c r="U54" s="14"/>
    </row>
    <row r="55" spans="1:21" x14ac:dyDescent="0.25">
      <c r="A55" s="14">
        <f t="shared" si="0"/>
        <v>45083</v>
      </c>
      <c r="B55" s="3">
        <f t="shared" si="6"/>
        <v>880</v>
      </c>
      <c r="C55" s="22">
        <f t="shared" si="3"/>
        <v>2020.0000000000027</v>
      </c>
      <c r="D55" s="20">
        <f t="shared" si="1"/>
        <v>208486</v>
      </c>
      <c r="E55" s="23">
        <f t="shared" si="2"/>
        <v>4.2209069194094565E-3</v>
      </c>
      <c r="F55" s="24">
        <f t="shared" si="4"/>
        <v>9.4120847971094872E-3</v>
      </c>
      <c r="G55" s="22"/>
      <c r="H55" s="14">
        <v>45083</v>
      </c>
      <c r="I55" s="22">
        <v>428.03</v>
      </c>
      <c r="J55" s="22">
        <v>102.4</v>
      </c>
      <c r="K55" s="22"/>
      <c r="L55" s="14">
        <v>45083</v>
      </c>
      <c r="M55">
        <v>0.14000000000000001</v>
      </c>
      <c r="N55">
        <v>1.18</v>
      </c>
      <c r="O55">
        <v>1.18</v>
      </c>
      <c r="P55">
        <v>0.92</v>
      </c>
      <c r="U55" s="14"/>
    </row>
    <row r="56" spans="1:21" x14ac:dyDescent="0.25">
      <c r="A56" s="14">
        <f t="shared" si="0"/>
        <v>45084</v>
      </c>
      <c r="B56" s="3">
        <f t="shared" si="6"/>
        <v>-2335</v>
      </c>
      <c r="C56" s="22">
        <f t="shared" si="3"/>
        <v>-314.99999999999727</v>
      </c>
      <c r="D56" s="20">
        <f t="shared" si="1"/>
        <v>206365.99999999997</v>
      </c>
      <c r="E56" s="23">
        <f t="shared" si="2"/>
        <v>-1.1314848376186001E-2</v>
      </c>
      <c r="F56" s="24">
        <f t="shared" si="4"/>
        <v>-1.9027635790765142E-3</v>
      </c>
      <c r="G56" s="22"/>
      <c r="H56" s="14">
        <v>45084</v>
      </c>
      <c r="I56" s="22">
        <v>426.55</v>
      </c>
      <c r="J56" s="22">
        <v>100.88</v>
      </c>
      <c r="K56" s="22"/>
      <c r="L56" s="14">
        <v>45084</v>
      </c>
      <c r="M56">
        <v>0.12</v>
      </c>
      <c r="N56">
        <v>2.25</v>
      </c>
      <c r="O56">
        <v>2.25</v>
      </c>
      <c r="P56">
        <v>1.52</v>
      </c>
      <c r="U56" s="14"/>
    </row>
    <row r="57" spans="1:21" x14ac:dyDescent="0.25">
      <c r="A57" s="14">
        <f t="shared" si="0"/>
        <v>45085</v>
      </c>
      <c r="B57" s="3">
        <f t="shared" si="6"/>
        <v>1620</v>
      </c>
      <c r="C57" s="22">
        <f t="shared" si="3"/>
        <v>1305.0000000000027</v>
      </c>
      <c r="D57" s="20">
        <f t="shared" si="1"/>
        <v>208298</v>
      </c>
      <c r="E57" s="23">
        <f t="shared" si="2"/>
        <v>7.7773190333080494E-3</v>
      </c>
      <c r="F57" s="24">
        <f t="shared" si="4"/>
        <v>5.8745554542315353E-3</v>
      </c>
      <c r="G57" s="22"/>
      <c r="H57" s="14">
        <v>45085</v>
      </c>
      <c r="I57" s="22">
        <v>429.13</v>
      </c>
      <c r="J57" s="22">
        <v>102.06</v>
      </c>
      <c r="K57" s="22"/>
      <c r="L57" s="14">
        <v>45085</v>
      </c>
      <c r="M57">
        <v>0.12</v>
      </c>
      <c r="N57">
        <v>1.41</v>
      </c>
      <c r="O57">
        <v>1.41</v>
      </c>
      <c r="P57">
        <v>1.1200000000000001</v>
      </c>
      <c r="U57" s="14"/>
    </row>
    <row r="58" spans="1:21" x14ac:dyDescent="0.25">
      <c r="A58" s="14">
        <f t="shared" si="0"/>
        <v>45086</v>
      </c>
      <c r="B58" s="3">
        <f t="shared" si="6"/>
        <v>-70</v>
      </c>
      <c r="C58" s="22">
        <f t="shared" si="3"/>
        <v>1235.0000000000027</v>
      </c>
      <c r="D58" s="20">
        <f t="shared" si="1"/>
        <v>208284</v>
      </c>
      <c r="E58" s="23">
        <f t="shared" si="2"/>
        <v>-3.3607958364540721E-4</v>
      </c>
      <c r="F58" s="24">
        <f t="shared" si="4"/>
        <v>5.5384758705861277E-3</v>
      </c>
      <c r="G58" s="22"/>
      <c r="H58" s="14">
        <v>45086</v>
      </c>
      <c r="I58" s="22">
        <v>429.9</v>
      </c>
      <c r="J58" s="22">
        <v>101.92</v>
      </c>
      <c r="K58" s="22"/>
      <c r="L58" s="14">
        <v>45086</v>
      </c>
      <c r="M58">
        <v>0.08</v>
      </c>
      <c r="N58">
        <v>1.37</v>
      </c>
      <c r="O58">
        <v>1.37</v>
      </c>
      <c r="P58">
        <v>1.1499999999999999</v>
      </c>
      <c r="U58" s="14"/>
    </row>
    <row r="59" spans="1:21" x14ac:dyDescent="0.25">
      <c r="A59" s="14">
        <f t="shared" si="0"/>
        <v>45089</v>
      </c>
      <c r="B59" s="3">
        <f t="shared" si="6"/>
        <v>65.000000000000455</v>
      </c>
      <c r="C59" s="22">
        <f t="shared" si="3"/>
        <v>1300.0000000000032</v>
      </c>
      <c r="D59" s="20">
        <f t="shared" si="1"/>
        <v>209424</v>
      </c>
      <c r="E59" s="23">
        <f t="shared" si="2"/>
        <v>3.1037512415005183E-4</v>
      </c>
      <c r="F59" s="24">
        <f t="shared" si="4"/>
        <v>5.8488509947361798E-3</v>
      </c>
      <c r="G59" s="22"/>
      <c r="H59" s="14">
        <v>45089</v>
      </c>
      <c r="I59" s="22">
        <v>433.8</v>
      </c>
      <c r="J59" s="22">
        <v>102.22</v>
      </c>
      <c r="K59" s="22"/>
      <c r="L59" s="14">
        <v>45089</v>
      </c>
      <c r="M59">
        <v>7.0000000000000007E-2</v>
      </c>
      <c r="N59">
        <v>1.3</v>
      </c>
      <c r="O59">
        <v>1.3</v>
      </c>
      <c r="P59">
        <v>1.1399999999999999</v>
      </c>
    </row>
    <row r="60" spans="1:21" x14ac:dyDescent="0.25">
      <c r="A60" s="14">
        <f t="shared" si="0"/>
        <v>45090</v>
      </c>
      <c r="B60" s="3">
        <f t="shared" si="6"/>
        <v>-1160.0000000000005</v>
      </c>
      <c r="C60" s="22">
        <f t="shared" si="3"/>
        <v>140.00000000000273</v>
      </c>
      <c r="D60" s="20">
        <f t="shared" si="1"/>
        <v>208784</v>
      </c>
      <c r="E60" s="23">
        <f t="shared" si="2"/>
        <v>-5.55598130124914E-3</v>
      </c>
      <c r="F60" s="24">
        <f t="shared" si="4"/>
        <v>2.9286969348703978E-4</v>
      </c>
      <c r="G60" s="22"/>
      <c r="H60" s="14">
        <v>45090</v>
      </c>
      <c r="I60" s="22">
        <v>436.66</v>
      </c>
      <c r="J60" s="22">
        <v>101.21</v>
      </c>
      <c r="K60" s="22"/>
      <c r="L60" s="14">
        <v>45090</v>
      </c>
      <c r="M60">
        <v>0.05</v>
      </c>
      <c r="N60">
        <v>1.94</v>
      </c>
      <c r="O60">
        <v>1.94</v>
      </c>
      <c r="P60">
        <v>1.42</v>
      </c>
    </row>
    <row r="61" spans="1:21" x14ac:dyDescent="0.25">
      <c r="A61" s="14">
        <f t="shared" si="0"/>
        <v>45091</v>
      </c>
      <c r="B61" s="3">
        <f t="shared" si="6"/>
        <v>1614.9999999999995</v>
      </c>
      <c r="C61" s="22">
        <f t="shared" si="3"/>
        <v>1755.0000000000023</v>
      </c>
      <c r="D61" s="20">
        <f t="shared" si="1"/>
        <v>209860</v>
      </c>
      <c r="E61" s="23">
        <f t="shared" si="2"/>
        <v>7.6956065948727698E-3</v>
      </c>
      <c r="F61" s="24">
        <f t="shared" si="4"/>
        <v>7.9884762883598096E-3</v>
      </c>
      <c r="G61" s="22"/>
      <c r="H61" s="14">
        <v>45091</v>
      </c>
      <c r="I61" s="22">
        <v>437.18</v>
      </c>
      <c r="J61" s="22">
        <v>102.02</v>
      </c>
      <c r="K61" s="22"/>
      <c r="L61" s="14">
        <v>45091</v>
      </c>
      <c r="M61">
        <v>0.03</v>
      </c>
      <c r="N61">
        <v>1.05</v>
      </c>
      <c r="O61">
        <v>1.05</v>
      </c>
      <c r="P61">
        <v>1.03</v>
      </c>
    </row>
    <row r="62" spans="1:21" x14ac:dyDescent="0.25">
      <c r="A62" s="14">
        <f t="shared" si="0"/>
        <v>45092</v>
      </c>
      <c r="B62" s="3">
        <f t="shared" si="6"/>
        <v>1330.0000000000005</v>
      </c>
      <c r="C62" s="22">
        <f t="shared" si="3"/>
        <v>3085.0000000000027</v>
      </c>
      <c r="D62" s="20">
        <f t="shared" si="1"/>
        <v>212120</v>
      </c>
      <c r="E62" s="23">
        <f t="shared" si="2"/>
        <v>6.2700358287761668E-3</v>
      </c>
      <c r="F62" s="24">
        <f t="shared" si="4"/>
        <v>1.4258512117135975E-2</v>
      </c>
      <c r="G62" s="22"/>
      <c r="H62" s="14">
        <v>45092</v>
      </c>
      <c r="I62" s="22">
        <v>442.6</v>
      </c>
      <c r="J62" s="22">
        <v>103</v>
      </c>
      <c r="K62" s="22"/>
      <c r="L62" s="14">
        <v>45092</v>
      </c>
      <c r="M62">
        <v>0.02</v>
      </c>
      <c r="N62">
        <v>0.37</v>
      </c>
      <c r="O62">
        <v>0.37</v>
      </c>
      <c r="P62">
        <v>0.7</v>
      </c>
    </row>
    <row r="63" spans="1:21" x14ac:dyDescent="0.25">
      <c r="A63" s="14">
        <f t="shared" si="0"/>
        <v>45093</v>
      </c>
      <c r="B63" s="3">
        <f t="shared" si="6"/>
        <v>-10</v>
      </c>
      <c r="C63" s="22">
        <f t="shared" si="3"/>
        <v>3075.0000000000027</v>
      </c>
      <c r="D63" s="20">
        <f t="shared" si="1"/>
        <v>211012</v>
      </c>
      <c r="E63" s="23">
        <f t="shared" si="2"/>
        <v>-4.7390669724944554E-5</v>
      </c>
      <c r="F63" s="24">
        <f t="shared" si="4"/>
        <v>1.421112144741103E-2</v>
      </c>
      <c r="G63" s="22"/>
      <c r="H63" s="14">
        <v>45093</v>
      </c>
      <c r="I63" s="22">
        <v>439.46</v>
      </c>
      <c r="J63" s="22">
        <v>102.6</v>
      </c>
      <c r="K63" s="22"/>
      <c r="L63" s="14">
        <v>45093</v>
      </c>
      <c r="M63">
        <v>0.01</v>
      </c>
      <c r="N63">
        <v>0.42</v>
      </c>
      <c r="O63">
        <v>0.45</v>
      </c>
      <c r="P63">
        <v>0.69</v>
      </c>
    </row>
    <row r="65" spans="3:3" x14ac:dyDescent="0.25">
      <c r="C6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1" sqref="C11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B26" sqref="B26"/>
    </sheetView>
  </sheetViews>
  <sheetFormatPr defaultRowHeight="15" x14ac:dyDescent="0.25"/>
  <cols>
    <col min="1" max="1" width="16.85546875" bestFit="1" customWidth="1"/>
    <col min="2" max="2" width="35" bestFit="1" customWidth="1"/>
    <col min="3" max="3" width="35.42578125" bestFit="1" customWidth="1"/>
    <col min="7" max="7" width="10.5703125" bestFit="1" customWidth="1"/>
  </cols>
  <sheetData>
    <row r="1" spans="1:7" x14ac:dyDescent="0.25">
      <c r="A1" s="1" t="s">
        <v>6</v>
      </c>
      <c r="B1" s="3">
        <v>440000</v>
      </c>
      <c r="G1" s="8">
        <f>B1*0.06</f>
        <v>26400</v>
      </c>
    </row>
    <row r="4" spans="1:7" x14ac:dyDescent="0.25">
      <c r="B4" s="4" t="s">
        <v>0</v>
      </c>
      <c r="C4" s="4" t="s">
        <v>1</v>
      </c>
    </row>
    <row r="6" spans="1:7" x14ac:dyDescent="0.25">
      <c r="A6" s="1" t="s">
        <v>2</v>
      </c>
      <c r="B6" s="4" t="s">
        <v>3</v>
      </c>
      <c r="C6" s="4" t="s">
        <v>4</v>
      </c>
    </row>
    <row r="8" spans="1:7" x14ac:dyDescent="0.25">
      <c r="A8" s="1" t="s">
        <v>7</v>
      </c>
      <c r="B8" s="5">
        <v>0.3</v>
      </c>
      <c r="C8" s="5">
        <v>0.2</v>
      </c>
    </row>
    <row r="10" spans="1:7" x14ac:dyDescent="0.25">
      <c r="A10" s="1" t="s">
        <v>5</v>
      </c>
      <c r="B10" s="2">
        <f>_xll.BDP("TLT US Equity",$A$10)</f>
        <v>103.56</v>
      </c>
      <c r="C10" s="2">
        <f>_xll.BDP("SPY US Equity",$A$10)</f>
        <v>434.94</v>
      </c>
    </row>
    <row r="12" spans="1:7" x14ac:dyDescent="0.25">
      <c r="A12" s="1" t="s">
        <v>8</v>
      </c>
      <c r="B12" s="2">
        <v>2.5</v>
      </c>
      <c r="C12" s="2">
        <v>2.5</v>
      </c>
    </row>
    <row r="14" spans="1:7" x14ac:dyDescent="0.25">
      <c r="A14" s="1" t="s">
        <v>9</v>
      </c>
      <c r="B14" s="7">
        <f>$B$1*B8*B12</f>
        <v>330000</v>
      </c>
      <c r="C14" s="7">
        <f>$B$1*C8*C12</f>
        <v>220000</v>
      </c>
    </row>
    <row r="16" spans="1:7" x14ac:dyDescent="0.25">
      <c r="A16" s="11" t="s">
        <v>10</v>
      </c>
      <c r="B16" s="12">
        <f>ROUNDDOWN(B14/(B10*100),0)</f>
        <v>31</v>
      </c>
      <c r="C16" s="12">
        <f>ROUNDDOWN(C14/(C10*100),0)</f>
        <v>5</v>
      </c>
    </row>
    <row r="17" spans="1:7" x14ac:dyDescent="0.25">
      <c r="G17">
        <f>200*62</f>
        <v>12400</v>
      </c>
    </row>
    <row r="18" spans="1:7" x14ac:dyDescent="0.25">
      <c r="A18" t="s">
        <v>12</v>
      </c>
      <c r="B18" s="2">
        <v>0.98</v>
      </c>
      <c r="C18" s="6">
        <v>0.95</v>
      </c>
    </row>
    <row r="20" spans="1:7" x14ac:dyDescent="0.25">
      <c r="A20" s="9" t="s">
        <v>11</v>
      </c>
      <c r="B20" s="10">
        <f>ROUND(B10*B18,0)</f>
        <v>101</v>
      </c>
      <c r="C20" s="10">
        <f>ROUND(C10*C18,0)</f>
        <v>413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U173XXX</vt:lpstr>
      <vt:lpstr>U173XXX Trade</vt:lpstr>
      <vt:lpstr>Sheet1</vt:lpstr>
      <vt:lpstr>U615XXX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2023-06-21T22:08:45Z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