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17.Extract_Rollyield\0.Research\VIX\dat\Sigmaa005\"/>
    </mc:Choice>
  </mc:AlternateContent>
  <bookViews>
    <workbookView minimized="1" xWindow="0" yWindow="0" windowWidth="28800" windowHeight="12435"/>
  </bookViews>
  <sheets>
    <sheet name="Info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AG15" i="1" l="1"/>
  <c r="AF15" i="1"/>
  <c r="AG14" i="1"/>
  <c r="AF14" i="1"/>
  <c r="AG13" i="1"/>
  <c r="AF13" i="1"/>
  <c r="AF12" i="1"/>
  <c r="AG12" i="1"/>
  <c r="K11" i="1"/>
  <c r="AF10" i="1"/>
  <c r="AF9" i="1"/>
  <c r="AG9" i="1"/>
  <c r="AG8" i="1"/>
  <c r="AF8" i="1"/>
  <c r="AG7" i="1"/>
  <c r="AF7" i="1"/>
  <c r="AG3" i="1"/>
  <c r="AF3" i="1"/>
  <c r="AF4" i="1"/>
  <c r="Q4" i="1"/>
  <c r="Q5" i="1"/>
  <c r="Q6" i="1"/>
  <c r="Q7" i="1"/>
  <c r="Q8" i="1"/>
  <c r="Q9" i="1"/>
  <c r="Q10" i="1"/>
  <c r="Q11" i="1"/>
  <c r="Q12" i="1"/>
  <c r="Q13" i="1"/>
  <c r="Q14" i="1"/>
  <c r="Q15" i="1"/>
  <c r="Q3" i="1"/>
  <c r="Y4" i="1"/>
  <c r="Y5" i="1"/>
  <c r="Y6" i="1"/>
  <c r="Y7" i="1"/>
  <c r="Y8" i="1"/>
  <c r="Y9" i="1"/>
  <c r="Y10" i="1"/>
  <c r="Y11" i="1"/>
  <c r="Y12" i="1"/>
  <c r="Y13" i="1"/>
  <c r="Y14" i="1"/>
  <c r="Y15" i="1"/>
  <c r="Y3" i="1"/>
  <c r="W5" i="1"/>
  <c r="X5" i="1"/>
  <c r="X3" i="1"/>
  <c r="W7" i="1"/>
  <c r="X7" i="1"/>
  <c r="W6" i="1"/>
  <c r="X6" i="1"/>
  <c r="W4" i="1"/>
  <c r="X4" i="1"/>
  <c r="U7" i="1"/>
  <c r="U6" i="1"/>
  <c r="U4" i="1"/>
  <c r="U5" i="1"/>
  <c r="U8" i="1"/>
  <c r="U9" i="1"/>
  <c r="U10" i="1"/>
  <c r="U11" i="1"/>
  <c r="U12" i="1"/>
  <c r="U13" i="1"/>
  <c r="U14" i="1"/>
  <c r="U15" i="1"/>
  <c r="U3" i="1"/>
  <c r="K12" i="1"/>
  <c r="O12" i="1"/>
  <c r="N11" i="1"/>
  <c r="N10" i="1"/>
  <c r="N9" i="1"/>
  <c r="N7" i="1"/>
  <c r="N6" i="1"/>
  <c r="N5" i="1"/>
  <c r="N4" i="1"/>
  <c r="M15" i="1"/>
  <c r="M5" i="1"/>
  <c r="K5" i="1"/>
  <c r="M4" i="1"/>
  <c r="M6" i="1"/>
  <c r="M7" i="1"/>
  <c r="M8" i="1"/>
  <c r="M9" i="1"/>
  <c r="M10" i="1"/>
  <c r="M11" i="1"/>
  <c r="M12" i="1"/>
  <c r="M13" i="1"/>
  <c r="M14" i="1"/>
  <c r="M3" i="1"/>
  <c r="R12" i="1"/>
  <c r="K13" i="1"/>
  <c r="O13" i="1"/>
  <c r="K14" i="1"/>
  <c r="O14" i="1"/>
  <c r="K15" i="1"/>
  <c r="O15" i="1"/>
  <c r="K10" i="1"/>
  <c r="R10" i="1"/>
  <c r="K9" i="1"/>
  <c r="K8" i="1"/>
  <c r="O8" i="1"/>
  <c r="K7" i="1"/>
  <c r="R7" i="1"/>
  <c r="K6" i="1"/>
  <c r="R6" i="1"/>
  <c r="K4" i="1"/>
  <c r="O5" i="1"/>
  <c r="R14" i="1"/>
  <c r="R13" i="1"/>
  <c r="R15" i="1"/>
  <c r="R8" i="1"/>
  <c r="O4" i="1"/>
  <c r="O7" i="1"/>
  <c r="R9" i="1"/>
  <c r="O9" i="1"/>
  <c r="O10" i="1"/>
  <c r="O11" i="1"/>
  <c r="R5" i="1"/>
  <c r="R4" i="1"/>
  <c r="O6" i="1"/>
  <c r="K3" i="1"/>
  <c r="O3" i="1"/>
  <c r="R3" i="1"/>
</calcChain>
</file>

<file path=xl/comments1.xml><?xml version="1.0" encoding="utf-8"?>
<comments xmlns="http://schemas.openxmlformats.org/spreadsheetml/2006/main">
  <authors>
    <author>langyu gu</author>
  </authors>
  <commentList>
    <comment ref="Q2" authorId="0" shapeId="0">
      <text>
        <r>
          <rPr>
            <b/>
            <sz val="9"/>
            <color indexed="81"/>
            <rFont val="Tahoma"/>
            <family val="2"/>
          </rPr>
          <t>langyu gu:</t>
        </r>
        <r>
          <rPr>
            <sz val="9"/>
            <color indexed="81"/>
            <rFont val="Tahoma"/>
            <family val="2"/>
          </rPr>
          <t xml:space="preserve">
Based on $200,00`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langyu gu:</t>
        </r>
        <r>
          <rPr>
            <sz val="9"/>
            <color indexed="81"/>
            <rFont val="Tahoma"/>
            <family val="2"/>
          </rPr>
          <t xml:space="preserve">
Based on $200,00</t>
        </r>
      </text>
    </comment>
  </commentList>
</comments>
</file>

<file path=xl/sharedStrings.xml><?xml version="1.0" encoding="utf-8"?>
<sst xmlns="http://schemas.openxmlformats.org/spreadsheetml/2006/main" count="187" uniqueCount="139">
  <si>
    <t>Asset Class</t>
  </si>
  <si>
    <t>IB symbol</t>
  </si>
  <si>
    <t>US Equity</t>
  </si>
  <si>
    <t>Germany Equity</t>
  </si>
  <si>
    <t>Japan Equity</t>
  </si>
  <si>
    <t>Hong Kong Equity</t>
  </si>
  <si>
    <t>Asset Type</t>
  </si>
  <si>
    <t>Equity</t>
  </si>
  <si>
    <t>BBG Index</t>
  </si>
  <si>
    <t>ES1 Index</t>
  </si>
  <si>
    <t>ES</t>
  </si>
  <si>
    <t>DAX</t>
  </si>
  <si>
    <t>GX1 Index</t>
  </si>
  <si>
    <t>N225M</t>
  </si>
  <si>
    <t>MHI</t>
  </si>
  <si>
    <t>US Trsy</t>
  </si>
  <si>
    <t>TY1 Comdty</t>
  </si>
  <si>
    <t>Fixed Income</t>
  </si>
  <si>
    <t>Crude Oil</t>
  </si>
  <si>
    <t>Gold</t>
  </si>
  <si>
    <t>Copper</t>
  </si>
  <si>
    <t>Commodity</t>
  </si>
  <si>
    <t>Coffee</t>
  </si>
  <si>
    <t>KC1 Comdty</t>
  </si>
  <si>
    <t>KC</t>
  </si>
  <si>
    <t>QC</t>
  </si>
  <si>
    <t>MGC</t>
  </si>
  <si>
    <t>QM</t>
  </si>
  <si>
    <t>ZN</t>
  </si>
  <si>
    <t>GBL</t>
  </si>
  <si>
    <t>RX1 Comdty</t>
  </si>
  <si>
    <t>UK 10Y Gilts</t>
  </si>
  <si>
    <t>G 1 Comdty</t>
  </si>
  <si>
    <t>R</t>
  </si>
  <si>
    <t>JP 10Y Bonds</t>
  </si>
  <si>
    <t>EU 10Y Bund</t>
  </si>
  <si>
    <t>Contract_size</t>
  </si>
  <si>
    <t>Notional($)/Contract</t>
  </si>
  <si>
    <t>Bid_ask spread (%)</t>
  </si>
  <si>
    <t>FX</t>
  </si>
  <si>
    <t>Currency</t>
  </si>
  <si>
    <t>$</t>
  </si>
  <si>
    <t>€</t>
  </si>
  <si>
    <t>Y</t>
  </si>
  <si>
    <t>HKD</t>
  </si>
  <si>
    <t>£</t>
  </si>
  <si>
    <t>Price (as of 13 Oct 2017)</t>
  </si>
  <si>
    <t>Bid_ask_spread</t>
  </si>
  <si>
    <t>NO1 Index</t>
  </si>
  <si>
    <t>HU1 Index</t>
  </si>
  <si>
    <t>France Equity</t>
  </si>
  <si>
    <t>CAC</t>
  </si>
  <si>
    <t>CF1 Index</t>
  </si>
  <si>
    <t>EC1 Comdty</t>
  </si>
  <si>
    <t>MGC1 Comdty</t>
  </si>
  <si>
    <t>Volatility</t>
  </si>
  <si>
    <t>Notional($)/20%Vol</t>
  </si>
  <si>
    <t>OP1 Comdty</t>
  </si>
  <si>
    <t>No. of contract</t>
  </si>
  <si>
    <t>BJ1 Comdty</t>
  </si>
  <si>
    <t>MJ</t>
  </si>
  <si>
    <t>Commission($)/contract</t>
  </si>
  <si>
    <t>Commission(%)</t>
  </si>
  <si>
    <t>LMAX</t>
  </si>
  <si>
    <t>Commission($)/(%)/contract</t>
  </si>
  <si>
    <t>Comparable Commission($)</t>
  </si>
  <si>
    <t xml:space="preserve"> </t>
  </si>
  <si>
    <t>ETF</t>
  </si>
  <si>
    <t>SPY</t>
  </si>
  <si>
    <t>Required Margin</t>
  </si>
  <si>
    <t>LU0274211480</t>
  </si>
  <si>
    <t>IB Ticker</t>
  </si>
  <si>
    <t>ISIN</t>
  </si>
  <si>
    <t>IB Symbol</t>
  </si>
  <si>
    <t>XDAX GY Equity</t>
  </si>
  <si>
    <t>Currrency</t>
  </si>
  <si>
    <t>EUR</t>
  </si>
  <si>
    <t>DBXD</t>
  </si>
  <si>
    <t>ETF Conid</t>
  </si>
  <si>
    <t>CFD Conid</t>
  </si>
  <si>
    <t>Commission</t>
  </si>
  <si>
    <t>US78462F1030</t>
  </si>
  <si>
    <t>SPY US Equity</t>
  </si>
  <si>
    <t>USD</t>
  </si>
  <si>
    <t>FR0007052782</t>
  </si>
  <si>
    <t>CAC FP Equity</t>
  </si>
  <si>
    <t>HK2833027330</t>
  </si>
  <si>
    <t>2833 HK Equity</t>
  </si>
  <si>
    <t>1.25X</t>
  </si>
  <si>
    <t>5std</t>
  </si>
  <si>
    <t>Maintenance Margin</t>
  </si>
  <si>
    <t>Initial Margin</t>
  </si>
  <si>
    <t>Minimum Margin</t>
  </si>
  <si>
    <t>IGLT</t>
  </si>
  <si>
    <t>IE00B1FZSB30</t>
  </si>
  <si>
    <t>IGLT LN Equity</t>
  </si>
  <si>
    <t>Minimum Commission</t>
  </si>
  <si>
    <t>XG71 GY Equity</t>
  </si>
  <si>
    <t>LU0730820569</t>
  </si>
  <si>
    <t>XG71</t>
  </si>
  <si>
    <t>USO</t>
  </si>
  <si>
    <t>US91232N1081</t>
  </si>
  <si>
    <t>USO US Equity</t>
  </si>
  <si>
    <t>$1</t>
  </si>
  <si>
    <t>US78463V1070</t>
  </si>
  <si>
    <t>GLD US Equity</t>
  </si>
  <si>
    <t>GLD</t>
  </si>
  <si>
    <t>JJC</t>
  </si>
  <si>
    <t>US06739F1012</t>
  </si>
  <si>
    <t>JJC US Equity</t>
  </si>
  <si>
    <t>JO</t>
  </si>
  <si>
    <t>JO US Equity</t>
  </si>
  <si>
    <t>US06739H2976</t>
  </si>
  <si>
    <t>HKD18</t>
  </si>
  <si>
    <t>GBP</t>
  </si>
  <si>
    <t>IEF</t>
  </si>
  <si>
    <t>IEF US Equity</t>
  </si>
  <si>
    <t>US4642874402</t>
  </si>
  <si>
    <t>Exchange</t>
  </si>
  <si>
    <t>CME</t>
  </si>
  <si>
    <t>EUREX</t>
  </si>
  <si>
    <t>EURONEXT</t>
  </si>
  <si>
    <t>Quandl Exchange Code</t>
  </si>
  <si>
    <t>LIFFE/FCE</t>
  </si>
  <si>
    <t>OSE/NK225M_</t>
  </si>
  <si>
    <t>HKEX/MHI</t>
  </si>
  <si>
    <t>CME/TY</t>
  </si>
  <si>
    <t>LIFFE/R</t>
  </si>
  <si>
    <t>EUREX/FGBL</t>
  </si>
  <si>
    <t>OSE/JGBL</t>
  </si>
  <si>
    <t>CME/CL</t>
  </si>
  <si>
    <t>CME/MGC</t>
  </si>
  <si>
    <t>CME/HG</t>
  </si>
  <si>
    <t>ICE/KC</t>
  </si>
  <si>
    <t>CME/ES</t>
  </si>
  <si>
    <t>EUREX/FDAX</t>
  </si>
  <si>
    <t>OSE</t>
  </si>
  <si>
    <t>HKEX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</si>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</sst>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£&quot;#,##0;[Red]\-&quot;£&quot;#,##0"/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0.000"/>
    <numFmt numFmtId="167" formatCode="0.0000%"/>
    <numFmt numFmtId="168" formatCode="[$€-2]\ #,##0;[Red]\-[$€-2]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Verdana"/>
      <family val="2"/>
    </font>
    <font>
      <sz val="8"/>
      <color rgb="FF000000"/>
      <name val="Verdana"/>
      <family val="2"/>
    </font>
    <font>
      <b/>
      <sz val="11"/>
      <name val="Calibri"/>
      <family val="2"/>
      <scheme val="minor"/>
    </font>
    <font>
      <b/>
      <sz val="8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9C9A9C"/>
      </left>
      <right style="medium">
        <color rgb="FF9C9A9C"/>
      </right>
      <top style="medium">
        <color rgb="FF9C9A9C"/>
      </top>
      <bottom style="medium">
        <color rgb="FF9C9A9C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1" fillId="0" borderId="6" xfId="0" applyFont="1" applyBorder="1"/>
    <xf numFmtId="0" fontId="0" fillId="0" borderId="6" xfId="0" applyBorder="1"/>
    <xf numFmtId="0" fontId="1" fillId="0" borderId="9" xfId="0" applyFont="1" applyBorder="1"/>
    <xf numFmtId="0" fontId="0" fillId="0" borderId="9" xfId="0" applyBorder="1"/>
    <xf numFmtId="0" fontId="1" fillId="0" borderId="13" xfId="0" applyFont="1" applyBorder="1"/>
    <xf numFmtId="0" fontId="0" fillId="0" borderId="13" xfId="0" applyBorder="1"/>
    <xf numFmtId="0" fontId="1" fillId="0" borderId="14" xfId="0" applyFont="1" applyBorder="1"/>
    <xf numFmtId="0" fontId="0" fillId="0" borderId="17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0" xfId="0" applyNumberFormat="1"/>
    <xf numFmtId="165" fontId="0" fillId="0" borderId="0" xfId="2" applyNumberFormat="1" applyFont="1"/>
    <xf numFmtId="0" fontId="1" fillId="4" borderId="1" xfId="0" applyFont="1" applyFill="1" applyBorder="1"/>
    <xf numFmtId="43" fontId="0" fillId="0" borderId="24" xfId="1" applyFont="1" applyBorder="1" applyAlignment="1">
      <alignment horizontal="center" vertical="center"/>
    </xf>
    <xf numFmtId="43" fontId="0" fillId="0" borderId="20" xfId="1" applyFont="1" applyBorder="1" applyAlignment="1">
      <alignment horizontal="center" vertical="center"/>
    </xf>
    <xf numFmtId="43" fontId="0" fillId="0" borderId="21" xfId="1" applyFont="1" applyBorder="1" applyAlignment="1">
      <alignment horizontal="center" vertical="center"/>
    </xf>
    <xf numFmtId="166" fontId="0" fillId="0" borderId="12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4" fontId="0" fillId="0" borderId="2" xfId="1" applyNumberFormat="1" applyFont="1" applyBorder="1" applyAlignment="1">
      <alignment horizontal="center" vertical="center"/>
    </xf>
    <xf numFmtId="4" fontId="0" fillId="0" borderId="10" xfId="1" applyNumberFormat="1" applyFont="1" applyBorder="1" applyAlignment="1">
      <alignment horizontal="center" vertical="center"/>
    </xf>
    <xf numFmtId="4" fontId="0" fillId="0" borderId="10" xfId="1" applyNumberFormat="1" applyFont="1" applyFill="1" applyBorder="1" applyAlignment="1">
      <alignment horizontal="center" vertical="center"/>
    </xf>
    <xf numFmtId="4" fontId="0" fillId="0" borderId="5" xfId="1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4" fontId="0" fillId="0" borderId="8" xfId="1" applyNumberFormat="1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43" fontId="0" fillId="0" borderId="23" xfId="1" applyFont="1" applyBorder="1" applyAlignment="1">
      <alignment horizontal="center" vertical="center"/>
    </xf>
    <xf numFmtId="166" fontId="0" fillId="0" borderId="8" xfId="1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4" fontId="0" fillId="0" borderId="12" xfId="1" applyNumberFormat="1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0" fontId="1" fillId="0" borderId="2" xfId="0" applyFont="1" applyBorder="1"/>
    <xf numFmtId="166" fontId="0" fillId="0" borderId="2" xfId="1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8" xfId="0" applyFont="1" applyBorder="1"/>
    <xf numFmtId="0" fontId="0" fillId="0" borderId="34" xfId="0" applyBorder="1"/>
    <xf numFmtId="0" fontId="1" fillId="0" borderId="35" xfId="0" applyFont="1" applyBorder="1"/>
    <xf numFmtId="165" fontId="0" fillId="0" borderId="19" xfId="2" applyNumberFormat="1" applyFont="1" applyBorder="1" applyAlignment="1">
      <alignment horizontal="center" vertical="center"/>
    </xf>
    <xf numFmtId="165" fontId="0" fillId="0" borderId="20" xfId="2" applyNumberFormat="1" applyFont="1" applyBorder="1" applyAlignment="1">
      <alignment horizontal="center" vertical="center"/>
    </xf>
    <xf numFmtId="165" fontId="0" fillId="0" borderId="23" xfId="2" applyNumberFormat="1" applyFont="1" applyBorder="1" applyAlignment="1">
      <alignment horizontal="center" vertical="center"/>
    </xf>
    <xf numFmtId="165" fontId="0" fillId="0" borderId="24" xfId="2" applyNumberFormat="1" applyFont="1" applyBorder="1" applyAlignment="1">
      <alignment horizontal="center" vertical="center"/>
    </xf>
    <xf numFmtId="165" fontId="0" fillId="0" borderId="21" xfId="2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43" fontId="0" fillId="0" borderId="13" xfId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" fillId="0" borderId="33" xfId="0" applyFont="1" applyFill="1" applyBorder="1"/>
    <xf numFmtId="166" fontId="0" fillId="0" borderId="37" xfId="1" applyNumberFormat="1" applyFont="1" applyBorder="1" applyAlignment="1">
      <alignment horizontal="center" vertical="center"/>
    </xf>
    <xf numFmtId="166" fontId="0" fillId="0" borderId="38" xfId="1" applyNumberFormat="1" applyFont="1" applyBorder="1" applyAlignment="1">
      <alignment horizontal="center" vertical="center"/>
    </xf>
    <xf numFmtId="166" fontId="0" fillId="0" borderId="39" xfId="1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28" xfId="0" applyBorder="1"/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0" fillId="0" borderId="0" xfId="1" applyNumberFormat="1" applyFont="1"/>
    <xf numFmtId="0" fontId="3" fillId="3" borderId="42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7" fillId="0" borderId="1" xfId="0" applyFont="1" applyBorder="1"/>
    <xf numFmtId="9" fontId="0" fillId="0" borderId="1" xfId="2" applyFont="1" applyBorder="1"/>
    <xf numFmtId="0" fontId="6" fillId="5" borderId="1" xfId="0" applyFont="1" applyFill="1" applyBorder="1" applyAlignment="1">
      <alignment vertical="center" wrapText="1"/>
    </xf>
    <xf numFmtId="0" fontId="0" fillId="0" borderId="1" xfId="0" applyFill="1" applyBorder="1"/>
    <xf numFmtId="9" fontId="0" fillId="0" borderId="1" xfId="0" applyNumberFormat="1" applyBorder="1"/>
    <xf numFmtId="9" fontId="0" fillId="0" borderId="1" xfId="2" applyNumberFormat="1" applyFont="1" applyBorder="1"/>
    <xf numFmtId="9" fontId="0" fillId="0" borderId="3" xfId="2" applyFont="1" applyBorder="1"/>
    <xf numFmtId="0" fontId="1" fillId="0" borderId="10" xfId="0" applyFont="1" applyBorder="1"/>
    <xf numFmtId="0" fontId="1" fillId="0" borderId="5" xfId="0" applyFont="1" applyBorder="1"/>
    <xf numFmtId="0" fontId="6" fillId="5" borderId="6" xfId="0" applyFont="1" applyFill="1" applyBorder="1" applyAlignment="1">
      <alignment vertical="center" wrapText="1"/>
    </xf>
    <xf numFmtId="10" fontId="0" fillId="0" borderId="24" xfId="2" applyNumberFormat="1" applyFont="1" applyBorder="1"/>
    <xf numFmtId="10" fontId="0" fillId="0" borderId="20" xfId="0" applyNumberFormat="1" applyBorder="1"/>
    <xf numFmtId="10" fontId="0" fillId="0" borderId="20" xfId="2" applyNumberFormat="1" applyFont="1" applyBorder="1"/>
    <xf numFmtId="0" fontId="7" fillId="0" borderId="9" xfId="0" applyFont="1" applyBorder="1"/>
    <xf numFmtId="0" fontId="0" fillId="0" borderId="9" xfId="0" applyFill="1" applyBorder="1"/>
    <xf numFmtId="9" fontId="0" fillId="0" borderId="9" xfId="2" applyNumberFormat="1" applyFont="1" applyBorder="1"/>
    <xf numFmtId="10" fontId="0" fillId="0" borderId="23" xfId="2" applyNumberFormat="1" applyFont="1" applyBorder="1"/>
    <xf numFmtId="10" fontId="0" fillId="0" borderId="1" xfId="2" applyNumberFormat="1" applyFont="1" applyBorder="1"/>
    <xf numFmtId="10" fontId="0" fillId="0" borderId="1" xfId="0" applyNumberFormat="1" applyBorder="1"/>
    <xf numFmtId="165" fontId="0" fillId="0" borderId="1" xfId="2" applyNumberFormat="1" applyFont="1" applyBorder="1"/>
    <xf numFmtId="0" fontId="6" fillId="5" borderId="11" xfId="0" applyFont="1" applyFill="1" applyBorder="1" applyAlignment="1">
      <alignment vertical="center" wrapText="1"/>
    </xf>
    <xf numFmtId="0" fontId="0" fillId="0" borderId="32" xfId="0" applyBorder="1"/>
    <xf numFmtId="0" fontId="7" fillId="0" borderId="10" xfId="0" applyFont="1" applyBorder="1"/>
    <xf numFmtId="0" fontId="7" fillId="0" borderId="2" xfId="0" applyFont="1" applyBorder="1"/>
    <xf numFmtId="0" fontId="6" fillId="5" borderId="10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vertical="center" wrapText="1"/>
    </xf>
    <xf numFmtId="0" fontId="7" fillId="0" borderId="5" xfId="0" applyFont="1" applyBorder="1"/>
    <xf numFmtId="9" fontId="0" fillId="0" borderId="6" xfId="2" applyFont="1" applyBorder="1"/>
    <xf numFmtId="10" fontId="0" fillId="0" borderId="6" xfId="2" applyNumberFormat="1" applyFont="1" applyBorder="1"/>
    <xf numFmtId="168" fontId="0" fillId="0" borderId="20" xfId="0" applyNumberFormat="1" applyBorder="1"/>
    <xf numFmtId="0" fontId="0" fillId="0" borderId="20" xfId="0" applyBorder="1"/>
    <xf numFmtId="6" fontId="0" fillId="0" borderId="20" xfId="2" applyNumberFormat="1" applyFont="1" applyBorder="1"/>
    <xf numFmtId="0" fontId="0" fillId="0" borderId="21" xfId="0" applyBorder="1"/>
    <xf numFmtId="0" fontId="6" fillId="5" borderId="12" xfId="0" applyFont="1" applyFill="1" applyBorder="1" applyAlignment="1">
      <alignment vertical="center" wrapText="1"/>
    </xf>
    <xf numFmtId="9" fontId="0" fillId="0" borderId="13" xfId="0" applyNumberFormat="1" applyBorder="1"/>
    <xf numFmtId="0" fontId="9" fillId="0" borderId="10" xfId="0" applyFont="1" applyBorder="1"/>
    <xf numFmtId="49" fontId="1" fillId="0" borderId="8" xfId="0" applyNumberFormat="1" applyFont="1" applyBorder="1"/>
    <xf numFmtId="0" fontId="6" fillId="5" borderId="44" xfId="0" applyFont="1" applyFill="1" applyBorder="1" applyAlignment="1">
      <alignment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/>
    </xf>
    <xf numFmtId="0" fontId="8" fillId="6" borderId="4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8"/>
  <sheetViews>
    <sheetView tabSelected="1" topLeftCell="B1" zoomScale="130" zoomScaleNormal="130" workbookViewId="0">
      <pane xSplit="2" ySplit="2" topLeftCell="D3" activePane="bottomRight" state="frozen"/>
      <selection activeCell="B1" sqref="B1"/>
      <selection pane="topRight" activeCell="D1" sqref="D1"/>
      <selection pane="bottomLeft" activeCell="B2" sqref="B2"/>
      <selection pane="bottomRight" activeCell="B10" sqref="B10:D10"/>
    </sheetView>
  </sheetViews>
  <sheetFormatPr defaultRowHeight="15" outlineLevelCol="1" x14ac:dyDescent="0.25"/>
  <cols>
    <col min="1" max="1" width="15.42578125" customWidth="1"/>
    <col min="2" max="2" width="17.7109375" customWidth="1"/>
    <col min="3" max="3" width="14.28515625" customWidth="1"/>
    <col min="4" max="6" width="12" customWidth="1"/>
    <col min="7" max="7" width="22.28515625" bestFit="1" customWidth="1"/>
    <col min="8" max="8" width="12" customWidth="1"/>
    <col min="9" max="9" width="22.140625" bestFit="1" customWidth="1"/>
    <col min="10" max="10" width="14.28515625" customWidth="1"/>
    <col min="11" max="12" width="20.7109375" customWidth="1"/>
    <col min="13" max="13" width="19.28515625" customWidth="1"/>
    <col min="14" max="14" width="23.5703125" customWidth="1"/>
    <col min="15" max="15" width="18" customWidth="1"/>
    <col min="16" max="16" width="13.5703125" customWidth="1"/>
    <col min="17" max="17" width="19.140625" customWidth="1"/>
    <col min="18" max="18" width="14.85546875" customWidth="1"/>
    <col min="19" max="19" width="0.85546875" hidden="1" customWidth="1" outlineLevel="1"/>
    <col min="20" max="20" width="14.85546875" hidden="1" customWidth="1" outlineLevel="1"/>
    <col min="21" max="21" width="20.7109375" hidden="1" customWidth="1" outlineLevel="1"/>
    <col min="22" max="22" width="15.5703125" hidden="1" customWidth="1" outlineLevel="1"/>
    <col min="23" max="23" width="27.7109375" hidden="1" customWidth="1" outlineLevel="1"/>
    <col min="24" max="24" width="26.7109375" hidden="1" customWidth="1" outlineLevel="1"/>
    <col min="25" max="25" width="19.7109375" hidden="1" customWidth="1" outlineLevel="1"/>
    <col min="26" max="26" width="1.85546875" customWidth="1" collapsed="1"/>
    <col min="27" max="27" width="11.28515625" bestFit="1" customWidth="1"/>
    <col min="28" max="29" width="16.5703125" bestFit="1" customWidth="1"/>
    <col min="30" max="31" width="16.5703125" customWidth="1"/>
    <col min="32" max="32" width="16.5703125" bestFit="1" customWidth="1"/>
    <col min="33" max="33" width="15" customWidth="1"/>
    <col min="34" max="34" width="22" bestFit="1" customWidth="1"/>
    <col min="35" max="35" width="13.5703125" customWidth="1"/>
    <col min="36" max="36" width="20.5703125" bestFit="1" customWidth="1"/>
    <col min="37" max="37" width="16.28515625" customWidth="1"/>
    <col min="38" max="38" width="17.5703125" bestFit="1" customWidth="1"/>
    <col min="39" max="39" width="12.42578125" bestFit="1" customWidth="1"/>
  </cols>
  <sheetData>
    <row r="1" spans="1:39" ht="15.75" thickBot="1" x14ac:dyDescent="0.3">
      <c r="S1" s="107"/>
      <c r="T1" s="162" t="s">
        <v>63</v>
      </c>
      <c r="U1" s="162"/>
      <c r="V1" s="162"/>
      <c r="W1" s="162"/>
      <c r="X1" s="162"/>
      <c r="Y1" s="162"/>
      <c r="AA1" s="163" t="s">
        <v>67</v>
      </c>
      <c r="AB1" s="163"/>
      <c r="AC1" s="163"/>
      <c r="AD1" s="163"/>
      <c r="AE1" s="163"/>
      <c r="AF1" s="163"/>
      <c r="AG1" s="163"/>
      <c r="AH1" s="163"/>
    </row>
    <row r="2" spans="1:39" ht="15.75" thickBot="1" x14ac:dyDescent="0.3">
      <c r="A2" s="10" t="s">
        <v>6</v>
      </c>
      <c r="B2" s="77" t="s">
        <v>0</v>
      </c>
      <c r="C2" s="77" t="s">
        <v>8</v>
      </c>
      <c r="D2" s="79" t="s">
        <v>1</v>
      </c>
      <c r="E2" s="80" t="s">
        <v>40</v>
      </c>
      <c r="F2" s="108" t="s">
        <v>118</v>
      </c>
      <c r="G2" s="108" t="s">
        <v>122</v>
      </c>
      <c r="H2" s="81" t="s">
        <v>39</v>
      </c>
      <c r="I2" s="34" t="s">
        <v>46</v>
      </c>
      <c r="J2" s="77" t="s">
        <v>36</v>
      </c>
      <c r="K2" s="78" t="s">
        <v>37</v>
      </c>
      <c r="L2" s="34" t="s">
        <v>47</v>
      </c>
      <c r="M2" s="73" t="s">
        <v>38</v>
      </c>
      <c r="N2" s="73" t="s">
        <v>61</v>
      </c>
      <c r="O2" s="73" t="s">
        <v>62</v>
      </c>
      <c r="P2" s="34" t="s">
        <v>55</v>
      </c>
      <c r="Q2" s="77" t="s">
        <v>56</v>
      </c>
      <c r="R2" s="78" t="s">
        <v>58</v>
      </c>
      <c r="T2" s="78" t="s">
        <v>36</v>
      </c>
      <c r="U2" s="78" t="s">
        <v>37</v>
      </c>
      <c r="V2" s="80" t="s">
        <v>47</v>
      </c>
      <c r="W2" s="89" t="s">
        <v>64</v>
      </c>
      <c r="X2" s="89" t="s">
        <v>65</v>
      </c>
      <c r="Y2" s="77" t="s">
        <v>56</v>
      </c>
      <c r="AA2" s="89" t="s">
        <v>73</v>
      </c>
      <c r="AB2" s="108" t="s">
        <v>72</v>
      </c>
      <c r="AC2" s="108" t="s">
        <v>71</v>
      </c>
      <c r="AD2" s="109" t="s">
        <v>75</v>
      </c>
      <c r="AE2" s="89" t="s">
        <v>78</v>
      </c>
      <c r="AF2" s="108" t="s">
        <v>69</v>
      </c>
      <c r="AG2" s="108" t="s">
        <v>80</v>
      </c>
      <c r="AH2" s="81" t="s">
        <v>96</v>
      </c>
      <c r="AI2" s="34" t="s">
        <v>79</v>
      </c>
      <c r="AJ2" s="77" t="s">
        <v>90</v>
      </c>
      <c r="AK2" s="77" t="s">
        <v>91</v>
      </c>
      <c r="AL2" s="77" t="s">
        <v>92</v>
      </c>
      <c r="AM2" s="78" t="s">
        <v>80</v>
      </c>
    </row>
    <row r="3" spans="1:39" x14ac:dyDescent="0.25">
      <c r="A3" s="153" t="s">
        <v>7</v>
      </c>
      <c r="B3" s="8" t="s">
        <v>2</v>
      </c>
      <c r="C3" s="9" t="s">
        <v>9</v>
      </c>
      <c r="D3" s="12" t="s">
        <v>10</v>
      </c>
      <c r="E3" s="18" t="s">
        <v>41</v>
      </c>
      <c r="F3" s="148" t="s">
        <v>119</v>
      </c>
      <c r="G3" s="148" t="s">
        <v>134</v>
      </c>
      <c r="H3" s="21">
        <v>1</v>
      </c>
      <c r="I3" s="35">
        <v>2549.5</v>
      </c>
      <c r="J3" s="39">
        <v>50</v>
      </c>
      <c r="K3" s="28">
        <f>I3*J3*H3</f>
        <v>127475</v>
      </c>
      <c r="L3" s="31">
        <v>0.25</v>
      </c>
      <c r="M3" s="60">
        <f>L3/I3</f>
        <v>9.8058442831927827E-5</v>
      </c>
      <c r="N3" s="31">
        <v>2.04</v>
      </c>
      <c r="O3" s="60">
        <f>N3/K3</f>
        <v>1.6003137870170622E-5</v>
      </c>
      <c r="P3" s="74">
        <v>0.13800000000000001</v>
      </c>
      <c r="Q3" s="75">
        <f>500000*4/12*0.2/P3</f>
        <v>241545.89371980677</v>
      </c>
      <c r="R3" s="76">
        <f>FLOOR(Q3/K3,1)</f>
        <v>1</v>
      </c>
      <c r="S3" s="25"/>
      <c r="T3" s="39">
        <v>10</v>
      </c>
      <c r="U3" s="28">
        <f>I3*T3*H3</f>
        <v>25495</v>
      </c>
      <c r="V3" s="90"/>
      <c r="W3" s="99">
        <v>0.32</v>
      </c>
      <c r="X3" s="104">
        <f>W3*J3/T3</f>
        <v>1.6</v>
      </c>
      <c r="Y3" s="75">
        <f>Q3/J3*T3</f>
        <v>48309.178743961354</v>
      </c>
      <c r="AA3" s="54" t="s">
        <v>68</v>
      </c>
      <c r="AB3" s="3" t="s">
        <v>81</v>
      </c>
      <c r="AC3" s="3" t="s">
        <v>82</v>
      </c>
      <c r="AD3" s="91" t="s">
        <v>83</v>
      </c>
      <c r="AE3" s="133">
        <v>756733</v>
      </c>
      <c r="AF3" s="116">
        <f>64390/100000</f>
        <v>0.64390000000000003</v>
      </c>
      <c r="AG3" s="120">
        <f>5/100000</f>
        <v>5.0000000000000002E-5</v>
      </c>
      <c r="AH3" s="120" t="s">
        <v>103</v>
      </c>
      <c r="AI3" s="143">
        <v>134770228</v>
      </c>
      <c r="AJ3" s="9" t="s">
        <v>89</v>
      </c>
      <c r="AK3" s="9" t="s">
        <v>88</v>
      </c>
      <c r="AL3" s="144">
        <v>0.1</v>
      </c>
      <c r="AM3" s="98"/>
    </row>
    <row r="4" spans="1:39" x14ac:dyDescent="0.25">
      <c r="A4" s="154"/>
      <c r="B4" s="27" t="s">
        <v>3</v>
      </c>
      <c r="C4" s="2" t="s">
        <v>12</v>
      </c>
      <c r="D4" s="13" t="s">
        <v>11</v>
      </c>
      <c r="E4" s="19" t="s">
        <v>42</v>
      </c>
      <c r="F4" s="149" t="s">
        <v>120</v>
      </c>
      <c r="G4" s="149" t="s">
        <v>135</v>
      </c>
      <c r="H4" s="22">
        <v>1.1819999999999999</v>
      </c>
      <c r="I4" s="36">
        <v>12980.5</v>
      </c>
      <c r="J4" s="40">
        <v>25</v>
      </c>
      <c r="K4" s="29">
        <f>I4*J4*H4</f>
        <v>383573.77499999997</v>
      </c>
      <c r="L4" s="32">
        <v>0.5</v>
      </c>
      <c r="M4" s="61">
        <f t="shared" ref="M4:M14" si="0">L4/I4</f>
        <v>3.8519317437695001E-5</v>
      </c>
      <c r="N4" s="32">
        <f>2*H4</f>
        <v>2.3639999999999999</v>
      </c>
      <c r="O4" s="61">
        <f t="shared" ref="O4:O15" si="1">N4/K4</f>
        <v>6.1630907900312006E-6</v>
      </c>
      <c r="P4" s="68">
        <v>0.17399999999999999</v>
      </c>
      <c r="Q4" s="24">
        <f t="shared" ref="Q4:Q15" si="2">500000*4/12*0.2/P4</f>
        <v>191570.88122605367</v>
      </c>
      <c r="R4" s="69">
        <f t="shared" ref="R4:R15" si="3">FLOOR(Q4/K4,1)</f>
        <v>0</v>
      </c>
      <c r="S4" s="25"/>
      <c r="T4" s="40">
        <v>1</v>
      </c>
      <c r="U4" s="29">
        <f>I4*T4*H4</f>
        <v>15342.950999999999</v>
      </c>
      <c r="V4" s="92"/>
      <c r="W4" s="100">
        <f>0.24*H4</f>
        <v>0.28367999999999999</v>
      </c>
      <c r="X4" s="105">
        <f>W4*J4/T4</f>
        <v>7.0919999999999996</v>
      </c>
      <c r="Y4" s="24">
        <f t="shared" ref="Y4:Y15" si="4">Q4/J4*T4</f>
        <v>7662.8352490421466</v>
      </c>
      <c r="AA4" s="117" t="s">
        <v>77</v>
      </c>
      <c r="AB4" s="112" t="s">
        <v>70</v>
      </c>
      <c r="AC4" s="2" t="s">
        <v>74</v>
      </c>
      <c r="AD4" s="130" t="s">
        <v>76</v>
      </c>
      <c r="AE4" s="134">
        <v>42751161</v>
      </c>
      <c r="AF4" s="111">
        <f>4669/12814</f>
        <v>0.36436709848603088</v>
      </c>
      <c r="AG4" s="121">
        <v>1E-3</v>
      </c>
      <c r="AH4" s="139">
        <v>4</v>
      </c>
      <c r="AI4" s="132">
        <v>290654659</v>
      </c>
      <c r="AJ4" s="2" t="s">
        <v>89</v>
      </c>
      <c r="AK4" s="2" t="s">
        <v>88</v>
      </c>
      <c r="AL4" s="114">
        <v>0.1</v>
      </c>
      <c r="AM4" s="93"/>
    </row>
    <row r="5" spans="1:39" x14ac:dyDescent="0.25">
      <c r="A5" s="154"/>
      <c r="B5" s="1" t="s">
        <v>50</v>
      </c>
      <c r="C5" s="2" t="s">
        <v>52</v>
      </c>
      <c r="D5" s="13" t="s">
        <v>51</v>
      </c>
      <c r="E5" s="19" t="s">
        <v>42</v>
      </c>
      <c r="F5" s="149" t="s">
        <v>121</v>
      </c>
      <c r="G5" s="149" t="s">
        <v>123</v>
      </c>
      <c r="H5" s="22">
        <v>1.1819999999999999</v>
      </c>
      <c r="I5" s="36">
        <v>5351.5</v>
      </c>
      <c r="J5" s="40">
        <v>10</v>
      </c>
      <c r="K5" s="29">
        <f>I5*J5*H5</f>
        <v>63254.729999999996</v>
      </c>
      <c r="L5" s="32">
        <v>0.5</v>
      </c>
      <c r="M5" s="61">
        <f t="shared" si="0"/>
        <v>9.3431748108007095E-5</v>
      </c>
      <c r="N5" s="32">
        <f>2*H5</f>
        <v>2.3639999999999999</v>
      </c>
      <c r="O5" s="61">
        <f t="shared" si="1"/>
        <v>3.7372699243202844E-5</v>
      </c>
      <c r="P5" s="68">
        <v>0.189</v>
      </c>
      <c r="Q5" s="24">
        <f t="shared" si="2"/>
        <v>176366.84303350971</v>
      </c>
      <c r="R5" s="69">
        <f t="shared" si="3"/>
        <v>2</v>
      </c>
      <c r="S5" s="25"/>
      <c r="T5" s="40">
        <v>1</v>
      </c>
      <c r="U5" s="29">
        <f>I5*T5*H5</f>
        <v>6325.473</v>
      </c>
      <c r="V5" s="92"/>
      <c r="W5" s="100">
        <f>0.3*H5</f>
        <v>0.35459999999999997</v>
      </c>
      <c r="X5" s="105">
        <f>W5*J5/T5</f>
        <v>3.5459999999999998</v>
      </c>
      <c r="Y5" s="24">
        <f t="shared" si="4"/>
        <v>17636.684303350972</v>
      </c>
      <c r="AA5" s="117" t="s">
        <v>51</v>
      </c>
      <c r="AB5" s="112" t="s">
        <v>84</v>
      </c>
      <c r="AC5" s="113" t="s">
        <v>85</v>
      </c>
      <c r="AD5" s="93" t="s">
        <v>76</v>
      </c>
      <c r="AE5" s="134">
        <v>165198503</v>
      </c>
      <c r="AF5" s="114">
        <v>0.39150000000000001</v>
      </c>
      <c r="AG5" s="121">
        <v>1E-3</v>
      </c>
      <c r="AH5" s="139">
        <v>4</v>
      </c>
      <c r="AI5" s="132">
        <v>290652011</v>
      </c>
      <c r="AJ5" s="2" t="s">
        <v>89</v>
      </c>
      <c r="AK5" s="2" t="s">
        <v>88</v>
      </c>
      <c r="AL5" s="114">
        <v>0.1</v>
      </c>
      <c r="AM5" s="93"/>
    </row>
    <row r="6" spans="1:39" x14ac:dyDescent="0.25">
      <c r="A6" s="154"/>
      <c r="B6" s="1" t="s">
        <v>4</v>
      </c>
      <c r="C6" s="2" t="s">
        <v>48</v>
      </c>
      <c r="D6" s="13" t="s">
        <v>13</v>
      </c>
      <c r="E6" s="19" t="s">
        <v>43</v>
      </c>
      <c r="F6" s="149" t="s">
        <v>136</v>
      </c>
      <c r="G6" s="149" t="s">
        <v>124</v>
      </c>
      <c r="H6" s="22">
        <v>111.85</v>
      </c>
      <c r="I6" s="36">
        <v>21240</v>
      </c>
      <c r="J6" s="40">
        <v>100</v>
      </c>
      <c r="K6" s="29">
        <f>I6*J6/H6</f>
        <v>18989.718372820742</v>
      </c>
      <c r="L6" s="32">
        <v>5</v>
      </c>
      <c r="M6" s="61">
        <f t="shared" si="0"/>
        <v>2.3540489642184556E-4</v>
      </c>
      <c r="N6" s="32">
        <f>40/H6</f>
        <v>0.35762181493071077</v>
      </c>
      <c r="O6" s="61">
        <f t="shared" si="1"/>
        <v>1.8832391713747646E-5</v>
      </c>
      <c r="P6" s="68">
        <v>0.20150000000000001</v>
      </c>
      <c r="Q6" s="24">
        <f t="shared" si="2"/>
        <v>165425.97187758479</v>
      </c>
      <c r="R6" s="69">
        <f t="shared" si="3"/>
        <v>8</v>
      </c>
      <c r="S6" s="25"/>
      <c r="T6" s="40">
        <v>100</v>
      </c>
      <c r="U6" s="29">
        <f>I6*T6/H6</f>
        <v>18989.718372820742</v>
      </c>
      <c r="V6" s="92"/>
      <c r="W6" s="100">
        <f>40/H6</f>
        <v>0.35762181493071077</v>
      </c>
      <c r="X6" s="105">
        <f>W6*J6/T6</f>
        <v>0.35762181493071077</v>
      </c>
      <c r="Y6" s="24">
        <f t="shared" si="4"/>
        <v>165425.97187758479</v>
      </c>
      <c r="AA6" s="117"/>
      <c r="AB6" s="110"/>
      <c r="AC6" s="113"/>
      <c r="AD6" s="93"/>
      <c r="AE6" s="134"/>
      <c r="AF6" s="115"/>
      <c r="AG6" s="122"/>
      <c r="AH6" s="139"/>
      <c r="AI6" s="132"/>
      <c r="AJ6" s="2"/>
      <c r="AK6" s="2"/>
      <c r="AL6" s="114"/>
      <c r="AM6" s="93"/>
    </row>
    <row r="7" spans="1:39" ht="15.75" thickBot="1" x14ac:dyDescent="0.3">
      <c r="A7" s="155"/>
      <c r="B7" s="6" t="s">
        <v>5</v>
      </c>
      <c r="C7" s="7" t="s">
        <v>49</v>
      </c>
      <c r="D7" s="16" t="s">
        <v>14</v>
      </c>
      <c r="E7" s="43" t="s">
        <v>44</v>
      </c>
      <c r="F7" s="150" t="s">
        <v>137</v>
      </c>
      <c r="G7" s="150" t="s">
        <v>125</v>
      </c>
      <c r="H7" s="44">
        <v>7.8</v>
      </c>
      <c r="I7" s="45">
        <v>28476</v>
      </c>
      <c r="J7" s="46">
        <v>10</v>
      </c>
      <c r="K7" s="47">
        <f>I7*J7/H7</f>
        <v>36507.692307692305</v>
      </c>
      <c r="L7" s="48">
        <v>1</v>
      </c>
      <c r="M7" s="62">
        <f t="shared" si="0"/>
        <v>3.5117291754459895E-5</v>
      </c>
      <c r="N7" s="48">
        <f>17/H7</f>
        <v>2.1794871794871797</v>
      </c>
      <c r="O7" s="62">
        <f t="shared" si="1"/>
        <v>5.9699395982581833E-5</v>
      </c>
      <c r="P7" s="86">
        <v>0.185</v>
      </c>
      <c r="Q7" s="87">
        <f t="shared" si="2"/>
        <v>180180.18018018021</v>
      </c>
      <c r="R7" s="88">
        <f t="shared" si="3"/>
        <v>4</v>
      </c>
      <c r="S7" s="25"/>
      <c r="T7" s="46">
        <v>1</v>
      </c>
      <c r="U7" s="47">
        <f>I7*T7/H7</f>
        <v>3650.7692307692309</v>
      </c>
      <c r="V7" s="96"/>
      <c r="W7" s="101">
        <f>1/H7</f>
        <v>0.12820512820512822</v>
      </c>
      <c r="X7" s="106">
        <f>W7*J7/T7</f>
        <v>1.2820512820512822</v>
      </c>
      <c r="Y7" s="87">
        <f t="shared" si="4"/>
        <v>18018.018018018021</v>
      </c>
      <c r="AA7" s="146">
        <v>2833</v>
      </c>
      <c r="AB7" s="123" t="s">
        <v>86</v>
      </c>
      <c r="AC7" s="124" t="s">
        <v>87</v>
      </c>
      <c r="AD7" s="131" t="s">
        <v>44</v>
      </c>
      <c r="AE7" s="135">
        <v>42474938</v>
      </c>
      <c r="AF7" s="125">
        <f>37167/200000</f>
        <v>0.185835</v>
      </c>
      <c r="AG7" s="126">
        <f>160/200000</f>
        <v>8.0000000000000004E-4</v>
      </c>
      <c r="AH7" s="126" t="s">
        <v>113</v>
      </c>
      <c r="AI7" s="132">
        <v>290654600</v>
      </c>
      <c r="AJ7" s="2" t="s">
        <v>89</v>
      </c>
      <c r="AK7" s="2" t="s">
        <v>88</v>
      </c>
      <c r="AL7" s="114">
        <v>0.1</v>
      </c>
      <c r="AM7" s="93"/>
    </row>
    <row r="8" spans="1:39" ht="15.75" thickBot="1" x14ac:dyDescent="0.3">
      <c r="A8" s="156" t="s">
        <v>17</v>
      </c>
      <c r="B8" s="54" t="s">
        <v>15</v>
      </c>
      <c r="C8" s="3" t="s">
        <v>16</v>
      </c>
      <c r="D8" s="17" t="s">
        <v>28</v>
      </c>
      <c r="E8" s="18" t="s">
        <v>41</v>
      </c>
      <c r="F8" s="148" t="s">
        <v>119</v>
      </c>
      <c r="G8" s="148" t="s">
        <v>126</v>
      </c>
      <c r="H8" s="21">
        <v>1</v>
      </c>
      <c r="I8" s="35">
        <v>125.24</v>
      </c>
      <c r="J8" s="39">
        <v>1000</v>
      </c>
      <c r="K8" s="28">
        <f>I8*J8*H8</f>
        <v>125240</v>
      </c>
      <c r="L8" s="55">
        <v>5.0000000000000001E-3</v>
      </c>
      <c r="M8" s="63">
        <f t="shared" si="0"/>
        <v>3.9923347173427021E-5</v>
      </c>
      <c r="N8" s="83">
        <v>1.61</v>
      </c>
      <c r="O8" s="63">
        <f t="shared" si="1"/>
        <v>1.28553177898435E-5</v>
      </c>
      <c r="P8" s="65">
        <v>5.2999999999999999E-2</v>
      </c>
      <c r="Q8" s="66">
        <f t="shared" si="2"/>
        <v>628930.81761006301</v>
      </c>
      <c r="R8" s="67">
        <f t="shared" si="3"/>
        <v>5</v>
      </c>
      <c r="S8" s="25"/>
      <c r="T8" s="39"/>
      <c r="U8" s="28">
        <f t="shared" ref="U8:U15" si="5">I8*T8*H8</f>
        <v>0</v>
      </c>
      <c r="V8" s="90"/>
      <c r="W8" s="3"/>
      <c r="X8" s="91"/>
      <c r="Y8" s="66">
        <f t="shared" si="4"/>
        <v>0</v>
      </c>
      <c r="AA8" s="117" t="s">
        <v>115</v>
      </c>
      <c r="AB8" s="147" t="s">
        <v>117</v>
      </c>
      <c r="AC8" s="113" t="s">
        <v>116</v>
      </c>
      <c r="AD8" s="93" t="s">
        <v>83</v>
      </c>
      <c r="AE8" s="147">
        <v>15547844</v>
      </c>
      <c r="AF8" s="111">
        <f>628/2505</f>
        <v>0.2506986027944112</v>
      </c>
      <c r="AG8" s="127">
        <f>5/25050</f>
        <v>1.996007984031936E-4</v>
      </c>
      <c r="AH8" s="140" t="s">
        <v>103</v>
      </c>
      <c r="AI8" s="147">
        <v>134770775</v>
      </c>
      <c r="AJ8" s="2" t="s">
        <v>89</v>
      </c>
      <c r="AK8" s="2" t="s">
        <v>88</v>
      </c>
      <c r="AL8" s="114">
        <v>0.1</v>
      </c>
      <c r="AM8" s="93"/>
    </row>
    <row r="9" spans="1:39" x14ac:dyDescent="0.25">
      <c r="A9" s="157"/>
      <c r="B9" s="56" t="s">
        <v>31</v>
      </c>
      <c r="C9" s="11" t="s">
        <v>32</v>
      </c>
      <c r="D9" s="15" t="s">
        <v>33</v>
      </c>
      <c r="E9" s="19" t="s">
        <v>45</v>
      </c>
      <c r="F9" s="149" t="s">
        <v>121</v>
      </c>
      <c r="G9" s="149" t="s">
        <v>127</v>
      </c>
      <c r="H9" s="22">
        <v>1.3280000000000001</v>
      </c>
      <c r="I9" s="36">
        <v>123.78</v>
      </c>
      <c r="J9" s="40">
        <v>1000</v>
      </c>
      <c r="K9" s="29">
        <f>I9*J9*H9</f>
        <v>164379.84</v>
      </c>
      <c r="L9" s="32">
        <v>0.01</v>
      </c>
      <c r="M9" s="61">
        <f t="shared" si="0"/>
        <v>8.0788495718209726E-5</v>
      </c>
      <c r="N9" s="84">
        <f>1.71*H9</f>
        <v>2.27088</v>
      </c>
      <c r="O9" s="61">
        <f t="shared" si="1"/>
        <v>1.3814832767813863E-5</v>
      </c>
      <c r="P9" s="68">
        <v>6.5000000000000002E-2</v>
      </c>
      <c r="Q9" s="24">
        <f t="shared" si="2"/>
        <v>512820.51282051281</v>
      </c>
      <c r="R9" s="69">
        <f t="shared" si="3"/>
        <v>3</v>
      </c>
      <c r="S9" s="25"/>
      <c r="T9" s="40"/>
      <c r="U9" s="29">
        <f t="shared" si="5"/>
        <v>0</v>
      </c>
      <c r="V9" s="92"/>
      <c r="W9" s="2"/>
      <c r="X9" s="93"/>
      <c r="Y9" s="24">
        <f t="shared" si="4"/>
        <v>0</v>
      </c>
      <c r="AA9" s="117" t="s">
        <v>93</v>
      </c>
      <c r="AB9" s="112" t="s">
        <v>94</v>
      </c>
      <c r="AC9" s="113" t="s">
        <v>95</v>
      </c>
      <c r="AD9" s="93" t="s">
        <v>114</v>
      </c>
      <c r="AE9" s="134">
        <v>42725180</v>
      </c>
      <c r="AF9" s="111">
        <f>53407/100000</f>
        <v>0.53407000000000004</v>
      </c>
      <c r="AG9" s="127">
        <f>29/100000</f>
        <v>2.9E-4</v>
      </c>
      <c r="AH9" s="141">
        <v>6</v>
      </c>
      <c r="AI9" s="134">
        <v>290654651</v>
      </c>
      <c r="AJ9" s="2" t="s">
        <v>89</v>
      </c>
      <c r="AK9" s="2" t="s">
        <v>88</v>
      </c>
      <c r="AL9" s="114">
        <v>0.1</v>
      </c>
      <c r="AM9" s="93"/>
    </row>
    <row r="10" spans="1:39" x14ac:dyDescent="0.25">
      <c r="A10" s="158"/>
      <c r="B10" s="57" t="s">
        <v>35</v>
      </c>
      <c r="C10" s="7" t="s">
        <v>30</v>
      </c>
      <c r="D10" s="16" t="s">
        <v>29</v>
      </c>
      <c r="E10" s="19" t="s">
        <v>42</v>
      </c>
      <c r="F10" s="149" t="s">
        <v>120</v>
      </c>
      <c r="G10" s="149" t="s">
        <v>128</v>
      </c>
      <c r="H10" s="22">
        <v>1.1819999999999999</v>
      </c>
      <c r="I10" s="36">
        <v>161.44999999999999</v>
      </c>
      <c r="J10" s="40">
        <v>1000</v>
      </c>
      <c r="K10" s="29">
        <f>I10*J10*H10</f>
        <v>190833.9</v>
      </c>
      <c r="L10" s="32">
        <v>0.01</v>
      </c>
      <c r="M10" s="61">
        <f t="shared" si="0"/>
        <v>6.1938680706100972E-5</v>
      </c>
      <c r="N10" s="84">
        <f>2*H10</f>
        <v>2.3639999999999999</v>
      </c>
      <c r="O10" s="61">
        <f t="shared" si="1"/>
        <v>1.2387736141220191E-5</v>
      </c>
      <c r="P10" s="68">
        <v>5.9799999999999999E-2</v>
      </c>
      <c r="Q10" s="24">
        <f t="shared" si="2"/>
        <v>557413.60089186183</v>
      </c>
      <c r="R10" s="69">
        <f t="shared" si="3"/>
        <v>2</v>
      </c>
      <c r="S10" s="25"/>
      <c r="T10" s="40"/>
      <c r="U10" s="29">
        <f t="shared" si="5"/>
        <v>0</v>
      </c>
      <c r="V10" s="92"/>
      <c r="W10" s="2"/>
      <c r="X10" s="93"/>
      <c r="Y10" s="24">
        <f t="shared" si="4"/>
        <v>0</v>
      </c>
      <c r="AA10" s="145" t="s">
        <v>99</v>
      </c>
      <c r="AB10" s="112" t="s">
        <v>98</v>
      </c>
      <c r="AC10" s="113" t="s">
        <v>97</v>
      </c>
      <c r="AD10" s="93" t="s">
        <v>76</v>
      </c>
      <c r="AE10" s="134">
        <v>106659028</v>
      </c>
      <c r="AF10" s="111">
        <f>277/238</f>
        <v>1.1638655462184875</v>
      </c>
      <c r="AG10" s="128">
        <v>1E-3</v>
      </c>
      <c r="AH10" s="139">
        <v>4</v>
      </c>
      <c r="AI10" s="92" t="e">
        <v>#N/A</v>
      </c>
      <c r="AJ10" s="2"/>
      <c r="AK10" s="2"/>
      <c r="AL10" s="2"/>
      <c r="AM10" s="93"/>
    </row>
    <row r="11" spans="1:39" ht="15.75" thickBot="1" x14ac:dyDescent="0.3">
      <c r="A11" s="42"/>
      <c r="B11" s="82" t="s">
        <v>34</v>
      </c>
      <c r="C11" s="58" t="s">
        <v>59</v>
      </c>
      <c r="D11" s="59" t="s">
        <v>60</v>
      </c>
      <c r="E11" s="20" t="s">
        <v>43</v>
      </c>
      <c r="F11" s="151" t="s">
        <v>136</v>
      </c>
      <c r="G11" s="151" t="s">
        <v>129</v>
      </c>
      <c r="H11" s="23">
        <v>111.85</v>
      </c>
      <c r="I11" s="38">
        <v>150.44</v>
      </c>
      <c r="J11" s="41">
        <v>100000</v>
      </c>
      <c r="K11" s="30">
        <f>I11*J11/H11</f>
        <v>134501.56459544032</v>
      </c>
      <c r="L11" s="33">
        <v>0.01</v>
      </c>
      <c r="M11" s="64">
        <f t="shared" si="0"/>
        <v>6.6471683063015161E-5</v>
      </c>
      <c r="N11" s="85">
        <f>85/H11</f>
        <v>0.75994635672776045</v>
      </c>
      <c r="O11" s="64">
        <f t="shared" si="1"/>
        <v>5.6500930603562893E-6</v>
      </c>
      <c r="P11" s="70">
        <v>2.1000000000000001E-2</v>
      </c>
      <c r="Q11" s="71">
        <f t="shared" si="2"/>
        <v>1587301.5873015872</v>
      </c>
      <c r="R11" s="72">
        <f>FLOOR(Q11/K11,1)</f>
        <v>11</v>
      </c>
      <c r="S11" s="25"/>
      <c r="T11" s="41"/>
      <c r="U11" s="30">
        <f t="shared" si="5"/>
        <v>0</v>
      </c>
      <c r="V11" s="94"/>
      <c r="W11" s="5"/>
      <c r="X11" s="95"/>
      <c r="Y11" s="71">
        <f t="shared" si="4"/>
        <v>0</v>
      </c>
      <c r="AA11" s="117"/>
      <c r="AB11" s="2"/>
      <c r="AC11" s="2"/>
      <c r="AD11" s="93"/>
      <c r="AE11" s="92"/>
      <c r="AF11" s="2"/>
      <c r="AG11" s="2"/>
      <c r="AH11" s="140"/>
      <c r="AI11" s="92"/>
      <c r="AJ11" s="2"/>
      <c r="AK11" s="2"/>
      <c r="AL11" s="2"/>
      <c r="AM11" s="93"/>
    </row>
    <row r="12" spans="1:39" x14ac:dyDescent="0.25">
      <c r="A12" s="159" t="s">
        <v>21</v>
      </c>
      <c r="B12" s="8" t="s">
        <v>18</v>
      </c>
      <c r="C12" s="9" t="s">
        <v>53</v>
      </c>
      <c r="D12" s="12" t="s">
        <v>27</v>
      </c>
      <c r="E12" s="49" t="s">
        <v>41</v>
      </c>
      <c r="F12" s="152" t="s">
        <v>119</v>
      </c>
      <c r="G12" s="152" t="s">
        <v>130</v>
      </c>
      <c r="H12" s="50">
        <v>1</v>
      </c>
      <c r="I12" s="51">
        <v>51.674999999999997</v>
      </c>
      <c r="J12" s="52">
        <v>500</v>
      </c>
      <c r="K12" s="53">
        <f>I12*J12/H12</f>
        <v>25837.5</v>
      </c>
      <c r="L12" s="31">
        <v>2.5000000000000001E-2</v>
      </c>
      <c r="M12" s="60">
        <f t="shared" si="0"/>
        <v>4.8379293662312534E-4</v>
      </c>
      <c r="N12" s="31">
        <v>2.06</v>
      </c>
      <c r="O12" s="60">
        <f t="shared" si="1"/>
        <v>7.9729075955491051E-5</v>
      </c>
      <c r="P12" s="74">
        <v>0.29799999999999999</v>
      </c>
      <c r="Q12" s="75">
        <f t="shared" si="2"/>
        <v>111856.82326621925</v>
      </c>
      <c r="R12" s="76">
        <f t="shared" si="3"/>
        <v>4</v>
      </c>
      <c r="S12" s="25"/>
      <c r="T12" s="52">
        <v>100</v>
      </c>
      <c r="U12" s="53">
        <f t="shared" si="5"/>
        <v>5167.5</v>
      </c>
      <c r="V12" s="97"/>
      <c r="W12" s="102" t="s">
        <v>66</v>
      </c>
      <c r="X12" s="98"/>
      <c r="Y12" s="75">
        <f t="shared" si="4"/>
        <v>22371.364653243851</v>
      </c>
      <c r="AA12" s="117" t="s">
        <v>100</v>
      </c>
      <c r="AB12" s="112" t="s">
        <v>101</v>
      </c>
      <c r="AC12" s="113" t="s">
        <v>102</v>
      </c>
      <c r="AD12" s="93" t="s">
        <v>83</v>
      </c>
      <c r="AE12" s="134">
        <v>38590758</v>
      </c>
      <c r="AF12" s="111">
        <f>27169/108000</f>
        <v>0.2515648148148148</v>
      </c>
      <c r="AG12" s="128">
        <f>45/108000</f>
        <v>4.1666666666666669E-4</v>
      </c>
      <c r="AH12" s="140" t="s">
        <v>103</v>
      </c>
      <c r="AI12" s="134">
        <v>134771093</v>
      </c>
      <c r="AJ12" s="2" t="s">
        <v>89</v>
      </c>
      <c r="AK12" s="2" t="s">
        <v>88</v>
      </c>
      <c r="AL12" s="114">
        <v>0.1</v>
      </c>
      <c r="AM12" s="93"/>
    </row>
    <row r="13" spans="1:39" x14ac:dyDescent="0.25">
      <c r="A13" s="160"/>
      <c r="B13" s="1" t="s">
        <v>19</v>
      </c>
      <c r="C13" s="2" t="s">
        <v>54</v>
      </c>
      <c r="D13" s="13" t="s">
        <v>26</v>
      </c>
      <c r="E13" s="19" t="s">
        <v>41</v>
      </c>
      <c r="F13" s="149" t="s">
        <v>119</v>
      </c>
      <c r="G13" s="149" t="s">
        <v>131</v>
      </c>
      <c r="H13" s="22">
        <v>1</v>
      </c>
      <c r="I13" s="36">
        <v>1306.3</v>
      </c>
      <c r="J13" s="40">
        <v>10</v>
      </c>
      <c r="K13" s="29">
        <f>I13*J13/H13</f>
        <v>13063</v>
      </c>
      <c r="L13" s="32">
        <v>0.1</v>
      </c>
      <c r="M13" s="61">
        <f t="shared" si="0"/>
        <v>7.6552093699762692E-5</v>
      </c>
      <c r="N13" s="32">
        <v>1.06</v>
      </c>
      <c r="O13" s="61">
        <f t="shared" si="1"/>
        <v>8.1145219321748449E-5</v>
      </c>
      <c r="P13" s="68">
        <v>0.17799999999999999</v>
      </c>
      <c r="Q13" s="24">
        <f t="shared" si="2"/>
        <v>187265.91760299628</v>
      </c>
      <c r="R13" s="69">
        <f t="shared" si="3"/>
        <v>14</v>
      </c>
      <c r="S13" s="25"/>
      <c r="T13" s="40">
        <v>1</v>
      </c>
      <c r="U13" s="29">
        <f t="shared" si="5"/>
        <v>1306.3</v>
      </c>
      <c r="V13" s="92"/>
      <c r="W13" s="103">
        <v>2.5000000000000001E-5</v>
      </c>
      <c r="X13" s="93"/>
      <c r="Y13" s="24">
        <f t="shared" si="4"/>
        <v>18726.591760299627</v>
      </c>
      <c r="AA13" s="117" t="s">
        <v>106</v>
      </c>
      <c r="AB13" s="112" t="s">
        <v>104</v>
      </c>
      <c r="AC13" s="113" t="s">
        <v>105</v>
      </c>
      <c r="AD13" s="130" t="s">
        <v>83</v>
      </c>
      <c r="AE13" s="132">
        <v>51529211</v>
      </c>
      <c r="AF13" s="111">
        <f>30254/100000</f>
        <v>0.30253999999999998</v>
      </c>
      <c r="AG13" s="129">
        <f>4.5/100000</f>
        <v>4.5000000000000003E-5</v>
      </c>
      <c r="AH13" s="140" t="s">
        <v>103</v>
      </c>
      <c r="AI13" s="134">
        <v>134771924</v>
      </c>
      <c r="AJ13" s="2" t="s">
        <v>89</v>
      </c>
      <c r="AK13" s="2" t="s">
        <v>88</v>
      </c>
      <c r="AL13" s="114">
        <v>0.1</v>
      </c>
      <c r="AM13" s="93"/>
    </row>
    <row r="14" spans="1:39" x14ac:dyDescent="0.25">
      <c r="A14" s="160"/>
      <c r="B14" s="1" t="s">
        <v>20</v>
      </c>
      <c r="C14" s="2" t="s">
        <v>57</v>
      </c>
      <c r="D14" s="13" t="s">
        <v>25</v>
      </c>
      <c r="E14" s="19" t="s">
        <v>41</v>
      </c>
      <c r="F14" s="149" t="s">
        <v>119</v>
      </c>
      <c r="G14" s="149" t="s">
        <v>132</v>
      </c>
      <c r="H14" s="22">
        <v>1</v>
      </c>
      <c r="I14" s="37">
        <v>3.13</v>
      </c>
      <c r="J14" s="40">
        <v>12500</v>
      </c>
      <c r="K14" s="29">
        <f>I14*J14/H14</f>
        <v>39125</v>
      </c>
      <c r="L14" s="32">
        <v>2E-3</v>
      </c>
      <c r="M14" s="61">
        <f t="shared" si="0"/>
        <v>6.3897763578274762E-4</v>
      </c>
      <c r="N14" s="32">
        <v>1.61</v>
      </c>
      <c r="O14" s="61">
        <f t="shared" si="1"/>
        <v>4.1150159744408948E-5</v>
      </c>
      <c r="P14" s="68">
        <v>0.22370000000000001</v>
      </c>
      <c r="Q14" s="24">
        <f t="shared" si="2"/>
        <v>149009.08955446281</v>
      </c>
      <c r="R14" s="69">
        <f t="shared" si="3"/>
        <v>3</v>
      </c>
      <c r="S14" s="25"/>
      <c r="T14" s="40"/>
      <c r="U14" s="29">
        <f t="shared" si="5"/>
        <v>0</v>
      </c>
      <c r="V14" s="92"/>
      <c r="W14" s="2"/>
      <c r="X14" s="93"/>
      <c r="Y14" s="24">
        <f t="shared" si="4"/>
        <v>0</v>
      </c>
      <c r="AA14" s="117" t="s">
        <v>107</v>
      </c>
      <c r="AB14" s="110" t="s">
        <v>108</v>
      </c>
      <c r="AC14" s="113" t="s">
        <v>109</v>
      </c>
      <c r="AD14" s="93" t="s">
        <v>83</v>
      </c>
      <c r="AE14" s="134">
        <v>46943351</v>
      </c>
      <c r="AF14" s="111">
        <f>8848/30000</f>
        <v>0.29493333333333333</v>
      </c>
      <c r="AG14" s="129">
        <f>4.5/30000</f>
        <v>1.4999999999999999E-4</v>
      </c>
      <c r="AH14" s="140" t="s">
        <v>103</v>
      </c>
      <c r="AI14" s="92"/>
      <c r="AJ14" s="2"/>
      <c r="AK14" s="2"/>
      <c r="AL14" s="2"/>
      <c r="AM14" s="93"/>
    </row>
    <row r="15" spans="1:39" ht="15.75" thickBot="1" x14ac:dyDescent="0.3">
      <c r="A15" s="161"/>
      <c r="B15" s="4" t="s">
        <v>22</v>
      </c>
      <c r="C15" s="5" t="s">
        <v>23</v>
      </c>
      <c r="D15" s="14" t="s">
        <v>24</v>
      </c>
      <c r="E15" s="20" t="s">
        <v>41</v>
      </c>
      <c r="F15" s="151" t="s">
        <v>138</v>
      </c>
      <c r="G15" s="151" t="s">
        <v>133</v>
      </c>
      <c r="H15" s="23">
        <v>1</v>
      </c>
      <c r="I15" s="38">
        <v>1.2635000000000001</v>
      </c>
      <c r="J15" s="41">
        <v>37500</v>
      </c>
      <c r="K15" s="30">
        <f>I15*J15/H15</f>
        <v>47381.25</v>
      </c>
      <c r="L15" s="33">
        <v>5.0000000000000001E-4</v>
      </c>
      <c r="M15" s="64">
        <f>L15/I15</f>
        <v>3.9572615749901069E-4</v>
      </c>
      <c r="N15" s="33">
        <v>2.96</v>
      </c>
      <c r="O15" s="64">
        <f t="shared" si="1"/>
        <v>6.2471969397177147E-5</v>
      </c>
      <c r="P15" s="70">
        <v>0.29799999999999999</v>
      </c>
      <c r="Q15" s="71">
        <f t="shared" si="2"/>
        <v>111856.82326621925</v>
      </c>
      <c r="R15" s="72">
        <f t="shared" si="3"/>
        <v>2</v>
      </c>
      <c r="S15" s="25"/>
      <c r="T15" s="41"/>
      <c r="U15" s="30">
        <f t="shared" si="5"/>
        <v>0</v>
      </c>
      <c r="V15" s="94"/>
      <c r="W15" s="5"/>
      <c r="X15" s="95"/>
      <c r="Y15" s="71">
        <f t="shared" si="4"/>
        <v>0</v>
      </c>
      <c r="AA15" s="118" t="s">
        <v>110</v>
      </c>
      <c r="AB15" s="119" t="s">
        <v>112</v>
      </c>
      <c r="AC15" s="5" t="s">
        <v>111</v>
      </c>
      <c r="AD15" s="95" t="s">
        <v>83</v>
      </c>
      <c r="AE15" s="136">
        <v>52175837</v>
      </c>
      <c r="AF15" s="137">
        <f>40855/100000</f>
        <v>0.40855000000000002</v>
      </c>
      <c r="AG15" s="138">
        <f>45/100000</f>
        <v>4.4999999999999999E-4</v>
      </c>
      <c r="AH15" s="142" t="s">
        <v>103</v>
      </c>
      <c r="AI15" s="94"/>
      <c r="AJ15" s="5"/>
      <c r="AK15" s="5"/>
      <c r="AL15" s="5"/>
      <c r="AM15" s="95"/>
    </row>
    <row r="18" spans="12:12" x14ac:dyDescent="0.25">
      <c r="L18" s="26"/>
    </row>
  </sheetData>
  <mergeCells count="5">
    <mergeCell ref="A3:A7"/>
    <mergeCell ref="A8:A10"/>
    <mergeCell ref="A12:A15"/>
    <mergeCell ref="T1:Y1"/>
    <mergeCell ref="AA1:AH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2017-10-09T21:28:15Z</dcterms:created>
  <dcterms:modified xsi:type="dcterms:W3CDTF">2018-03-06T23:47:47Z</dcterms:modified>
</cp:coreProperties>
</file>