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D2E6B363-4DBE-4D4A-AE4A-DD80C829C8B9}" xr6:coauthVersionLast="47" xr6:coauthVersionMax="47" xr10:uidLastSave="{00000000-0000-0000-0000-000000000000}"/>
  <bookViews>
    <workbookView xWindow="4680" yWindow="840" windowWidth="19095" windowHeight="20760" tabRatio="590" xr2:uid="{00000000-000D-0000-FFFF-FFFF00000000}"/>
  </bookViews>
  <sheets>
    <sheet name="DCF &amp; Sensitivity Model" sheetId="21" r:id="rId1"/>
    <sheet name="WACC" sheetId="24" r:id="rId2"/>
    <sheet name="BETA" sheetId="25" r:id="rId3"/>
  </sheets>
  <definedNames>
    <definedName name="_xlnm._FilterDatabase" localSheetId="2" hidden="1">BETA!$A$3:$D$1282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BETA!$E$4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21" l="1"/>
  <c r="D234" i="21"/>
  <c r="J13" i="21"/>
  <c r="M282" i="21"/>
  <c r="N282" i="21" s="1"/>
  <c r="O282" i="21" s="1"/>
  <c r="P282" i="21" s="1"/>
  <c r="E282" i="21"/>
  <c r="F282" i="21" s="1"/>
  <c r="G282" i="21" s="1"/>
  <c r="H282" i="21" s="1"/>
  <c r="K18" i="21"/>
  <c r="J18" i="21"/>
  <c r="J41" i="21" s="1"/>
  <c r="I220" i="21"/>
  <c r="V350" i="21"/>
  <c r="S350" i="21"/>
  <c r="U350" i="21"/>
  <c r="R350" i="21"/>
  <c r="P350" i="21"/>
  <c r="P348" i="21"/>
  <c r="P347" i="21"/>
  <c r="P346" i="21"/>
  <c r="P345" i="21"/>
  <c r="D334" i="21"/>
  <c r="E334" i="21"/>
  <c r="F334" i="21"/>
  <c r="G334" i="21"/>
  <c r="H334" i="21"/>
  <c r="C334" i="21"/>
  <c r="C328" i="21"/>
  <c r="C327" i="21"/>
  <c r="D239" i="21"/>
  <c r="D10" i="25"/>
  <c r="B15" i="24"/>
  <c r="B330" i="21"/>
  <c r="B322" i="21"/>
  <c r="D330" i="21"/>
  <c r="E330" i="21" s="1"/>
  <c r="F330" i="21" s="1"/>
  <c r="G330" i="21" s="1"/>
  <c r="H330" i="21" s="1"/>
  <c r="D322" i="21"/>
  <c r="E322" i="21" s="1"/>
  <c r="F322" i="21" s="1"/>
  <c r="G322" i="21" s="1"/>
  <c r="H322" i="21" s="1"/>
  <c r="K78" i="21"/>
  <c r="L78" i="21"/>
  <c r="M78" i="21"/>
  <c r="N78" i="21"/>
  <c r="K79" i="21"/>
  <c r="L79" i="21"/>
  <c r="M79" i="21"/>
  <c r="N79" i="21"/>
  <c r="J79" i="21"/>
  <c r="J78" i="21"/>
  <c r="K55" i="21"/>
  <c r="L55" i="21"/>
  <c r="M55" i="21"/>
  <c r="N55" i="21"/>
  <c r="K56" i="21"/>
  <c r="L56" i="21"/>
  <c r="M56" i="21"/>
  <c r="N56" i="21"/>
  <c r="J56" i="21"/>
  <c r="J55" i="21"/>
  <c r="K284" i="21"/>
  <c r="K285" i="21" s="1"/>
  <c r="K286" i="21" s="1"/>
  <c r="K287" i="21" s="1"/>
  <c r="L18" i="21" l="1"/>
  <c r="M18" i="21" s="1"/>
  <c r="B14" i="24"/>
  <c r="B16" i="24" s="1"/>
  <c r="B8" i="24"/>
  <c r="D5" i="25"/>
  <c r="E5" i="25"/>
  <c r="D6" i="25"/>
  <c r="E6" i="25"/>
  <c r="D7" i="25"/>
  <c r="E7" i="25"/>
  <c r="D8" i="25"/>
  <c r="E8" i="25"/>
  <c r="D9" i="25"/>
  <c r="E9" i="25"/>
  <c r="E10" i="25"/>
  <c r="D11" i="25"/>
  <c r="E11" i="25"/>
  <c r="D12" i="25"/>
  <c r="E12" i="25"/>
  <c r="D13" i="25"/>
  <c r="E13" i="25"/>
  <c r="D14" i="25"/>
  <c r="E14" i="25"/>
  <c r="D15" i="25"/>
  <c r="E15" i="25"/>
  <c r="D16" i="25"/>
  <c r="E16" i="25"/>
  <c r="D17" i="25"/>
  <c r="E17" i="25"/>
  <c r="D18" i="25"/>
  <c r="E18" i="25"/>
  <c r="D19" i="25"/>
  <c r="E19" i="25"/>
  <c r="D20" i="25"/>
  <c r="E20" i="25"/>
  <c r="D21" i="25"/>
  <c r="E21" i="25"/>
  <c r="D22" i="25"/>
  <c r="E22" i="25"/>
  <c r="D23" i="25"/>
  <c r="E23" i="25"/>
  <c r="D24" i="25"/>
  <c r="E24" i="25"/>
  <c r="D25" i="25"/>
  <c r="E25" i="25"/>
  <c r="D26" i="25"/>
  <c r="E26" i="25"/>
  <c r="D27" i="25"/>
  <c r="E27" i="25"/>
  <c r="D28" i="25"/>
  <c r="E28" i="25"/>
  <c r="D29" i="25"/>
  <c r="E29" i="25"/>
  <c r="D30" i="25"/>
  <c r="E30" i="25"/>
  <c r="D31" i="25"/>
  <c r="E31" i="25"/>
  <c r="D32" i="25"/>
  <c r="E32" i="25"/>
  <c r="D33" i="25"/>
  <c r="E33" i="25"/>
  <c r="D34" i="25"/>
  <c r="E34" i="25"/>
  <c r="D35" i="25"/>
  <c r="E35" i="25"/>
  <c r="D36" i="25"/>
  <c r="E36" i="25"/>
  <c r="D37" i="25"/>
  <c r="E37" i="25"/>
  <c r="D38" i="25"/>
  <c r="E38" i="25"/>
  <c r="D39" i="25"/>
  <c r="E39" i="25"/>
  <c r="D40" i="25"/>
  <c r="E40" i="25"/>
  <c r="D41" i="25"/>
  <c r="E41" i="25"/>
  <c r="D42" i="25"/>
  <c r="E42" i="25"/>
  <c r="D43" i="25"/>
  <c r="E43" i="25"/>
  <c r="D44" i="25"/>
  <c r="E44" i="25"/>
  <c r="D45" i="25"/>
  <c r="E45" i="25"/>
  <c r="D46" i="25"/>
  <c r="E46" i="25"/>
  <c r="D47" i="25"/>
  <c r="E47" i="25"/>
  <c r="D48" i="25"/>
  <c r="E48" i="25"/>
  <c r="D49" i="25"/>
  <c r="E49" i="25"/>
  <c r="D50" i="25"/>
  <c r="E50" i="25"/>
  <c r="D51" i="25"/>
  <c r="E51" i="25"/>
  <c r="D52" i="25"/>
  <c r="E52" i="25"/>
  <c r="D53" i="25"/>
  <c r="E53" i="25"/>
  <c r="D54" i="25"/>
  <c r="E54" i="25"/>
  <c r="D55" i="25"/>
  <c r="E55" i="25"/>
  <c r="D56" i="25"/>
  <c r="E56" i="25"/>
  <c r="D57" i="25"/>
  <c r="E57" i="25"/>
  <c r="D58" i="25"/>
  <c r="E58" i="25"/>
  <c r="D59" i="25"/>
  <c r="E59" i="25"/>
  <c r="D60" i="25"/>
  <c r="E60" i="25"/>
  <c r="D61" i="25"/>
  <c r="E61" i="25"/>
  <c r="D62" i="25"/>
  <c r="E62" i="25"/>
  <c r="D63" i="25"/>
  <c r="E63" i="25"/>
  <c r="D64" i="25"/>
  <c r="E64" i="25"/>
  <c r="D65" i="25"/>
  <c r="E65" i="25"/>
  <c r="D66" i="25"/>
  <c r="E66" i="25"/>
  <c r="D67" i="25"/>
  <c r="E67" i="25"/>
  <c r="D68" i="25"/>
  <c r="E68" i="25"/>
  <c r="D69" i="25"/>
  <c r="E69" i="25"/>
  <c r="D70" i="25"/>
  <c r="E70" i="25"/>
  <c r="D71" i="25"/>
  <c r="E71" i="25"/>
  <c r="D72" i="25"/>
  <c r="E72" i="25"/>
  <c r="D73" i="25"/>
  <c r="E73" i="25"/>
  <c r="D74" i="25"/>
  <c r="E74" i="25"/>
  <c r="D75" i="25"/>
  <c r="E75" i="25"/>
  <c r="D76" i="25"/>
  <c r="E76" i="25"/>
  <c r="D77" i="25"/>
  <c r="E77" i="25"/>
  <c r="D78" i="25"/>
  <c r="E78" i="25"/>
  <c r="D79" i="25"/>
  <c r="E79" i="25"/>
  <c r="D80" i="25"/>
  <c r="E80" i="25"/>
  <c r="D81" i="25"/>
  <c r="E81" i="25"/>
  <c r="D82" i="25"/>
  <c r="E82" i="25"/>
  <c r="D83" i="25"/>
  <c r="E83" i="25"/>
  <c r="D84" i="25"/>
  <c r="E84" i="25"/>
  <c r="D85" i="25"/>
  <c r="E85" i="25"/>
  <c r="D86" i="25"/>
  <c r="E86" i="25"/>
  <c r="D87" i="25"/>
  <c r="E87" i="25"/>
  <c r="D88" i="25"/>
  <c r="E88" i="25"/>
  <c r="D89" i="25"/>
  <c r="E89" i="25"/>
  <c r="D90" i="25"/>
  <c r="E90" i="25"/>
  <c r="D91" i="25"/>
  <c r="E91" i="25"/>
  <c r="D92" i="25"/>
  <c r="E92" i="25"/>
  <c r="D93" i="25"/>
  <c r="E93" i="25"/>
  <c r="D94" i="25"/>
  <c r="E94" i="25"/>
  <c r="D95" i="25"/>
  <c r="E95" i="25"/>
  <c r="D96" i="25"/>
  <c r="E96" i="25"/>
  <c r="D97" i="25"/>
  <c r="E97" i="25"/>
  <c r="D98" i="25"/>
  <c r="E98" i="25"/>
  <c r="D99" i="25"/>
  <c r="E99" i="25"/>
  <c r="D100" i="25"/>
  <c r="E100" i="25"/>
  <c r="D101" i="25"/>
  <c r="E101" i="25"/>
  <c r="D102" i="25"/>
  <c r="E102" i="25"/>
  <c r="D103" i="25"/>
  <c r="E103" i="25"/>
  <c r="D104" i="25"/>
  <c r="E104" i="25"/>
  <c r="D105" i="25"/>
  <c r="E105" i="25"/>
  <c r="D106" i="25"/>
  <c r="E106" i="25"/>
  <c r="D107" i="25"/>
  <c r="E107" i="25"/>
  <c r="D108" i="25"/>
  <c r="E108" i="25"/>
  <c r="D109" i="25"/>
  <c r="E109" i="25"/>
  <c r="D110" i="25"/>
  <c r="E110" i="25"/>
  <c r="D111" i="25"/>
  <c r="E111" i="25"/>
  <c r="D112" i="25"/>
  <c r="E112" i="25"/>
  <c r="D113" i="25"/>
  <c r="E113" i="25"/>
  <c r="D114" i="25"/>
  <c r="E114" i="25"/>
  <c r="D115" i="25"/>
  <c r="E115" i="25"/>
  <c r="D116" i="25"/>
  <c r="E116" i="25"/>
  <c r="D117" i="25"/>
  <c r="E117" i="25"/>
  <c r="D118" i="25"/>
  <c r="E118" i="25"/>
  <c r="D119" i="25"/>
  <c r="E119" i="25"/>
  <c r="D120" i="25"/>
  <c r="E120" i="25"/>
  <c r="D121" i="25"/>
  <c r="E121" i="25"/>
  <c r="D122" i="25"/>
  <c r="E122" i="25"/>
  <c r="D123" i="25"/>
  <c r="E123" i="25"/>
  <c r="D124" i="25"/>
  <c r="E124" i="25"/>
  <c r="D125" i="25"/>
  <c r="E125" i="25"/>
  <c r="D126" i="25"/>
  <c r="E126" i="25"/>
  <c r="D127" i="25"/>
  <c r="E127" i="25"/>
  <c r="D128" i="25"/>
  <c r="E128" i="25"/>
  <c r="D129" i="25"/>
  <c r="E129" i="25"/>
  <c r="D130" i="25"/>
  <c r="E130" i="25"/>
  <c r="D131" i="25"/>
  <c r="E131" i="25"/>
  <c r="D132" i="25"/>
  <c r="E132" i="25"/>
  <c r="D133" i="25"/>
  <c r="E133" i="25"/>
  <c r="D134" i="25"/>
  <c r="E134" i="25"/>
  <c r="D135" i="25"/>
  <c r="E135" i="25"/>
  <c r="D136" i="25"/>
  <c r="E136" i="25"/>
  <c r="D137" i="25"/>
  <c r="E137" i="25"/>
  <c r="D138" i="25"/>
  <c r="E138" i="25"/>
  <c r="D139" i="25"/>
  <c r="E139" i="25"/>
  <c r="D140" i="25"/>
  <c r="E140" i="25"/>
  <c r="D141" i="25"/>
  <c r="E141" i="25"/>
  <c r="D142" i="25"/>
  <c r="E142" i="25"/>
  <c r="D143" i="25"/>
  <c r="E143" i="25"/>
  <c r="D144" i="25"/>
  <c r="E144" i="25"/>
  <c r="D145" i="25"/>
  <c r="E145" i="25"/>
  <c r="D146" i="25"/>
  <c r="E146" i="25"/>
  <c r="D147" i="25"/>
  <c r="E147" i="25"/>
  <c r="D148" i="25"/>
  <c r="E148" i="25"/>
  <c r="D149" i="25"/>
  <c r="E149" i="25"/>
  <c r="D150" i="25"/>
  <c r="E150" i="25"/>
  <c r="D151" i="25"/>
  <c r="E151" i="25"/>
  <c r="D152" i="25"/>
  <c r="E152" i="25"/>
  <c r="D153" i="25"/>
  <c r="E153" i="25"/>
  <c r="D154" i="25"/>
  <c r="E154" i="25"/>
  <c r="D155" i="25"/>
  <c r="E155" i="25"/>
  <c r="D156" i="25"/>
  <c r="E156" i="25"/>
  <c r="D157" i="25"/>
  <c r="E157" i="25"/>
  <c r="D158" i="25"/>
  <c r="E158" i="25"/>
  <c r="D159" i="25"/>
  <c r="E159" i="25"/>
  <c r="D160" i="25"/>
  <c r="E160" i="25"/>
  <c r="D161" i="25"/>
  <c r="E161" i="25"/>
  <c r="D162" i="25"/>
  <c r="E162" i="25"/>
  <c r="D163" i="25"/>
  <c r="E163" i="25"/>
  <c r="D164" i="25"/>
  <c r="E164" i="25"/>
  <c r="D165" i="25"/>
  <c r="E165" i="25"/>
  <c r="D166" i="25"/>
  <c r="E166" i="25"/>
  <c r="D167" i="25"/>
  <c r="E167" i="25"/>
  <c r="D168" i="25"/>
  <c r="E168" i="25"/>
  <c r="D169" i="25"/>
  <c r="E169" i="25"/>
  <c r="D170" i="25"/>
  <c r="E170" i="25"/>
  <c r="D171" i="25"/>
  <c r="E171" i="25"/>
  <c r="D172" i="25"/>
  <c r="E172" i="25"/>
  <c r="D173" i="25"/>
  <c r="E173" i="25"/>
  <c r="D174" i="25"/>
  <c r="E174" i="25"/>
  <c r="D175" i="25"/>
  <c r="E175" i="25"/>
  <c r="D176" i="25"/>
  <c r="E176" i="25"/>
  <c r="D177" i="25"/>
  <c r="E177" i="25"/>
  <c r="D178" i="25"/>
  <c r="E178" i="25"/>
  <c r="D179" i="25"/>
  <c r="E179" i="25"/>
  <c r="D180" i="25"/>
  <c r="E180" i="25"/>
  <c r="D181" i="25"/>
  <c r="E181" i="25"/>
  <c r="D182" i="25"/>
  <c r="E182" i="25"/>
  <c r="D183" i="25"/>
  <c r="E183" i="25"/>
  <c r="D184" i="25"/>
  <c r="E184" i="25"/>
  <c r="D185" i="25"/>
  <c r="E185" i="25"/>
  <c r="D186" i="25"/>
  <c r="E186" i="25"/>
  <c r="D187" i="25"/>
  <c r="E187" i="25"/>
  <c r="D188" i="25"/>
  <c r="E188" i="25"/>
  <c r="D189" i="25"/>
  <c r="E189" i="25"/>
  <c r="D190" i="25"/>
  <c r="E190" i="25"/>
  <c r="D191" i="25"/>
  <c r="E191" i="25"/>
  <c r="D192" i="25"/>
  <c r="E192" i="25"/>
  <c r="D193" i="25"/>
  <c r="E193" i="25"/>
  <c r="D194" i="25"/>
  <c r="E194" i="25"/>
  <c r="D195" i="25"/>
  <c r="E195" i="25"/>
  <c r="D196" i="25"/>
  <c r="E196" i="25"/>
  <c r="D197" i="25"/>
  <c r="E197" i="25"/>
  <c r="D198" i="25"/>
  <c r="E198" i="25"/>
  <c r="D199" i="25"/>
  <c r="E199" i="25"/>
  <c r="D200" i="25"/>
  <c r="E200" i="25"/>
  <c r="D201" i="25"/>
  <c r="E201" i="25"/>
  <c r="D202" i="25"/>
  <c r="E202" i="25"/>
  <c r="D203" i="25"/>
  <c r="E203" i="25"/>
  <c r="D204" i="25"/>
  <c r="E204" i="25"/>
  <c r="D205" i="25"/>
  <c r="E205" i="25"/>
  <c r="D206" i="25"/>
  <c r="E206" i="25"/>
  <c r="D207" i="25"/>
  <c r="E207" i="25"/>
  <c r="D208" i="25"/>
  <c r="E208" i="25"/>
  <c r="D209" i="25"/>
  <c r="E209" i="25"/>
  <c r="D210" i="25"/>
  <c r="E210" i="25"/>
  <c r="D211" i="25"/>
  <c r="E211" i="25"/>
  <c r="D212" i="25"/>
  <c r="E212" i="25"/>
  <c r="D213" i="25"/>
  <c r="E213" i="25"/>
  <c r="D214" i="25"/>
  <c r="E214" i="25"/>
  <c r="D215" i="25"/>
  <c r="E215" i="25"/>
  <c r="D216" i="25"/>
  <c r="E216" i="25"/>
  <c r="D217" i="25"/>
  <c r="E217" i="25"/>
  <c r="D218" i="25"/>
  <c r="E218" i="25"/>
  <c r="D219" i="25"/>
  <c r="E219" i="25"/>
  <c r="D220" i="25"/>
  <c r="E220" i="25"/>
  <c r="D221" i="25"/>
  <c r="E221" i="25"/>
  <c r="D222" i="25"/>
  <c r="E222" i="25"/>
  <c r="D223" i="25"/>
  <c r="E223" i="25"/>
  <c r="D224" i="25"/>
  <c r="E224" i="25"/>
  <c r="D225" i="25"/>
  <c r="E225" i="25"/>
  <c r="D226" i="25"/>
  <c r="E226" i="25"/>
  <c r="D227" i="25"/>
  <c r="E227" i="25"/>
  <c r="D228" i="25"/>
  <c r="E228" i="25"/>
  <c r="D229" i="25"/>
  <c r="E229" i="25"/>
  <c r="D230" i="25"/>
  <c r="E230" i="25"/>
  <c r="D231" i="25"/>
  <c r="E231" i="25"/>
  <c r="D232" i="25"/>
  <c r="E232" i="25"/>
  <c r="D233" i="25"/>
  <c r="E233" i="25"/>
  <c r="D234" i="25"/>
  <c r="E234" i="25"/>
  <c r="D235" i="25"/>
  <c r="E235" i="25"/>
  <c r="D236" i="25"/>
  <c r="E236" i="25"/>
  <c r="D237" i="25"/>
  <c r="E237" i="25"/>
  <c r="D238" i="25"/>
  <c r="E238" i="25"/>
  <c r="D239" i="25"/>
  <c r="E239" i="25"/>
  <c r="D240" i="25"/>
  <c r="E240" i="25"/>
  <c r="D241" i="25"/>
  <c r="E241" i="25"/>
  <c r="D242" i="25"/>
  <c r="E242" i="25"/>
  <c r="D243" i="25"/>
  <c r="E243" i="25"/>
  <c r="D244" i="25"/>
  <c r="E244" i="25"/>
  <c r="D245" i="25"/>
  <c r="E245" i="25"/>
  <c r="D246" i="25"/>
  <c r="E246" i="25"/>
  <c r="D247" i="25"/>
  <c r="E247" i="25"/>
  <c r="D248" i="25"/>
  <c r="E248" i="25"/>
  <c r="D249" i="25"/>
  <c r="E249" i="25"/>
  <c r="D250" i="25"/>
  <c r="E250" i="25"/>
  <c r="D251" i="25"/>
  <c r="E251" i="25"/>
  <c r="D252" i="25"/>
  <c r="E252" i="25"/>
  <c r="D253" i="25"/>
  <c r="E253" i="25"/>
  <c r="D254" i="25"/>
  <c r="E254" i="25"/>
  <c r="D255" i="25"/>
  <c r="E255" i="25"/>
  <c r="D256" i="25"/>
  <c r="E256" i="25"/>
  <c r="D257" i="25"/>
  <c r="E257" i="25"/>
  <c r="D258" i="25"/>
  <c r="E258" i="25"/>
  <c r="D259" i="25"/>
  <c r="E259" i="25"/>
  <c r="D260" i="25"/>
  <c r="E260" i="25"/>
  <c r="D261" i="25"/>
  <c r="E261" i="25"/>
  <c r="D262" i="25"/>
  <c r="E262" i="25"/>
  <c r="D263" i="25"/>
  <c r="E263" i="25"/>
  <c r="D264" i="25"/>
  <c r="E264" i="25"/>
  <c r="D265" i="25"/>
  <c r="E265" i="25"/>
  <c r="D266" i="25"/>
  <c r="E266" i="25"/>
  <c r="D267" i="25"/>
  <c r="E267" i="25"/>
  <c r="D268" i="25"/>
  <c r="E268" i="25"/>
  <c r="D269" i="25"/>
  <c r="E269" i="25"/>
  <c r="D270" i="25"/>
  <c r="E270" i="25"/>
  <c r="D271" i="25"/>
  <c r="E271" i="25"/>
  <c r="D272" i="25"/>
  <c r="E272" i="25"/>
  <c r="D273" i="25"/>
  <c r="E273" i="25"/>
  <c r="D274" i="25"/>
  <c r="E274" i="25"/>
  <c r="D275" i="25"/>
  <c r="E275" i="25"/>
  <c r="D276" i="25"/>
  <c r="E276" i="25"/>
  <c r="D277" i="25"/>
  <c r="E277" i="25"/>
  <c r="D278" i="25"/>
  <c r="E278" i="25"/>
  <c r="D279" i="25"/>
  <c r="E279" i="25"/>
  <c r="D280" i="25"/>
  <c r="E280" i="25"/>
  <c r="D281" i="25"/>
  <c r="E281" i="25"/>
  <c r="D282" i="25"/>
  <c r="E282" i="25"/>
  <c r="D283" i="25"/>
  <c r="E283" i="25"/>
  <c r="D284" i="25"/>
  <c r="E284" i="25"/>
  <c r="D285" i="25"/>
  <c r="E285" i="25"/>
  <c r="D286" i="25"/>
  <c r="E286" i="25"/>
  <c r="D287" i="25"/>
  <c r="E287" i="25"/>
  <c r="D288" i="25"/>
  <c r="E288" i="25"/>
  <c r="D289" i="25"/>
  <c r="E289" i="25"/>
  <c r="D290" i="25"/>
  <c r="E290" i="25"/>
  <c r="D291" i="25"/>
  <c r="E291" i="25"/>
  <c r="D292" i="25"/>
  <c r="E292" i="25"/>
  <c r="D293" i="25"/>
  <c r="E293" i="25"/>
  <c r="D294" i="25"/>
  <c r="E294" i="25"/>
  <c r="D295" i="25"/>
  <c r="E295" i="25"/>
  <c r="D296" i="25"/>
  <c r="E296" i="25"/>
  <c r="D297" i="25"/>
  <c r="E297" i="25"/>
  <c r="D298" i="25"/>
  <c r="E298" i="25"/>
  <c r="D299" i="25"/>
  <c r="E299" i="25"/>
  <c r="D300" i="25"/>
  <c r="E300" i="25"/>
  <c r="D301" i="25"/>
  <c r="E301" i="25"/>
  <c r="D302" i="25"/>
  <c r="E302" i="25"/>
  <c r="D303" i="25"/>
  <c r="E303" i="25"/>
  <c r="D304" i="25"/>
  <c r="E304" i="25"/>
  <c r="D305" i="25"/>
  <c r="E305" i="25"/>
  <c r="D306" i="25"/>
  <c r="E306" i="25"/>
  <c r="D307" i="25"/>
  <c r="E307" i="25"/>
  <c r="D308" i="25"/>
  <c r="E308" i="25"/>
  <c r="D309" i="25"/>
  <c r="E309" i="25"/>
  <c r="D310" i="25"/>
  <c r="E310" i="25"/>
  <c r="D311" i="25"/>
  <c r="E311" i="25"/>
  <c r="D312" i="25"/>
  <c r="E312" i="25"/>
  <c r="D313" i="25"/>
  <c r="E313" i="25"/>
  <c r="D314" i="25"/>
  <c r="E314" i="25"/>
  <c r="D315" i="25"/>
  <c r="E315" i="25"/>
  <c r="D316" i="25"/>
  <c r="E316" i="25"/>
  <c r="D317" i="25"/>
  <c r="E317" i="25"/>
  <c r="D318" i="25"/>
  <c r="E318" i="25"/>
  <c r="D319" i="25"/>
  <c r="E319" i="25"/>
  <c r="D320" i="25"/>
  <c r="E320" i="25"/>
  <c r="D321" i="25"/>
  <c r="E321" i="25"/>
  <c r="D322" i="25"/>
  <c r="E322" i="25"/>
  <c r="D323" i="25"/>
  <c r="E323" i="25"/>
  <c r="D324" i="25"/>
  <c r="E324" i="25"/>
  <c r="D325" i="25"/>
  <c r="E325" i="25"/>
  <c r="D326" i="25"/>
  <c r="E326" i="25"/>
  <c r="D327" i="25"/>
  <c r="E327" i="25"/>
  <c r="D328" i="25"/>
  <c r="E328" i="25"/>
  <c r="D329" i="25"/>
  <c r="E329" i="25"/>
  <c r="D330" i="25"/>
  <c r="E330" i="25"/>
  <c r="D331" i="25"/>
  <c r="E331" i="25"/>
  <c r="D332" i="25"/>
  <c r="E332" i="25"/>
  <c r="D333" i="25"/>
  <c r="E333" i="25"/>
  <c r="D334" i="25"/>
  <c r="E334" i="25"/>
  <c r="D335" i="25"/>
  <c r="E335" i="25"/>
  <c r="D336" i="25"/>
  <c r="E336" i="25"/>
  <c r="D337" i="25"/>
  <c r="E337" i="25"/>
  <c r="D338" i="25"/>
  <c r="E338" i="25"/>
  <c r="D339" i="25"/>
  <c r="E339" i="25"/>
  <c r="D340" i="25"/>
  <c r="E340" i="25"/>
  <c r="D341" i="25"/>
  <c r="E341" i="25"/>
  <c r="D342" i="25"/>
  <c r="E342" i="25"/>
  <c r="D343" i="25"/>
  <c r="E343" i="25"/>
  <c r="D344" i="25"/>
  <c r="E344" i="25"/>
  <c r="D345" i="25"/>
  <c r="E345" i="25"/>
  <c r="D346" i="25"/>
  <c r="E346" i="25"/>
  <c r="D347" i="25"/>
  <c r="E347" i="25"/>
  <c r="D348" i="25"/>
  <c r="E348" i="25"/>
  <c r="D349" i="25"/>
  <c r="E349" i="25"/>
  <c r="D350" i="25"/>
  <c r="E350" i="25"/>
  <c r="D351" i="25"/>
  <c r="E351" i="25"/>
  <c r="D352" i="25"/>
  <c r="E352" i="25"/>
  <c r="D353" i="25"/>
  <c r="E353" i="25"/>
  <c r="D354" i="25"/>
  <c r="E354" i="25"/>
  <c r="D355" i="25"/>
  <c r="E355" i="25"/>
  <c r="D356" i="25"/>
  <c r="E356" i="25"/>
  <c r="D357" i="25"/>
  <c r="E357" i="25"/>
  <c r="D358" i="25"/>
  <c r="E358" i="25"/>
  <c r="D359" i="25"/>
  <c r="E359" i="25"/>
  <c r="D360" i="25"/>
  <c r="E360" i="25"/>
  <c r="D361" i="25"/>
  <c r="E361" i="25"/>
  <c r="D362" i="25"/>
  <c r="E362" i="25"/>
  <c r="D363" i="25"/>
  <c r="E363" i="25"/>
  <c r="D364" i="25"/>
  <c r="E364" i="25"/>
  <c r="D365" i="25"/>
  <c r="E365" i="25"/>
  <c r="D366" i="25"/>
  <c r="E366" i="25"/>
  <c r="D367" i="25"/>
  <c r="E367" i="25"/>
  <c r="D368" i="25"/>
  <c r="E368" i="25"/>
  <c r="D369" i="25"/>
  <c r="E369" i="25"/>
  <c r="D370" i="25"/>
  <c r="E370" i="25"/>
  <c r="D371" i="25"/>
  <c r="E371" i="25"/>
  <c r="D372" i="25"/>
  <c r="E372" i="25"/>
  <c r="D373" i="25"/>
  <c r="E373" i="25"/>
  <c r="D374" i="25"/>
  <c r="E374" i="25"/>
  <c r="D375" i="25"/>
  <c r="E375" i="25"/>
  <c r="D376" i="25"/>
  <c r="E376" i="25"/>
  <c r="D377" i="25"/>
  <c r="E377" i="25"/>
  <c r="D378" i="25"/>
  <c r="E378" i="25"/>
  <c r="D379" i="25"/>
  <c r="E379" i="25"/>
  <c r="D380" i="25"/>
  <c r="E380" i="25"/>
  <c r="D381" i="25"/>
  <c r="E381" i="25"/>
  <c r="D382" i="25"/>
  <c r="E382" i="25"/>
  <c r="D383" i="25"/>
  <c r="E383" i="25"/>
  <c r="D384" i="25"/>
  <c r="E384" i="25"/>
  <c r="D385" i="25"/>
  <c r="E385" i="25"/>
  <c r="D386" i="25"/>
  <c r="E386" i="25"/>
  <c r="D387" i="25"/>
  <c r="E387" i="25"/>
  <c r="D388" i="25"/>
  <c r="E388" i="25"/>
  <c r="D389" i="25"/>
  <c r="E389" i="25"/>
  <c r="D390" i="25"/>
  <c r="E390" i="25"/>
  <c r="D391" i="25"/>
  <c r="E391" i="25"/>
  <c r="D392" i="25"/>
  <c r="E392" i="25"/>
  <c r="D393" i="25"/>
  <c r="E393" i="25"/>
  <c r="D394" i="25"/>
  <c r="E394" i="25"/>
  <c r="D395" i="25"/>
  <c r="E395" i="25"/>
  <c r="D396" i="25"/>
  <c r="E396" i="25"/>
  <c r="D397" i="25"/>
  <c r="E397" i="25"/>
  <c r="D398" i="25"/>
  <c r="E398" i="25"/>
  <c r="D399" i="25"/>
  <c r="E399" i="25"/>
  <c r="D400" i="25"/>
  <c r="E400" i="25"/>
  <c r="D401" i="25"/>
  <c r="E401" i="25"/>
  <c r="D402" i="25"/>
  <c r="E402" i="25"/>
  <c r="D403" i="25"/>
  <c r="E403" i="25"/>
  <c r="D404" i="25"/>
  <c r="E404" i="25"/>
  <c r="D405" i="25"/>
  <c r="E405" i="25"/>
  <c r="D406" i="25"/>
  <c r="E406" i="25"/>
  <c r="D407" i="25"/>
  <c r="E407" i="25"/>
  <c r="D408" i="25"/>
  <c r="E408" i="25"/>
  <c r="D409" i="25"/>
  <c r="E409" i="25"/>
  <c r="D410" i="25"/>
  <c r="E410" i="25"/>
  <c r="D411" i="25"/>
  <c r="E411" i="25"/>
  <c r="D412" i="25"/>
  <c r="E412" i="25"/>
  <c r="D413" i="25"/>
  <c r="E413" i="25"/>
  <c r="D414" i="25"/>
  <c r="E414" i="25"/>
  <c r="D415" i="25"/>
  <c r="E415" i="25"/>
  <c r="D416" i="25"/>
  <c r="E416" i="25"/>
  <c r="D417" i="25"/>
  <c r="E417" i="25"/>
  <c r="D418" i="25"/>
  <c r="E418" i="25"/>
  <c r="D419" i="25"/>
  <c r="E419" i="25"/>
  <c r="D420" i="25"/>
  <c r="E420" i="25"/>
  <c r="D421" i="25"/>
  <c r="E421" i="25"/>
  <c r="D422" i="25"/>
  <c r="E422" i="25"/>
  <c r="D423" i="25"/>
  <c r="E423" i="25"/>
  <c r="D424" i="25"/>
  <c r="E424" i="25"/>
  <c r="D425" i="25"/>
  <c r="E425" i="25"/>
  <c r="D426" i="25"/>
  <c r="E426" i="25"/>
  <c r="D427" i="25"/>
  <c r="E427" i="25"/>
  <c r="D428" i="25"/>
  <c r="E428" i="25"/>
  <c r="D429" i="25"/>
  <c r="E429" i="25"/>
  <c r="D430" i="25"/>
  <c r="E430" i="25"/>
  <c r="D431" i="25"/>
  <c r="E431" i="25"/>
  <c r="D432" i="25"/>
  <c r="E432" i="25"/>
  <c r="D433" i="25"/>
  <c r="E433" i="25"/>
  <c r="D434" i="25"/>
  <c r="E434" i="25"/>
  <c r="D435" i="25"/>
  <c r="E435" i="25"/>
  <c r="D436" i="25"/>
  <c r="E436" i="25"/>
  <c r="D437" i="25"/>
  <c r="E437" i="25"/>
  <c r="D438" i="25"/>
  <c r="E438" i="25"/>
  <c r="D439" i="25"/>
  <c r="E439" i="25"/>
  <c r="D440" i="25"/>
  <c r="E440" i="25"/>
  <c r="D441" i="25"/>
  <c r="E441" i="25"/>
  <c r="D442" i="25"/>
  <c r="E442" i="25"/>
  <c r="D443" i="25"/>
  <c r="E443" i="25"/>
  <c r="D444" i="25"/>
  <c r="E444" i="25"/>
  <c r="D445" i="25"/>
  <c r="E445" i="25"/>
  <c r="D446" i="25"/>
  <c r="E446" i="25"/>
  <c r="D447" i="25"/>
  <c r="E447" i="25"/>
  <c r="D448" i="25"/>
  <c r="E448" i="25"/>
  <c r="D449" i="25"/>
  <c r="E449" i="25"/>
  <c r="D450" i="25"/>
  <c r="E450" i="25"/>
  <c r="D451" i="25"/>
  <c r="E451" i="25"/>
  <c r="D452" i="25"/>
  <c r="E452" i="25"/>
  <c r="D453" i="25"/>
  <c r="E453" i="25"/>
  <c r="D454" i="25"/>
  <c r="E454" i="25"/>
  <c r="D455" i="25"/>
  <c r="E455" i="25"/>
  <c r="D456" i="25"/>
  <c r="E456" i="25"/>
  <c r="D457" i="25"/>
  <c r="E457" i="25"/>
  <c r="D458" i="25"/>
  <c r="E458" i="25"/>
  <c r="D459" i="25"/>
  <c r="E459" i="25"/>
  <c r="D460" i="25"/>
  <c r="E460" i="25"/>
  <c r="D461" i="25"/>
  <c r="E461" i="25"/>
  <c r="D462" i="25"/>
  <c r="E462" i="25"/>
  <c r="D463" i="25"/>
  <c r="E463" i="25"/>
  <c r="D464" i="25"/>
  <c r="E464" i="25"/>
  <c r="D465" i="25"/>
  <c r="E465" i="25"/>
  <c r="D466" i="25"/>
  <c r="E466" i="25"/>
  <c r="D467" i="25"/>
  <c r="E467" i="25"/>
  <c r="D468" i="25"/>
  <c r="E468" i="25"/>
  <c r="D469" i="25"/>
  <c r="E469" i="25"/>
  <c r="D470" i="25"/>
  <c r="E470" i="25"/>
  <c r="D471" i="25"/>
  <c r="E471" i="25"/>
  <c r="D472" i="25"/>
  <c r="E472" i="25"/>
  <c r="D473" i="25"/>
  <c r="E473" i="25"/>
  <c r="D474" i="25"/>
  <c r="E474" i="25"/>
  <c r="D475" i="25"/>
  <c r="E475" i="25"/>
  <c r="D476" i="25"/>
  <c r="E476" i="25"/>
  <c r="D477" i="25"/>
  <c r="E477" i="25"/>
  <c r="D478" i="25"/>
  <c r="E478" i="25"/>
  <c r="D479" i="25"/>
  <c r="E479" i="25"/>
  <c r="D480" i="25"/>
  <c r="E480" i="25"/>
  <c r="D481" i="25"/>
  <c r="E481" i="25"/>
  <c r="D482" i="25"/>
  <c r="E482" i="25"/>
  <c r="D483" i="25"/>
  <c r="E483" i="25"/>
  <c r="D484" i="25"/>
  <c r="E484" i="25"/>
  <c r="D485" i="25"/>
  <c r="E485" i="25"/>
  <c r="D486" i="25"/>
  <c r="E486" i="25"/>
  <c r="D487" i="25"/>
  <c r="E487" i="25"/>
  <c r="D488" i="25"/>
  <c r="E488" i="25"/>
  <c r="D489" i="25"/>
  <c r="E489" i="25"/>
  <c r="D490" i="25"/>
  <c r="E490" i="25"/>
  <c r="D491" i="25"/>
  <c r="E491" i="25"/>
  <c r="D492" i="25"/>
  <c r="E492" i="25"/>
  <c r="D493" i="25"/>
  <c r="E493" i="25"/>
  <c r="D494" i="25"/>
  <c r="E494" i="25"/>
  <c r="D495" i="25"/>
  <c r="E495" i="25"/>
  <c r="D496" i="25"/>
  <c r="E496" i="25"/>
  <c r="D497" i="25"/>
  <c r="E497" i="25"/>
  <c r="D498" i="25"/>
  <c r="E498" i="25"/>
  <c r="D499" i="25"/>
  <c r="E499" i="25"/>
  <c r="D500" i="25"/>
  <c r="E500" i="25"/>
  <c r="D501" i="25"/>
  <c r="E501" i="25"/>
  <c r="D502" i="25"/>
  <c r="E502" i="25"/>
  <c r="D503" i="25"/>
  <c r="E503" i="25"/>
  <c r="D504" i="25"/>
  <c r="E504" i="25"/>
  <c r="D505" i="25"/>
  <c r="E505" i="25"/>
  <c r="D506" i="25"/>
  <c r="E506" i="25"/>
  <c r="D507" i="25"/>
  <c r="E507" i="25"/>
  <c r="D508" i="25"/>
  <c r="E508" i="25"/>
  <c r="D509" i="25"/>
  <c r="E509" i="25"/>
  <c r="D510" i="25"/>
  <c r="E510" i="25"/>
  <c r="D511" i="25"/>
  <c r="E511" i="25"/>
  <c r="D512" i="25"/>
  <c r="E512" i="25"/>
  <c r="D513" i="25"/>
  <c r="E513" i="25"/>
  <c r="D514" i="25"/>
  <c r="E514" i="25"/>
  <c r="D515" i="25"/>
  <c r="E515" i="25"/>
  <c r="D516" i="25"/>
  <c r="E516" i="25"/>
  <c r="D517" i="25"/>
  <c r="E517" i="25"/>
  <c r="D518" i="25"/>
  <c r="E518" i="25"/>
  <c r="D519" i="25"/>
  <c r="E519" i="25"/>
  <c r="D520" i="25"/>
  <c r="E520" i="25"/>
  <c r="D521" i="25"/>
  <c r="E521" i="25"/>
  <c r="D522" i="25"/>
  <c r="E522" i="25"/>
  <c r="D523" i="25"/>
  <c r="E523" i="25"/>
  <c r="D524" i="25"/>
  <c r="E524" i="25"/>
  <c r="D525" i="25"/>
  <c r="E525" i="25"/>
  <c r="D526" i="25"/>
  <c r="E526" i="25"/>
  <c r="D527" i="25"/>
  <c r="E527" i="25"/>
  <c r="D528" i="25"/>
  <c r="E528" i="25"/>
  <c r="D529" i="25"/>
  <c r="E529" i="25"/>
  <c r="D530" i="25"/>
  <c r="E530" i="25"/>
  <c r="D531" i="25"/>
  <c r="E531" i="25"/>
  <c r="D532" i="25"/>
  <c r="E532" i="25"/>
  <c r="D533" i="25"/>
  <c r="E533" i="25"/>
  <c r="D534" i="25"/>
  <c r="E534" i="25"/>
  <c r="D535" i="25"/>
  <c r="E535" i="25"/>
  <c r="D536" i="25"/>
  <c r="E536" i="25"/>
  <c r="D537" i="25"/>
  <c r="E537" i="25"/>
  <c r="D538" i="25"/>
  <c r="E538" i="25"/>
  <c r="D539" i="25"/>
  <c r="E539" i="25"/>
  <c r="D540" i="25"/>
  <c r="E540" i="25"/>
  <c r="D541" i="25"/>
  <c r="E541" i="25"/>
  <c r="D542" i="25"/>
  <c r="E542" i="25"/>
  <c r="D543" i="25"/>
  <c r="E543" i="25"/>
  <c r="D544" i="25"/>
  <c r="E544" i="25"/>
  <c r="D545" i="25"/>
  <c r="E545" i="25"/>
  <c r="D546" i="25"/>
  <c r="E546" i="25"/>
  <c r="D547" i="25"/>
  <c r="E547" i="25"/>
  <c r="D548" i="25"/>
  <c r="E548" i="25"/>
  <c r="D549" i="25"/>
  <c r="E549" i="25"/>
  <c r="D550" i="25"/>
  <c r="E550" i="25"/>
  <c r="D551" i="25"/>
  <c r="E551" i="25"/>
  <c r="D552" i="25"/>
  <c r="E552" i="25"/>
  <c r="D553" i="25"/>
  <c r="E553" i="25"/>
  <c r="D554" i="25"/>
  <c r="E554" i="25"/>
  <c r="D555" i="25"/>
  <c r="E555" i="25"/>
  <c r="D556" i="25"/>
  <c r="E556" i="25"/>
  <c r="D557" i="25"/>
  <c r="E557" i="25"/>
  <c r="D558" i="25"/>
  <c r="E558" i="25"/>
  <c r="D559" i="25"/>
  <c r="E559" i="25"/>
  <c r="D560" i="25"/>
  <c r="E560" i="25"/>
  <c r="D561" i="25"/>
  <c r="E561" i="25"/>
  <c r="D562" i="25"/>
  <c r="E562" i="25"/>
  <c r="D563" i="25"/>
  <c r="E563" i="25"/>
  <c r="D564" i="25"/>
  <c r="E564" i="25"/>
  <c r="D565" i="25"/>
  <c r="E565" i="25"/>
  <c r="D566" i="25"/>
  <c r="E566" i="25"/>
  <c r="D567" i="25"/>
  <c r="E567" i="25"/>
  <c r="D568" i="25"/>
  <c r="E568" i="25"/>
  <c r="D569" i="25"/>
  <c r="E569" i="25"/>
  <c r="D570" i="25"/>
  <c r="E570" i="25"/>
  <c r="D571" i="25"/>
  <c r="E571" i="25"/>
  <c r="D572" i="25"/>
  <c r="E572" i="25"/>
  <c r="D573" i="25"/>
  <c r="E573" i="25"/>
  <c r="D574" i="25"/>
  <c r="E574" i="25"/>
  <c r="D575" i="25"/>
  <c r="E575" i="25"/>
  <c r="D576" i="25"/>
  <c r="E576" i="25"/>
  <c r="D577" i="25"/>
  <c r="E577" i="25"/>
  <c r="D578" i="25"/>
  <c r="E578" i="25"/>
  <c r="D579" i="25"/>
  <c r="E579" i="25"/>
  <c r="D580" i="25"/>
  <c r="E580" i="25"/>
  <c r="D581" i="25"/>
  <c r="E581" i="25"/>
  <c r="D582" i="25"/>
  <c r="E582" i="25"/>
  <c r="D583" i="25"/>
  <c r="E583" i="25"/>
  <c r="D584" i="25"/>
  <c r="E584" i="25"/>
  <c r="D585" i="25"/>
  <c r="E585" i="25"/>
  <c r="D586" i="25"/>
  <c r="E586" i="25"/>
  <c r="D587" i="25"/>
  <c r="E587" i="25"/>
  <c r="D588" i="25"/>
  <c r="E588" i="25"/>
  <c r="D589" i="25"/>
  <c r="E589" i="25"/>
  <c r="D590" i="25"/>
  <c r="E590" i="25"/>
  <c r="D591" i="25"/>
  <c r="E591" i="25"/>
  <c r="D592" i="25"/>
  <c r="E592" i="25"/>
  <c r="D593" i="25"/>
  <c r="E593" i="25"/>
  <c r="D594" i="25"/>
  <c r="E594" i="25"/>
  <c r="D595" i="25"/>
  <c r="E595" i="25"/>
  <c r="D596" i="25"/>
  <c r="E596" i="25"/>
  <c r="D597" i="25"/>
  <c r="E597" i="25"/>
  <c r="D598" i="25"/>
  <c r="E598" i="25"/>
  <c r="D599" i="25"/>
  <c r="E599" i="25"/>
  <c r="D600" i="25"/>
  <c r="E600" i="25"/>
  <c r="D601" i="25"/>
  <c r="E601" i="25"/>
  <c r="D602" i="25"/>
  <c r="E602" i="25"/>
  <c r="D603" i="25"/>
  <c r="E603" i="25"/>
  <c r="D604" i="25"/>
  <c r="E604" i="25"/>
  <c r="D605" i="25"/>
  <c r="E605" i="25"/>
  <c r="D606" i="25"/>
  <c r="E606" i="25"/>
  <c r="D607" i="25"/>
  <c r="E607" i="25"/>
  <c r="D608" i="25"/>
  <c r="E608" i="25"/>
  <c r="D609" i="25"/>
  <c r="E609" i="25"/>
  <c r="D610" i="25"/>
  <c r="E610" i="25"/>
  <c r="D611" i="25"/>
  <c r="E611" i="25"/>
  <c r="D612" i="25"/>
  <c r="E612" i="25"/>
  <c r="D613" i="25"/>
  <c r="E613" i="25"/>
  <c r="D614" i="25"/>
  <c r="E614" i="25"/>
  <c r="D615" i="25"/>
  <c r="E615" i="25"/>
  <c r="D616" i="25"/>
  <c r="E616" i="25"/>
  <c r="D617" i="25"/>
  <c r="E617" i="25"/>
  <c r="D618" i="25"/>
  <c r="E618" i="25"/>
  <c r="D619" i="25"/>
  <c r="E619" i="25"/>
  <c r="D620" i="25"/>
  <c r="E620" i="25"/>
  <c r="D621" i="25"/>
  <c r="E621" i="25"/>
  <c r="D622" i="25"/>
  <c r="E622" i="25"/>
  <c r="D623" i="25"/>
  <c r="E623" i="25"/>
  <c r="D624" i="25"/>
  <c r="E624" i="25"/>
  <c r="D625" i="25"/>
  <c r="E625" i="25"/>
  <c r="D626" i="25"/>
  <c r="E626" i="25"/>
  <c r="D627" i="25"/>
  <c r="E627" i="25"/>
  <c r="D628" i="25"/>
  <c r="E628" i="25"/>
  <c r="D629" i="25"/>
  <c r="E629" i="25"/>
  <c r="D630" i="25"/>
  <c r="E630" i="25"/>
  <c r="D631" i="25"/>
  <c r="E631" i="25"/>
  <c r="D632" i="25"/>
  <c r="E632" i="25"/>
  <c r="D633" i="25"/>
  <c r="E633" i="25"/>
  <c r="D634" i="25"/>
  <c r="E634" i="25"/>
  <c r="D635" i="25"/>
  <c r="E635" i="25"/>
  <c r="D636" i="25"/>
  <c r="E636" i="25"/>
  <c r="D637" i="25"/>
  <c r="E637" i="25"/>
  <c r="D638" i="25"/>
  <c r="E638" i="25"/>
  <c r="D639" i="25"/>
  <c r="E639" i="25"/>
  <c r="D640" i="25"/>
  <c r="E640" i="25"/>
  <c r="D641" i="25"/>
  <c r="E641" i="25"/>
  <c r="D642" i="25"/>
  <c r="E642" i="25"/>
  <c r="D643" i="25"/>
  <c r="E643" i="25"/>
  <c r="D644" i="25"/>
  <c r="E644" i="25"/>
  <c r="D645" i="25"/>
  <c r="E645" i="25"/>
  <c r="D646" i="25"/>
  <c r="E646" i="25"/>
  <c r="D647" i="25"/>
  <c r="E647" i="25"/>
  <c r="D648" i="25"/>
  <c r="E648" i="25"/>
  <c r="D649" i="25"/>
  <c r="E649" i="25"/>
  <c r="D650" i="25"/>
  <c r="E650" i="25"/>
  <c r="D651" i="25"/>
  <c r="E651" i="25"/>
  <c r="D652" i="25"/>
  <c r="E652" i="25"/>
  <c r="D653" i="25"/>
  <c r="E653" i="25"/>
  <c r="D654" i="25"/>
  <c r="E654" i="25"/>
  <c r="D655" i="25"/>
  <c r="E655" i="25"/>
  <c r="D656" i="25"/>
  <c r="E656" i="25"/>
  <c r="D657" i="25"/>
  <c r="E657" i="25"/>
  <c r="D658" i="25"/>
  <c r="E658" i="25"/>
  <c r="D659" i="25"/>
  <c r="E659" i="25"/>
  <c r="D660" i="25"/>
  <c r="E660" i="25"/>
  <c r="D661" i="25"/>
  <c r="E661" i="25"/>
  <c r="D662" i="25"/>
  <c r="E662" i="25"/>
  <c r="D663" i="25"/>
  <c r="E663" i="25"/>
  <c r="D664" i="25"/>
  <c r="E664" i="25"/>
  <c r="D665" i="25"/>
  <c r="E665" i="25"/>
  <c r="D666" i="25"/>
  <c r="E666" i="25"/>
  <c r="D667" i="25"/>
  <c r="E667" i="25"/>
  <c r="D668" i="25"/>
  <c r="E668" i="25"/>
  <c r="D669" i="25"/>
  <c r="E669" i="25"/>
  <c r="D670" i="25"/>
  <c r="E670" i="25"/>
  <c r="D671" i="25"/>
  <c r="E671" i="25"/>
  <c r="D672" i="25"/>
  <c r="E672" i="25"/>
  <c r="D673" i="25"/>
  <c r="E673" i="25"/>
  <c r="D674" i="25"/>
  <c r="E674" i="25"/>
  <c r="D675" i="25"/>
  <c r="E675" i="25"/>
  <c r="D676" i="25"/>
  <c r="E676" i="25"/>
  <c r="D677" i="25"/>
  <c r="E677" i="25"/>
  <c r="D678" i="25"/>
  <c r="E678" i="25"/>
  <c r="D679" i="25"/>
  <c r="E679" i="25"/>
  <c r="D680" i="25"/>
  <c r="E680" i="25"/>
  <c r="D681" i="25"/>
  <c r="E681" i="25"/>
  <c r="D682" i="25"/>
  <c r="E682" i="25"/>
  <c r="D683" i="25"/>
  <c r="E683" i="25"/>
  <c r="D684" i="25"/>
  <c r="E684" i="25"/>
  <c r="D685" i="25"/>
  <c r="E685" i="25"/>
  <c r="D686" i="25"/>
  <c r="E686" i="25"/>
  <c r="D687" i="25"/>
  <c r="E687" i="25"/>
  <c r="D688" i="25"/>
  <c r="E688" i="25"/>
  <c r="D689" i="25"/>
  <c r="E689" i="25"/>
  <c r="D690" i="25"/>
  <c r="E690" i="25"/>
  <c r="D691" i="25"/>
  <c r="E691" i="25"/>
  <c r="D692" i="25"/>
  <c r="E692" i="25"/>
  <c r="D693" i="25"/>
  <c r="E693" i="25"/>
  <c r="D694" i="25"/>
  <c r="E694" i="25"/>
  <c r="D695" i="25"/>
  <c r="E695" i="25"/>
  <c r="D696" i="25"/>
  <c r="E696" i="25"/>
  <c r="D697" i="25"/>
  <c r="E697" i="25"/>
  <c r="D698" i="25"/>
  <c r="E698" i="25"/>
  <c r="D699" i="25"/>
  <c r="E699" i="25"/>
  <c r="D700" i="25"/>
  <c r="E700" i="25"/>
  <c r="D701" i="25"/>
  <c r="E701" i="25"/>
  <c r="D702" i="25"/>
  <c r="E702" i="25"/>
  <c r="D703" i="25"/>
  <c r="E703" i="25"/>
  <c r="D704" i="25"/>
  <c r="E704" i="25"/>
  <c r="D705" i="25"/>
  <c r="E705" i="25"/>
  <c r="D706" i="25"/>
  <c r="E706" i="25"/>
  <c r="D707" i="25"/>
  <c r="E707" i="25"/>
  <c r="D708" i="25"/>
  <c r="E708" i="25"/>
  <c r="D709" i="25"/>
  <c r="E709" i="25"/>
  <c r="D710" i="25"/>
  <c r="E710" i="25"/>
  <c r="D711" i="25"/>
  <c r="E711" i="25"/>
  <c r="D712" i="25"/>
  <c r="E712" i="25"/>
  <c r="D713" i="25"/>
  <c r="E713" i="25"/>
  <c r="D714" i="25"/>
  <c r="E714" i="25"/>
  <c r="D715" i="25"/>
  <c r="E715" i="25"/>
  <c r="D716" i="25"/>
  <c r="E716" i="25"/>
  <c r="D717" i="25"/>
  <c r="E717" i="25"/>
  <c r="D718" i="25"/>
  <c r="E718" i="25"/>
  <c r="D719" i="25"/>
  <c r="E719" i="25"/>
  <c r="D720" i="25"/>
  <c r="E720" i="25"/>
  <c r="D721" i="25"/>
  <c r="E721" i="25"/>
  <c r="D722" i="25"/>
  <c r="E722" i="25"/>
  <c r="D723" i="25"/>
  <c r="E723" i="25"/>
  <c r="D724" i="25"/>
  <c r="E724" i="25"/>
  <c r="D725" i="25"/>
  <c r="E725" i="25"/>
  <c r="D726" i="25"/>
  <c r="E726" i="25"/>
  <c r="D727" i="25"/>
  <c r="E727" i="25"/>
  <c r="D728" i="25"/>
  <c r="E728" i="25"/>
  <c r="D729" i="25"/>
  <c r="E729" i="25"/>
  <c r="D730" i="25"/>
  <c r="E730" i="25"/>
  <c r="D731" i="25"/>
  <c r="E731" i="25"/>
  <c r="D732" i="25"/>
  <c r="E732" i="25"/>
  <c r="D733" i="25"/>
  <c r="E733" i="25"/>
  <c r="D734" i="25"/>
  <c r="E734" i="25"/>
  <c r="D735" i="25"/>
  <c r="E735" i="25"/>
  <c r="D736" i="25"/>
  <c r="E736" i="25"/>
  <c r="D737" i="25"/>
  <c r="E737" i="25"/>
  <c r="D738" i="25"/>
  <c r="E738" i="25"/>
  <c r="D739" i="25"/>
  <c r="E739" i="25"/>
  <c r="D740" i="25"/>
  <c r="E740" i="25"/>
  <c r="D741" i="25"/>
  <c r="E741" i="25"/>
  <c r="D742" i="25"/>
  <c r="E742" i="25"/>
  <c r="D743" i="25"/>
  <c r="E743" i="25"/>
  <c r="D744" i="25"/>
  <c r="E744" i="25"/>
  <c r="D745" i="25"/>
  <c r="E745" i="25"/>
  <c r="D746" i="25"/>
  <c r="E746" i="25"/>
  <c r="D747" i="25"/>
  <c r="E747" i="25"/>
  <c r="D748" i="25"/>
  <c r="E748" i="25"/>
  <c r="D749" i="25"/>
  <c r="E749" i="25"/>
  <c r="D750" i="25"/>
  <c r="E750" i="25"/>
  <c r="D751" i="25"/>
  <c r="E751" i="25"/>
  <c r="D752" i="25"/>
  <c r="E752" i="25"/>
  <c r="D753" i="25"/>
  <c r="E753" i="25"/>
  <c r="D754" i="25"/>
  <c r="E754" i="25"/>
  <c r="D755" i="25"/>
  <c r="E755" i="25"/>
  <c r="D756" i="25"/>
  <c r="E756" i="25"/>
  <c r="D757" i="25"/>
  <c r="E757" i="25"/>
  <c r="D758" i="25"/>
  <c r="E758" i="25"/>
  <c r="D759" i="25"/>
  <c r="E759" i="25"/>
  <c r="D760" i="25"/>
  <c r="E760" i="25"/>
  <c r="D761" i="25"/>
  <c r="E761" i="25"/>
  <c r="D762" i="25"/>
  <c r="E762" i="25"/>
  <c r="D763" i="25"/>
  <c r="E763" i="25"/>
  <c r="D764" i="25"/>
  <c r="E764" i="25"/>
  <c r="D765" i="25"/>
  <c r="E765" i="25"/>
  <c r="D766" i="25"/>
  <c r="E766" i="25"/>
  <c r="D767" i="25"/>
  <c r="E767" i="25"/>
  <c r="D768" i="25"/>
  <c r="E768" i="25"/>
  <c r="D769" i="25"/>
  <c r="E769" i="25"/>
  <c r="D770" i="25"/>
  <c r="E770" i="25"/>
  <c r="D771" i="25"/>
  <c r="E771" i="25"/>
  <c r="D772" i="25"/>
  <c r="E772" i="25"/>
  <c r="D773" i="25"/>
  <c r="E773" i="25"/>
  <c r="D774" i="25"/>
  <c r="E774" i="25"/>
  <c r="D775" i="25"/>
  <c r="E775" i="25"/>
  <c r="D776" i="25"/>
  <c r="E776" i="25"/>
  <c r="D777" i="25"/>
  <c r="E777" i="25"/>
  <c r="D778" i="25"/>
  <c r="E778" i="25"/>
  <c r="D779" i="25"/>
  <c r="E779" i="25"/>
  <c r="D780" i="25"/>
  <c r="E780" i="25"/>
  <c r="D781" i="25"/>
  <c r="E781" i="25"/>
  <c r="D782" i="25"/>
  <c r="E782" i="25"/>
  <c r="D783" i="25"/>
  <c r="E783" i="25"/>
  <c r="D784" i="25"/>
  <c r="E784" i="25"/>
  <c r="D785" i="25"/>
  <c r="E785" i="25"/>
  <c r="D786" i="25"/>
  <c r="E786" i="25"/>
  <c r="D787" i="25"/>
  <c r="E787" i="25"/>
  <c r="D788" i="25"/>
  <c r="E788" i="25"/>
  <c r="D789" i="25"/>
  <c r="E789" i="25"/>
  <c r="D790" i="25"/>
  <c r="E790" i="25"/>
  <c r="D791" i="25"/>
  <c r="E791" i="25"/>
  <c r="D792" i="25"/>
  <c r="E792" i="25"/>
  <c r="D793" i="25"/>
  <c r="E793" i="25"/>
  <c r="D794" i="25"/>
  <c r="E794" i="25"/>
  <c r="D795" i="25"/>
  <c r="E795" i="25"/>
  <c r="D796" i="25"/>
  <c r="E796" i="25"/>
  <c r="D797" i="25"/>
  <c r="E797" i="25"/>
  <c r="D798" i="25"/>
  <c r="E798" i="25"/>
  <c r="D799" i="25"/>
  <c r="E799" i="25"/>
  <c r="D800" i="25"/>
  <c r="E800" i="25"/>
  <c r="D801" i="25"/>
  <c r="E801" i="25"/>
  <c r="D802" i="25"/>
  <c r="E802" i="25"/>
  <c r="D803" i="25"/>
  <c r="E803" i="25"/>
  <c r="D804" i="25"/>
  <c r="E804" i="25"/>
  <c r="D805" i="25"/>
  <c r="E805" i="25"/>
  <c r="D806" i="25"/>
  <c r="E806" i="25"/>
  <c r="D807" i="25"/>
  <c r="E807" i="25"/>
  <c r="D808" i="25"/>
  <c r="E808" i="25"/>
  <c r="D809" i="25"/>
  <c r="E809" i="25"/>
  <c r="D810" i="25"/>
  <c r="E810" i="25"/>
  <c r="D811" i="25"/>
  <c r="E811" i="25"/>
  <c r="D812" i="25"/>
  <c r="E812" i="25"/>
  <c r="D813" i="25"/>
  <c r="E813" i="25"/>
  <c r="D814" i="25"/>
  <c r="E814" i="25"/>
  <c r="D815" i="25"/>
  <c r="E815" i="25"/>
  <c r="D816" i="25"/>
  <c r="E816" i="25"/>
  <c r="D817" i="25"/>
  <c r="E817" i="25"/>
  <c r="D818" i="25"/>
  <c r="E818" i="25"/>
  <c r="D819" i="25"/>
  <c r="E819" i="25"/>
  <c r="D820" i="25"/>
  <c r="E820" i="25"/>
  <c r="D821" i="25"/>
  <c r="E821" i="25"/>
  <c r="D822" i="25"/>
  <c r="E822" i="25"/>
  <c r="D823" i="25"/>
  <c r="E823" i="25"/>
  <c r="D824" i="25"/>
  <c r="E824" i="25"/>
  <c r="D825" i="25"/>
  <c r="E825" i="25"/>
  <c r="D826" i="25"/>
  <c r="E826" i="25"/>
  <c r="D827" i="25"/>
  <c r="E827" i="25"/>
  <c r="D828" i="25"/>
  <c r="E828" i="25"/>
  <c r="D829" i="25"/>
  <c r="E829" i="25"/>
  <c r="D830" i="25"/>
  <c r="E830" i="25"/>
  <c r="D831" i="25"/>
  <c r="E831" i="25"/>
  <c r="D832" i="25"/>
  <c r="E832" i="25"/>
  <c r="D833" i="25"/>
  <c r="E833" i="25"/>
  <c r="D834" i="25"/>
  <c r="E834" i="25"/>
  <c r="D835" i="25"/>
  <c r="E835" i="25"/>
  <c r="D836" i="25"/>
  <c r="E836" i="25"/>
  <c r="D837" i="25"/>
  <c r="E837" i="25"/>
  <c r="D838" i="25"/>
  <c r="E838" i="25"/>
  <c r="D839" i="25"/>
  <c r="E839" i="25"/>
  <c r="D840" i="25"/>
  <c r="E840" i="25"/>
  <c r="D841" i="25"/>
  <c r="E841" i="25"/>
  <c r="D842" i="25"/>
  <c r="E842" i="25"/>
  <c r="D843" i="25"/>
  <c r="E843" i="25"/>
  <c r="D844" i="25"/>
  <c r="E844" i="25"/>
  <c r="D845" i="25"/>
  <c r="E845" i="25"/>
  <c r="D846" i="25"/>
  <c r="E846" i="25"/>
  <c r="D847" i="25"/>
  <c r="E847" i="25"/>
  <c r="D848" i="25"/>
  <c r="E848" i="25"/>
  <c r="D849" i="25"/>
  <c r="E849" i="25"/>
  <c r="D850" i="25"/>
  <c r="E850" i="25"/>
  <c r="D851" i="25"/>
  <c r="E851" i="25"/>
  <c r="D852" i="25"/>
  <c r="E852" i="25"/>
  <c r="D853" i="25"/>
  <c r="E853" i="25"/>
  <c r="D854" i="25"/>
  <c r="E854" i="25"/>
  <c r="D855" i="25"/>
  <c r="E855" i="25"/>
  <c r="D856" i="25"/>
  <c r="E856" i="25"/>
  <c r="D857" i="25"/>
  <c r="E857" i="25"/>
  <c r="D858" i="25"/>
  <c r="E858" i="25"/>
  <c r="D859" i="25"/>
  <c r="E859" i="25"/>
  <c r="D860" i="25"/>
  <c r="E860" i="25"/>
  <c r="D861" i="25"/>
  <c r="E861" i="25"/>
  <c r="D862" i="25"/>
  <c r="E862" i="25"/>
  <c r="D863" i="25"/>
  <c r="E863" i="25"/>
  <c r="D864" i="25"/>
  <c r="E864" i="25"/>
  <c r="D865" i="25"/>
  <c r="E865" i="25"/>
  <c r="D866" i="25"/>
  <c r="E866" i="25"/>
  <c r="D867" i="25"/>
  <c r="E867" i="25"/>
  <c r="D868" i="25"/>
  <c r="E868" i="25"/>
  <c r="D869" i="25"/>
  <c r="E869" i="25"/>
  <c r="D870" i="25"/>
  <c r="E870" i="25"/>
  <c r="D871" i="25"/>
  <c r="E871" i="25"/>
  <c r="D872" i="25"/>
  <c r="E872" i="25"/>
  <c r="D873" i="25"/>
  <c r="E873" i="25"/>
  <c r="D874" i="25"/>
  <c r="E874" i="25"/>
  <c r="D875" i="25"/>
  <c r="E875" i="25"/>
  <c r="D876" i="25"/>
  <c r="E876" i="25"/>
  <c r="D877" i="25"/>
  <c r="E877" i="25"/>
  <c r="D878" i="25"/>
  <c r="E878" i="25"/>
  <c r="D879" i="25"/>
  <c r="E879" i="25"/>
  <c r="D880" i="25"/>
  <c r="E880" i="25"/>
  <c r="D881" i="25"/>
  <c r="E881" i="25"/>
  <c r="D882" i="25"/>
  <c r="E882" i="25"/>
  <c r="D883" i="25"/>
  <c r="E883" i="25"/>
  <c r="D884" i="25"/>
  <c r="E884" i="25"/>
  <c r="D885" i="25"/>
  <c r="E885" i="25"/>
  <c r="D886" i="25"/>
  <c r="E886" i="25"/>
  <c r="D887" i="25"/>
  <c r="E887" i="25"/>
  <c r="D888" i="25"/>
  <c r="E888" i="25"/>
  <c r="D889" i="25"/>
  <c r="E889" i="25"/>
  <c r="D890" i="25"/>
  <c r="E890" i="25"/>
  <c r="D891" i="25"/>
  <c r="E891" i="25"/>
  <c r="D892" i="25"/>
  <c r="E892" i="25"/>
  <c r="D893" i="25"/>
  <c r="E893" i="25"/>
  <c r="D894" i="25"/>
  <c r="E894" i="25"/>
  <c r="D895" i="25"/>
  <c r="E895" i="25"/>
  <c r="D896" i="25"/>
  <c r="E896" i="25"/>
  <c r="D897" i="25"/>
  <c r="E897" i="25"/>
  <c r="D898" i="25"/>
  <c r="E898" i="25"/>
  <c r="D899" i="25"/>
  <c r="E899" i="25"/>
  <c r="D900" i="25"/>
  <c r="E900" i="25"/>
  <c r="D901" i="25"/>
  <c r="E901" i="25"/>
  <c r="D902" i="25"/>
  <c r="E902" i="25"/>
  <c r="D903" i="25"/>
  <c r="E903" i="25"/>
  <c r="D904" i="25"/>
  <c r="E904" i="25"/>
  <c r="D905" i="25"/>
  <c r="E905" i="25"/>
  <c r="D906" i="25"/>
  <c r="E906" i="25"/>
  <c r="D907" i="25"/>
  <c r="E907" i="25"/>
  <c r="D908" i="25"/>
  <c r="E908" i="25"/>
  <c r="D909" i="25"/>
  <c r="E909" i="25"/>
  <c r="D910" i="25"/>
  <c r="E910" i="25"/>
  <c r="D911" i="25"/>
  <c r="E911" i="25"/>
  <c r="D912" i="25"/>
  <c r="E912" i="25"/>
  <c r="D913" i="25"/>
  <c r="E913" i="25"/>
  <c r="D914" i="25"/>
  <c r="E914" i="25"/>
  <c r="D915" i="25"/>
  <c r="E915" i="25"/>
  <c r="D916" i="25"/>
  <c r="E916" i="25"/>
  <c r="D917" i="25"/>
  <c r="E917" i="25"/>
  <c r="D918" i="25"/>
  <c r="E918" i="25"/>
  <c r="D919" i="25"/>
  <c r="E919" i="25"/>
  <c r="D920" i="25"/>
  <c r="E920" i="25"/>
  <c r="D921" i="25"/>
  <c r="E921" i="25"/>
  <c r="D922" i="25"/>
  <c r="E922" i="25"/>
  <c r="D923" i="25"/>
  <c r="E923" i="25"/>
  <c r="D924" i="25"/>
  <c r="E924" i="25"/>
  <c r="D925" i="25"/>
  <c r="E925" i="25"/>
  <c r="D926" i="25"/>
  <c r="E926" i="25"/>
  <c r="D927" i="25"/>
  <c r="E927" i="25"/>
  <c r="D928" i="25"/>
  <c r="E928" i="25"/>
  <c r="D929" i="25"/>
  <c r="E929" i="25"/>
  <c r="D930" i="25"/>
  <c r="E930" i="25"/>
  <c r="D931" i="25"/>
  <c r="E931" i="25"/>
  <c r="D932" i="25"/>
  <c r="E932" i="25"/>
  <c r="D933" i="25"/>
  <c r="E933" i="25"/>
  <c r="D934" i="25"/>
  <c r="E934" i="25"/>
  <c r="D935" i="25"/>
  <c r="E935" i="25"/>
  <c r="D936" i="25"/>
  <c r="E936" i="25"/>
  <c r="D937" i="25"/>
  <c r="E937" i="25"/>
  <c r="D938" i="25"/>
  <c r="E938" i="25"/>
  <c r="D939" i="25"/>
  <c r="E939" i="25"/>
  <c r="D940" i="25"/>
  <c r="E940" i="25"/>
  <c r="D941" i="25"/>
  <c r="E941" i="25"/>
  <c r="D942" i="25"/>
  <c r="E942" i="25"/>
  <c r="D943" i="25"/>
  <c r="E943" i="25"/>
  <c r="D944" i="25"/>
  <c r="E944" i="25"/>
  <c r="D945" i="25"/>
  <c r="E945" i="25"/>
  <c r="D946" i="25"/>
  <c r="E946" i="25"/>
  <c r="D947" i="25"/>
  <c r="E947" i="25"/>
  <c r="D948" i="25"/>
  <c r="E948" i="25"/>
  <c r="D949" i="25"/>
  <c r="E949" i="25"/>
  <c r="D950" i="25"/>
  <c r="E950" i="25"/>
  <c r="D951" i="25"/>
  <c r="E951" i="25"/>
  <c r="D952" i="25"/>
  <c r="E952" i="25"/>
  <c r="D953" i="25"/>
  <c r="E953" i="25"/>
  <c r="D954" i="25"/>
  <c r="E954" i="25"/>
  <c r="D955" i="25"/>
  <c r="E955" i="25"/>
  <c r="D956" i="25"/>
  <c r="E956" i="25"/>
  <c r="D957" i="25"/>
  <c r="E957" i="25"/>
  <c r="D958" i="25"/>
  <c r="E958" i="25"/>
  <c r="D959" i="25"/>
  <c r="E959" i="25"/>
  <c r="D960" i="25"/>
  <c r="E960" i="25"/>
  <c r="D961" i="25"/>
  <c r="E961" i="25"/>
  <c r="D962" i="25"/>
  <c r="E962" i="25"/>
  <c r="D963" i="25"/>
  <c r="E963" i="25"/>
  <c r="D964" i="25"/>
  <c r="E964" i="25"/>
  <c r="D965" i="25"/>
  <c r="E965" i="25"/>
  <c r="D966" i="25"/>
  <c r="E966" i="25"/>
  <c r="D967" i="25"/>
  <c r="E967" i="25"/>
  <c r="D968" i="25"/>
  <c r="E968" i="25"/>
  <c r="D969" i="25"/>
  <c r="E969" i="25"/>
  <c r="D970" i="25"/>
  <c r="E970" i="25"/>
  <c r="D971" i="25"/>
  <c r="E971" i="25"/>
  <c r="D972" i="25"/>
  <c r="E972" i="25"/>
  <c r="D973" i="25"/>
  <c r="E973" i="25"/>
  <c r="D974" i="25"/>
  <c r="E974" i="25"/>
  <c r="D975" i="25"/>
  <c r="E975" i="25"/>
  <c r="D976" i="25"/>
  <c r="E976" i="25"/>
  <c r="D977" i="25"/>
  <c r="E977" i="25"/>
  <c r="D978" i="25"/>
  <c r="E978" i="25"/>
  <c r="D979" i="25"/>
  <c r="E979" i="25"/>
  <c r="D980" i="25"/>
  <c r="E980" i="25"/>
  <c r="D981" i="25"/>
  <c r="E981" i="25"/>
  <c r="D982" i="25"/>
  <c r="E982" i="25"/>
  <c r="D983" i="25"/>
  <c r="E983" i="25"/>
  <c r="D984" i="25"/>
  <c r="E984" i="25"/>
  <c r="D985" i="25"/>
  <c r="E985" i="25"/>
  <c r="D986" i="25"/>
  <c r="E986" i="25"/>
  <c r="D987" i="25"/>
  <c r="E987" i="25"/>
  <c r="D988" i="25"/>
  <c r="E988" i="25"/>
  <c r="D989" i="25"/>
  <c r="E989" i="25"/>
  <c r="D990" i="25"/>
  <c r="E990" i="25"/>
  <c r="D991" i="25"/>
  <c r="E991" i="25"/>
  <c r="D992" i="25"/>
  <c r="E992" i="25"/>
  <c r="D993" i="25"/>
  <c r="E993" i="25"/>
  <c r="D994" i="25"/>
  <c r="E994" i="25"/>
  <c r="D995" i="25"/>
  <c r="E995" i="25"/>
  <c r="D996" i="25"/>
  <c r="E996" i="25"/>
  <c r="D997" i="25"/>
  <c r="E997" i="25"/>
  <c r="D998" i="25"/>
  <c r="E998" i="25"/>
  <c r="D999" i="25"/>
  <c r="E999" i="25"/>
  <c r="D1000" i="25"/>
  <c r="E1000" i="25"/>
  <c r="D1001" i="25"/>
  <c r="E1001" i="25"/>
  <c r="D1002" i="25"/>
  <c r="E1002" i="25"/>
  <c r="D1003" i="25"/>
  <c r="E1003" i="25"/>
  <c r="D1004" i="25"/>
  <c r="E1004" i="25"/>
  <c r="D1005" i="25"/>
  <c r="E1005" i="25"/>
  <c r="D1006" i="25"/>
  <c r="E1006" i="25"/>
  <c r="D1007" i="25"/>
  <c r="E1007" i="25"/>
  <c r="D1008" i="25"/>
  <c r="E1008" i="25"/>
  <c r="D1009" i="25"/>
  <c r="E1009" i="25"/>
  <c r="D1010" i="25"/>
  <c r="E1010" i="25"/>
  <c r="D1011" i="25"/>
  <c r="E1011" i="25"/>
  <c r="D1012" i="25"/>
  <c r="E1012" i="25"/>
  <c r="D1013" i="25"/>
  <c r="E1013" i="25"/>
  <c r="D1014" i="25"/>
  <c r="E1014" i="25"/>
  <c r="D1015" i="25"/>
  <c r="E1015" i="25"/>
  <c r="D1016" i="25"/>
  <c r="E1016" i="25"/>
  <c r="D1017" i="25"/>
  <c r="E1017" i="25"/>
  <c r="D1018" i="25"/>
  <c r="E1018" i="25"/>
  <c r="D1019" i="25"/>
  <c r="E1019" i="25"/>
  <c r="D1020" i="25"/>
  <c r="E1020" i="25"/>
  <c r="D1021" i="25"/>
  <c r="E1021" i="25"/>
  <c r="D1022" i="25"/>
  <c r="E1022" i="25"/>
  <c r="D1023" i="25"/>
  <c r="E1023" i="25"/>
  <c r="D1024" i="25"/>
  <c r="E1024" i="25"/>
  <c r="D1025" i="25"/>
  <c r="E1025" i="25"/>
  <c r="D1026" i="25"/>
  <c r="E1026" i="25"/>
  <c r="D1027" i="25"/>
  <c r="E1027" i="25"/>
  <c r="D1028" i="25"/>
  <c r="E1028" i="25"/>
  <c r="D1029" i="25"/>
  <c r="E1029" i="25"/>
  <c r="D1030" i="25"/>
  <c r="E1030" i="25"/>
  <c r="D1031" i="25"/>
  <c r="E1031" i="25"/>
  <c r="D1032" i="25"/>
  <c r="E1032" i="25"/>
  <c r="D1033" i="25"/>
  <c r="E1033" i="25"/>
  <c r="D1034" i="25"/>
  <c r="E1034" i="25"/>
  <c r="D1035" i="25"/>
  <c r="E1035" i="25"/>
  <c r="D1036" i="25"/>
  <c r="E1036" i="25"/>
  <c r="D1037" i="25"/>
  <c r="E1037" i="25"/>
  <c r="D1038" i="25"/>
  <c r="E1038" i="25"/>
  <c r="D1039" i="25"/>
  <c r="E1039" i="25"/>
  <c r="D1040" i="25"/>
  <c r="E1040" i="25"/>
  <c r="D1041" i="25"/>
  <c r="E1041" i="25"/>
  <c r="D1042" i="25"/>
  <c r="E1042" i="25"/>
  <c r="D1043" i="25"/>
  <c r="E1043" i="25"/>
  <c r="D1044" i="25"/>
  <c r="E1044" i="25"/>
  <c r="D1045" i="25"/>
  <c r="E1045" i="25"/>
  <c r="D1046" i="25"/>
  <c r="E1046" i="25"/>
  <c r="D1047" i="25"/>
  <c r="E1047" i="25"/>
  <c r="D1048" i="25"/>
  <c r="E1048" i="25"/>
  <c r="D1049" i="25"/>
  <c r="E1049" i="25"/>
  <c r="D1050" i="25"/>
  <c r="E1050" i="25"/>
  <c r="D1051" i="25"/>
  <c r="E1051" i="25"/>
  <c r="D1052" i="25"/>
  <c r="E1052" i="25"/>
  <c r="D1053" i="25"/>
  <c r="E1053" i="25"/>
  <c r="D1054" i="25"/>
  <c r="E1054" i="25"/>
  <c r="D1055" i="25"/>
  <c r="E1055" i="25"/>
  <c r="D1056" i="25"/>
  <c r="E1056" i="25"/>
  <c r="D1057" i="25"/>
  <c r="E1057" i="25"/>
  <c r="D1058" i="25"/>
  <c r="E1058" i="25"/>
  <c r="D1059" i="25"/>
  <c r="E1059" i="25"/>
  <c r="D1060" i="25"/>
  <c r="E1060" i="25"/>
  <c r="D1061" i="25"/>
  <c r="E1061" i="25"/>
  <c r="D1062" i="25"/>
  <c r="E1062" i="25"/>
  <c r="D1063" i="25"/>
  <c r="E1063" i="25"/>
  <c r="D1064" i="25"/>
  <c r="E1064" i="25"/>
  <c r="D1065" i="25"/>
  <c r="E1065" i="25"/>
  <c r="D1066" i="25"/>
  <c r="E1066" i="25"/>
  <c r="D1067" i="25"/>
  <c r="E1067" i="25"/>
  <c r="D1068" i="25"/>
  <c r="E1068" i="25"/>
  <c r="D1069" i="25"/>
  <c r="E1069" i="25"/>
  <c r="D1070" i="25"/>
  <c r="E1070" i="25"/>
  <c r="D1071" i="25"/>
  <c r="E1071" i="25"/>
  <c r="D1072" i="25"/>
  <c r="E1072" i="25"/>
  <c r="D1073" i="25"/>
  <c r="E1073" i="25"/>
  <c r="D1074" i="25"/>
  <c r="E1074" i="25"/>
  <c r="D1075" i="25"/>
  <c r="E1075" i="25"/>
  <c r="D1076" i="25"/>
  <c r="E1076" i="25"/>
  <c r="D1077" i="25"/>
  <c r="E1077" i="25"/>
  <c r="D1078" i="25"/>
  <c r="E1078" i="25"/>
  <c r="D1079" i="25"/>
  <c r="E1079" i="25"/>
  <c r="D1080" i="25"/>
  <c r="E1080" i="25"/>
  <c r="D1081" i="25"/>
  <c r="E1081" i="25"/>
  <c r="D1082" i="25"/>
  <c r="E1082" i="25"/>
  <c r="D1083" i="25"/>
  <c r="E1083" i="25"/>
  <c r="D1084" i="25"/>
  <c r="E1084" i="25"/>
  <c r="D1085" i="25"/>
  <c r="E1085" i="25"/>
  <c r="D1086" i="25"/>
  <c r="E1086" i="25"/>
  <c r="D1087" i="25"/>
  <c r="E1087" i="25"/>
  <c r="D1088" i="25"/>
  <c r="E1088" i="25"/>
  <c r="D1089" i="25"/>
  <c r="E1089" i="25"/>
  <c r="D1090" i="25"/>
  <c r="E1090" i="25"/>
  <c r="D1091" i="25"/>
  <c r="E1091" i="25"/>
  <c r="D1092" i="25"/>
  <c r="E1092" i="25"/>
  <c r="D1093" i="25"/>
  <c r="E1093" i="25"/>
  <c r="D1094" i="25"/>
  <c r="E1094" i="25"/>
  <c r="D1095" i="25"/>
  <c r="E1095" i="25"/>
  <c r="D1096" i="25"/>
  <c r="E1096" i="25"/>
  <c r="D1097" i="25"/>
  <c r="E1097" i="25"/>
  <c r="D1098" i="25"/>
  <c r="E1098" i="25"/>
  <c r="D1099" i="25"/>
  <c r="E1099" i="25"/>
  <c r="D1100" i="25"/>
  <c r="E1100" i="25"/>
  <c r="D1101" i="25"/>
  <c r="E1101" i="25"/>
  <c r="D1102" i="25"/>
  <c r="E1102" i="25"/>
  <c r="D1103" i="25"/>
  <c r="E1103" i="25"/>
  <c r="D1104" i="25"/>
  <c r="E1104" i="25"/>
  <c r="D1105" i="25"/>
  <c r="E1105" i="25"/>
  <c r="D1106" i="25"/>
  <c r="E1106" i="25"/>
  <c r="D1107" i="25"/>
  <c r="E1107" i="25"/>
  <c r="D1108" i="25"/>
  <c r="E1108" i="25"/>
  <c r="D1109" i="25"/>
  <c r="E1109" i="25"/>
  <c r="D1110" i="25"/>
  <c r="E1110" i="25"/>
  <c r="D1111" i="25"/>
  <c r="E1111" i="25"/>
  <c r="D1112" i="25"/>
  <c r="E1112" i="25"/>
  <c r="D1113" i="25"/>
  <c r="E1113" i="25"/>
  <c r="D1114" i="25"/>
  <c r="E1114" i="25"/>
  <c r="D1115" i="25"/>
  <c r="E1115" i="25"/>
  <c r="D1116" i="25"/>
  <c r="E1116" i="25"/>
  <c r="D1117" i="25"/>
  <c r="E1117" i="25"/>
  <c r="D1118" i="25"/>
  <c r="E1118" i="25"/>
  <c r="D1119" i="25"/>
  <c r="E1119" i="25"/>
  <c r="D1120" i="25"/>
  <c r="E1120" i="25"/>
  <c r="D1121" i="25"/>
  <c r="E1121" i="25"/>
  <c r="D1122" i="25"/>
  <c r="E1122" i="25"/>
  <c r="D1123" i="25"/>
  <c r="E1123" i="25"/>
  <c r="D1124" i="25"/>
  <c r="E1124" i="25"/>
  <c r="D1125" i="25"/>
  <c r="E1125" i="25"/>
  <c r="D1126" i="25"/>
  <c r="E1126" i="25"/>
  <c r="D1127" i="25"/>
  <c r="E1127" i="25"/>
  <c r="D1128" i="25"/>
  <c r="E1128" i="25"/>
  <c r="D1129" i="25"/>
  <c r="E1129" i="25"/>
  <c r="D1130" i="25"/>
  <c r="E1130" i="25"/>
  <c r="D1131" i="25"/>
  <c r="E1131" i="25"/>
  <c r="D1132" i="25"/>
  <c r="E1132" i="25"/>
  <c r="D1133" i="25"/>
  <c r="E1133" i="25"/>
  <c r="D1134" i="25"/>
  <c r="E1134" i="25"/>
  <c r="D1135" i="25"/>
  <c r="E1135" i="25"/>
  <c r="D1136" i="25"/>
  <c r="E1136" i="25"/>
  <c r="D1137" i="25"/>
  <c r="E1137" i="25"/>
  <c r="D1138" i="25"/>
  <c r="E1138" i="25"/>
  <c r="D1139" i="25"/>
  <c r="E1139" i="25"/>
  <c r="D1140" i="25"/>
  <c r="E1140" i="25"/>
  <c r="D1141" i="25"/>
  <c r="E1141" i="25"/>
  <c r="D1142" i="25"/>
  <c r="E1142" i="25"/>
  <c r="D1143" i="25"/>
  <c r="E1143" i="25"/>
  <c r="D1144" i="25"/>
  <c r="E1144" i="25"/>
  <c r="D1145" i="25"/>
  <c r="E1145" i="25"/>
  <c r="D1146" i="25"/>
  <c r="E1146" i="25"/>
  <c r="D1147" i="25"/>
  <c r="E1147" i="25"/>
  <c r="D1148" i="25"/>
  <c r="E1148" i="25"/>
  <c r="D1149" i="25"/>
  <c r="E1149" i="25"/>
  <c r="D1150" i="25"/>
  <c r="E1150" i="25"/>
  <c r="D1151" i="25"/>
  <c r="E1151" i="25"/>
  <c r="D1152" i="25"/>
  <c r="E1152" i="25"/>
  <c r="D1153" i="25"/>
  <c r="E1153" i="25"/>
  <c r="D1154" i="25"/>
  <c r="E1154" i="25"/>
  <c r="D1155" i="25"/>
  <c r="E1155" i="25"/>
  <c r="D1156" i="25"/>
  <c r="E1156" i="25"/>
  <c r="D1157" i="25"/>
  <c r="E1157" i="25"/>
  <c r="D1158" i="25"/>
  <c r="E1158" i="25"/>
  <c r="D1159" i="25"/>
  <c r="E1159" i="25"/>
  <c r="D1160" i="25"/>
  <c r="E1160" i="25"/>
  <c r="D1161" i="25"/>
  <c r="E1161" i="25"/>
  <c r="D1162" i="25"/>
  <c r="E1162" i="25"/>
  <c r="D1163" i="25"/>
  <c r="E1163" i="25"/>
  <c r="D1164" i="25"/>
  <c r="E1164" i="25"/>
  <c r="D1165" i="25"/>
  <c r="E1165" i="25"/>
  <c r="D1166" i="25"/>
  <c r="E1166" i="25"/>
  <c r="D1167" i="25"/>
  <c r="E1167" i="25"/>
  <c r="D1168" i="25"/>
  <c r="E1168" i="25"/>
  <c r="D1169" i="25"/>
  <c r="E1169" i="25"/>
  <c r="D1170" i="25"/>
  <c r="E1170" i="25"/>
  <c r="D1171" i="25"/>
  <c r="E1171" i="25"/>
  <c r="D1172" i="25"/>
  <c r="E1172" i="25"/>
  <c r="D1173" i="25"/>
  <c r="E1173" i="25"/>
  <c r="D1174" i="25"/>
  <c r="E1174" i="25"/>
  <c r="D1175" i="25"/>
  <c r="E1175" i="25"/>
  <c r="D1176" i="25"/>
  <c r="E1176" i="25"/>
  <c r="D1177" i="25"/>
  <c r="E1177" i="25"/>
  <c r="D1178" i="25"/>
  <c r="E1178" i="25"/>
  <c r="D1179" i="25"/>
  <c r="E1179" i="25"/>
  <c r="D1180" i="25"/>
  <c r="E1180" i="25"/>
  <c r="D1181" i="25"/>
  <c r="E1181" i="25"/>
  <c r="D1182" i="25"/>
  <c r="E1182" i="25"/>
  <c r="D1183" i="25"/>
  <c r="E1183" i="25"/>
  <c r="D1184" i="25"/>
  <c r="E1184" i="25"/>
  <c r="D1185" i="25"/>
  <c r="E1185" i="25"/>
  <c r="D1186" i="25"/>
  <c r="E1186" i="25"/>
  <c r="D1187" i="25"/>
  <c r="E1187" i="25"/>
  <c r="D1188" i="25"/>
  <c r="E1188" i="25"/>
  <c r="D1189" i="25"/>
  <c r="E1189" i="25"/>
  <c r="D1190" i="25"/>
  <c r="E1190" i="25"/>
  <c r="D1191" i="25"/>
  <c r="E1191" i="25"/>
  <c r="D1192" i="25"/>
  <c r="E1192" i="25"/>
  <c r="D1193" i="25"/>
  <c r="E1193" i="25"/>
  <c r="D1194" i="25"/>
  <c r="E1194" i="25"/>
  <c r="D1195" i="25"/>
  <c r="E1195" i="25"/>
  <c r="D1196" i="25"/>
  <c r="E1196" i="25"/>
  <c r="D1197" i="25"/>
  <c r="E1197" i="25"/>
  <c r="D1198" i="25"/>
  <c r="E1198" i="25"/>
  <c r="D1199" i="25"/>
  <c r="E1199" i="25"/>
  <c r="D1200" i="25"/>
  <c r="E1200" i="25"/>
  <c r="D1201" i="25"/>
  <c r="E1201" i="25"/>
  <c r="D1202" i="25"/>
  <c r="E1202" i="25"/>
  <c r="D1203" i="25"/>
  <c r="E1203" i="25"/>
  <c r="D1204" i="25"/>
  <c r="E1204" i="25"/>
  <c r="D1205" i="25"/>
  <c r="E1205" i="25"/>
  <c r="D1206" i="25"/>
  <c r="E1206" i="25"/>
  <c r="D1207" i="25"/>
  <c r="E1207" i="25"/>
  <c r="D1208" i="25"/>
  <c r="E1208" i="25"/>
  <c r="D1209" i="25"/>
  <c r="E1209" i="25"/>
  <c r="D1210" i="25"/>
  <c r="E1210" i="25"/>
  <c r="D1211" i="25"/>
  <c r="E1211" i="25"/>
  <c r="D1212" i="25"/>
  <c r="E1212" i="25"/>
  <c r="D1213" i="25"/>
  <c r="E1213" i="25"/>
  <c r="D1214" i="25"/>
  <c r="E1214" i="25"/>
  <c r="D1215" i="25"/>
  <c r="E1215" i="25"/>
  <c r="D1216" i="25"/>
  <c r="E1216" i="25"/>
  <c r="D1217" i="25"/>
  <c r="E1217" i="25"/>
  <c r="D1218" i="25"/>
  <c r="E1218" i="25"/>
  <c r="D1219" i="25"/>
  <c r="E1219" i="25"/>
  <c r="D1220" i="25"/>
  <c r="E1220" i="25"/>
  <c r="D1221" i="25"/>
  <c r="E1221" i="25"/>
  <c r="D1222" i="25"/>
  <c r="E1222" i="25"/>
  <c r="D1223" i="25"/>
  <c r="E1223" i="25"/>
  <c r="D1224" i="25"/>
  <c r="E1224" i="25"/>
  <c r="D1225" i="25"/>
  <c r="E1225" i="25"/>
  <c r="D1226" i="25"/>
  <c r="E1226" i="25"/>
  <c r="D1227" i="25"/>
  <c r="E1227" i="25"/>
  <c r="D1228" i="25"/>
  <c r="E1228" i="25"/>
  <c r="D1229" i="25"/>
  <c r="E1229" i="25"/>
  <c r="D1230" i="25"/>
  <c r="E1230" i="25"/>
  <c r="D1231" i="25"/>
  <c r="E1231" i="25"/>
  <c r="D1232" i="25"/>
  <c r="E1232" i="25"/>
  <c r="D1233" i="25"/>
  <c r="E1233" i="25"/>
  <c r="D1234" i="25"/>
  <c r="E1234" i="25"/>
  <c r="D1235" i="25"/>
  <c r="E1235" i="25"/>
  <c r="D1236" i="25"/>
  <c r="E1236" i="25"/>
  <c r="D1237" i="25"/>
  <c r="E1237" i="25"/>
  <c r="D1238" i="25"/>
  <c r="E1238" i="25"/>
  <c r="D1239" i="25"/>
  <c r="E1239" i="25"/>
  <c r="D1240" i="25"/>
  <c r="E1240" i="25"/>
  <c r="D1241" i="25"/>
  <c r="E1241" i="25"/>
  <c r="D1242" i="25"/>
  <c r="E1242" i="25"/>
  <c r="D1243" i="25"/>
  <c r="E1243" i="25"/>
  <c r="D1244" i="25"/>
  <c r="E1244" i="25"/>
  <c r="D1245" i="25"/>
  <c r="E1245" i="25"/>
  <c r="D1246" i="25"/>
  <c r="E1246" i="25"/>
  <c r="D1247" i="25"/>
  <c r="E1247" i="25"/>
  <c r="D1248" i="25"/>
  <c r="E1248" i="25"/>
  <c r="D1249" i="25"/>
  <c r="E1249" i="25"/>
  <c r="D1250" i="25"/>
  <c r="E1250" i="25"/>
  <c r="D1251" i="25"/>
  <c r="E1251" i="25"/>
  <c r="D1252" i="25"/>
  <c r="E1252" i="25"/>
  <c r="D1253" i="25"/>
  <c r="E1253" i="25"/>
  <c r="D1254" i="25"/>
  <c r="E1254" i="25"/>
  <c r="D1255" i="25"/>
  <c r="E1255" i="25"/>
  <c r="D1256" i="25"/>
  <c r="E1256" i="25"/>
  <c r="D1257" i="25"/>
  <c r="E1257" i="25"/>
  <c r="D1258" i="25"/>
  <c r="E1258" i="25"/>
  <c r="D1259" i="25"/>
  <c r="E1259" i="25"/>
  <c r="D1260" i="25"/>
  <c r="E1260" i="25"/>
  <c r="D1261" i="25"/>
  <c r="E1261" i="25"/>
  <c r="D1262" i="25"/>
  <c r="E1262" i="25"/>
  <c r="D1263" i="25"/>
  <c r="E1263" i="25"/>
  <c r="D1264" i="25"/>
  <c r="E1264" i="25"/>
  <c r="D1265" i="25"/>
  <c r="E1265" i="25"/>
  <c r="D1266" i="25"/>
  <c r="E1266" i="25"/>
  <c r="D1267" i="25"/>
  <c r="E1267" i="25"/>
  <c r="D1268" i="25"/>
  <c r="E1268" i="25"/>
  <c r="D1269" i="25"/>
  <c r="E1269" i="25"/>
  <c r="D1270" i="25"/>
  <c r="E1270" i="25"/>
  <c r="D1271" i="25"/>
  <c r="E1271" i="25"/>
  <c r="D1272" i="25"/>
  <c r="E1272" i="25"/>
  <c r="D1273" i="25"/>
  <c r="E1273" i="25"/>
  <c r="D1274" i="25"/>
  <c r="E1274" i="25"/>
  <c r="D1275" i="25"/>
  <c r="E1275" i="25"/>
  <c r="D1276" i="25"/>
  <c r="E1276" i="25"/>
  <c r="D1277" i="25"/>
  <c r="E1277" i="25"/>
  <c r="D1278" i="25"/>
  <c r="E1278" i="25"/>
  <c r="D1279" i="25"/>
  <c r="E1279" i="25"/>
  <c r="D1280" i="25"/>
  <c r="E1280" i="25"/>
  <c r="D1281" i="25"/>
  <c r="E1281" i="25"/>
  <c r="E4" i="25"/>
  <c r="D4" i="25"/>
  <c r="N18" i="21" l="1"/>
  <c r="B26" i="24"/>
  <c r="B10" i="24"/>
  <c r="B23" i="24" s="1"/>
  <c r="D270" i="21"/>
  <c r="I225" i="21"/>
  <c r="B212" i="21" l="1"/>
  <c r="B211" i="21"/>
  <c r="I212" i="21"/>
  <c r="I211" i="21"/>
  <c r="I210" i="21"/>
  <c r="B209" i="21"/>
  <c r="B208" i="21"/>
  <c r="I209" i="21"/>
  <c r="I208" i="21"/>
  <c r="I207" i="21"/>
  <c r="I206" i="21"/>
  <c r="I198" i="21"/>
  <c r="J150" i="21"/>
  <c r="K150" i="21" s="1"/>
  <c r="L150" i="21" s="1"/>
  <c r="M150" i="21" s="1"/>
  <c r="N150" i="21" s="1"/>
  <c r="J151" i="21"/>
  <c r="K151" i="21" s="1"/>
  <c r="L151" i="21" s="1"/>
  <c r="M151" i="21" s="1"/>
  <c r="N151" i="21" s="1"/>
  <c r="J149" i="21"/>
  <c r="K149" i="21" s="1"/>
  <c r="L149" i="21" s="1"/>
  <c r="M149" i="21" s="1"/>
  <c r="N149" i="21" s="1"/>
  <c r="J170" i="21"/>
  <c r="K170" i="21" s="1"/>
  <c r="L170" i="21" s="1"/>
  <c r="M170" i="21" s="1"/>
  <c r="N170" i="21" s="1"/>
  <c r="J171" i="21"/>
  <c r="K171" i="21" s="1"/>
  <c r="L171" i="21" s="1"/>
  <c r="M171" i="21" s="1"/>
  <c r="N171" i="21" s="1"/>
  <c r="J172" i="21"/>
  <c r="K172" i="21" s="1"/>
  <c r="L172" i="21" s="1"/>
  <c r="M172" i="21" s="1"/>
  <c r="N172" i="21" s="1"/>
  <c r="J169" i="21"/>
  <c r="K169" i="21" s="1"/>
  <c r="L169" i="21" s="1"/>
  <c r="M169" i="21" s="1"/>
  <c r="N169" i="21" s="1"/>
  <c r="J167" i="21"/>
  <c r="K167" i="21" s="1"/>
  <c r="L167" i="21" s="1"/>
  <c r="M167" i="21" s="1"/>
  <c r="N167" i="21" s="1"/>
  <c r="J160" i="21"/>
  <c r="K160" i="21" s="1"/>
  <c r="L160" i="21" s="1"/>
  <c r="M160" i="21" s="1"/>
  <c r="N160" i="21" s="1"/>
  <c r="J161" i="21"/>
  <c r="K161" i="21" s="1"/>
  <c r="L161" i="21" s="1"/>
  <c r="M161" i="21" s="1"/>
  <c r="N161" i="21" s="1"/>
  <c r="J162" i="21"/>
  <c r="K162" i="21" s="1"/>
  <c r="L162" i="21" s="1"/>
  <c r="M162" i="21" s="1"/>
  <c r="N162" i="21" s="1"/>
  <c r="J159" i="21"/>
  <c r="K159" i="21" s="1"/>
  <c r="L159" i="21" s="1"/>
  <c r="M159" i="21" s="1"/>
  <c r="N159" i="21" s="1"/>
  <c r="J156" i="21"/>
  <c r="K156" i="21" s="1"/>
  <c r="L156" i="21" s="1"/>
  <c r="M156" i="21" s="1"/>
  <c r="N156" i="21" s="1"/>
  <c r="J155" i="21"/>
  <c r="K155" i="21" s="1"/>
  <c r="L155" i="21" s="1"/>
  <c r="M155" i="21" s="1"/>
  <c r="N155" i="21" s="1"/>
  <c r="J142" i="21"/>
  <c r="K142" i="21" s="1"/>
  <c r="L142" i="21" s="1"/>
  <c r="M142" i="21" s="1"/>
  <c r="N142" i="21" s="1"/>
  <c r="J143" i="21"/>
  <c r="K143" i="21" s="1"/>
  <c r="L143" i="21" s="1"/>
  <c r="M143" i="21" s="1"/>
  <c r="N143" i="21" s="1"/>
  <c r="J144" i="21"/>
  <c r="K144" i="21" s="1"/>
  <c r="L144" i="21" s="1"/>
  <c r="M144" i="21" s="1"/>
  <c r="N144" i="21" s="1"/>
  <c r="J141" i="21"/>
  <c r="K141" i="21" s="1"/>
  <c r="L141" i="21" s="1"/>
  <c r="M141" i="21" s="1"/>
  <c r="N141" i="21" s="1"/>
  <c r="J139" i="21"/>
  <c r="K139" i="21" s="1"/>
  <c r="L139" i="21" s="1"/>
  <c r="M139" i="21" s="1"/>
  <c r="N139" i="21" s="1"/>
  <c r="J138" i="21"/>
  <c r="K138" i="21" s="1"/>
  <c r="L138" i="21" s="1"/>
  <c r="M138" i="21" s="1"/>
  <c r="N138" i="21" s="1"/>
  <c r="H30" i="21"/>
  <c r="G30" i="21"/>
  <c r="F30" i="21"/>
  <c r="H29" i="21"/>
  <c r="G29" i="21"/>
  <c r="F29" i="21"/>
  <c r="H28" i="21"/>
  <c r="G28" i="21"/>
  <c r="F28" i="21"/>
  <c r="I27" i="21"/>
  <c r="H27" i="21"/>
  <c r="G27" i="21"/>
  <c r="F27" i="21"/>
  <c r="I26" i="21"/>
  <c r="H26" i="21"/>
  <c r="G26" i="21"/>
  <c r="F26" i="21"/>
  <c r="E30" i="21"/>
  <c r="E29" i="21"/>
  <c r="E27" i="21"/>
  <c r="E26" i="21"/>
  <c r="J135" i="21"/>
  <c r="K135" i="21" s="1"/>
  <c r="L135" i="21" s="1"/>
  <c r="M135" i="21" s="1"/>
  <c r="N135" i="21" s="1"/>
  <c r="K69" i="21"/>
  <c r="L69" i="21"/>
  <c r="M69" i="21"/>
  <c r="M92" i="21" s="1"/>
  <c r="N69" i="21"/>
  <c r="N92" i="21" s="1"/>
  <c r="J69" i="21"/>
  <c r="J64" i="21"/>
  <c r="J87" i="21" s="1"/>
  <c r="K92" i="21"/>
  <c r="L92" i="21"/>
  <c r="K101" i="21"/>
  <c r="L101" i="21"/>
  <c r="M101" i="21"/>
  <c r="N101" i="21"/>
  <c r="K102" i="21"/>
  <c r="L102" i="21"/>
  <c r="M102" i="21"/>
  <c r="N102" i="21"/>
  <c r="J92" i="21"/>
  <c r="D233" i="21" s="1"/>
  <c r="B18" i="24" s="1"/>
  <c r="B19" i="24" s="1"/>
  <c r="B25" i="24" s="1"/>
  <c r="J101" i="21"/>
  <c r="J102" i="21"/>
  <c r="K46" i="21"/>
  <c r="L46" i="21"/>
  <c r="M46" i="21"/>
  <c r="N46" i="21"/>
  <c r="J46" i="21"/>
  <c r="F24" i="21"/>
  <c r="G24" i="21"/>
  <c r="H24" i="21"/>
  <c r="I24" i="21"/>
  <c r="F25" i="21"/>
  <c r="G25" i="21"/>
  <c r="H25" i="21"/>
  <c r="G10" i="21"/>
  <c r="F10" i="21"/>
  <c r="E10" i="21"/>
  <c r="I10" i="21"/>
  <c r="J10" i="21"/>
  <c r="K10" i="21"/>
  <c r="L10" i="21"/>
  <c r="M10" i="21"/>
  <c r="N10" i="21"/>
  <c r="H10" i="21"/>
  <c r="G31" i="21"/>
  <c r="H31" i="21"/>
  <c r="I31" i="21"/>
  <c r="F31" i="21"/>
  <c r="E28" i="21"/>
  <c r="E25" i="21"/>
  <c r="E24" i="21"/>
  <c r="F18" i="21"/>
  <c r="G18" i="21"/>
  <c r="H18" i="21"/>
  <c r="I18" i="21"/>
  <c r="F19" i="21"/>
  <c r="G19" i="21"/>
  <c r="H19" i="21"/>
  <c r="I19" i="21"/>
  <c r="F20" i="21"/>
  <c r="G20" i="21"/>
  <c r="H20" i="21"/>
  <c r="I20" i="21"/>
  <c r="F21" i="21"/>
  <c r="G21" i="21"/>
  <c r="H21" i="21"/>
  <c r="I21" i="21"/>
  <c r="F22" i="21"/>
  <c r="G22" i="21"/>
  <c r="H22" i="21"/>
  <c r="I22" i="21"/>
  <c r="E21" i="21"/>
  <c r="E22" i="21"/>
  <c r="E20" i="21"/>
  <c r="E19" i="21"/>
  <c r="E18" i="21"/>
  <c r="F14" i="21"/>
  <c r="G14" i="21"/>
  <c r="H14" i="21"/>
  <c r="F16" i="21"/>
  <c r="G16" i="21"/>
  <c r="H16" i="21"/>
  <c r="I16" i="21"/>
  <c r="F17" i="21"/>
  <c r="G17" i="21"/>
  <c r="H17" i="21"/>
  <c r="I17" i="21"/>
  <c r="E16" i="21"/>
  <c r="E17" i="21"/>
  <c r="E14" i="21"/>
  <c r="G13" i="21"/>
  <c r="H13" i="21"/>
  <c r="I13" i="21"/>
  <c r="F13" i="21"/>
  <c r="E173" i="21"/>
  <c r="G173" i="21"/>
  <c r="F173" i="21"/>
  <c r="I173" i="21"/>
  <c r="H173" i="21"/>
  <c r="F163" i="21"/>
  <c r="G163" i="21"/>
  <c r="H163" i="21"/>
  <c r="I163" i="21"/>
  <c r="E163" i="21"/>
  <c r="F157" i="21"/>
  <c r="G157" i="21"/>
  <c r="H157" i="21"/>
  <c r="I157" i="21"/>
  <c r="E157" i="21"/>
  <c r="F145" i="21"/>
  <c r="G145" i="21"/>
  <c r="H145" i="21"/>
  <c r="I145" i="21"/>
  <c r="E145" i="21"/>
  <c r="F137" i="21"/>
  <c r="G137" i="21"/>
  <c r="H137" i="21"/>
  <c r="I137" i="21"/>
  <c r="E137" i="21"/>
  <c r="E111" i="21"/>
  <c r="E15" i="21" s="1"/>
  <c r="F111" i="21"/>
  <c r="F15" i="21" s="1"/>
  <c r="G111" i="21"/>
  <c r="G15" i="21" s="1"/>
  <c r="I108" i="21"/>
  <c r="I14" i="21" s="1"/>
  <c r="J14" i="21" s="1"/>
  <c r="J37" i="21" s="1"/>
  <c r="I111" i="21"/>
  <c r="I15" i="21" s="1"/>
  <c r="J15" i="21" s="1"/>
  <c r="H111" i="21"/>
  <c r="H15" i="21" s="1"/>
  <c r="I213" i="21" l="1"/>
  <c r="J20" i="21"/>
  <c r="J43" i="21" s="1"/>
  <c r="J38" i="21"/>
  <c r="J61" i="21"/>
  <c r="J21" i="21"/>
  <c r="J44" i="21" s="1"/>
  <c r="L87" i="21"/>
  <c r="K41" i="21"/>
  <c r="J60" i="21"/>
  <c r="J83" i="21" s="1"/>
  <c r="J26" i="21"/>
  <c r="J27" i="21"/>
  <c r="I28" i="21"/>
  <c r="J28" i="21" s="1"/>
  <c r="I30" i="21"/>
  <c r="J30" i="21" s="1"/>
  <c r="I29" i="21"/>
  <c r="J29" i="21" s="1"/>
  <c r="K87" i="21"/>
  <c r="K64" i="21"/>
  <c r="J31" i="21"/>
  <c r="J16" i="21"/>
  <c r="K16" i="21" s="1"/>
  <c r="J24" i="21"/>
  <c r="K15" i="21"/>
  <c r="J17" i="21"/>
  <c r="J22" i="21"/>
  <c r="I11" i="21"/>
  <c r="I25" i="21"/>
  <c r="J25" i="21" s="1"/>
  <c r="H11" i="21"/>
  <c r="F11" i="21"/>
  <c r="J19" i="21"/>
  <c r="G11" i="21"/>
  <c r="K14" i="21"/>
  <c r="I174" i="21"/>
  <c r="H174" i="21"/>
  <c r="F164" i="21"/>
  <c r="H164" i="21"/>
  <c r="E164" i="21"/>
  <c r="I164" i="21"/>
  <c r="G164" i="21"/>
  <c r="H146" i="21"/>
  <c r="E146" i="21"/>
  <c r="F146" i="21"/>
  <c r="G146" i="21"/>
  <c r="I146" i="21"/>
  <c r="F299" i="21"/>
  <c r="F300" i="21" s="1"/>
  <c r="F301" i="21" s="1"/>
  <c r="B301" i="21"/>
  <c r="B300" i="21"/>
  <c r="B299" i="21"/>
  <c r="B298" i="21"/>
  <c r="M41" i="21" l="1"/>
  <c r="J11" i="21"/>
  <c r="K21" i="21"/>
  <c r="K44" i="21" s="1"/>
  <c r="J68" i="21"/>
  <c r="J45" i="21"/>
  <c r="J63" i="21"/>
  <c r="J40" i="21"/>
  <c r="K60" i="21"/>
  <c r="K37" i="21"/>
  <c r="L64" i="21"/>
  <c r="L41" i="21"/>
  <c r="K38" i="21"/>
  <c r="K61" i="21"/>
  <c r="J70" i="21"/>
  <c r="J47" i="21"/>
  <c r="K47" i="21" s="1"/>
  <c r="L47" i="21" s="1"/>
  <c r="M47" i="21" s="1"/>
  <c r="N47" i="21" s="1"/>
  <c r="J52" i="21"/>
  <c r="K52" i="21" s="1"/>
  <c r="L52" i="21" s="1"/>
  <c r="M52" i="21" s="1"/>
  <c r="N52" i="21" s="1"/>
  <c r="J75" i="21"/>
  <c r="K75" i="21" s="1"/>
  <c r="L75" i="21" s="1"/>
  <c r="M75" i="21" s="1"/>
  <c r="N75" i="21" s="1"/>
  <c r="J74" i="21"/>
  <c r="K74" i="21" s="1"/>
  <c r="L74" i="21" s="1"/>
  <c r="M74" i="21" s="1"/>
  <c r="N74" i="21" s="1"/>
  <c r="J51" i="21"/>
  <c r="K51" i="21" s="1"/>
  <c r="L51" i="21" s="1"/>
  <c r="M51" i="21" s="1"/>
  <c r="N51" i="21" s="1"/>
  <c r="J54" i="21"/>
  <c r="K54" i="21" s="1"/>
  <c r="L54" i="21" s="1"/>
  <c r="M54" i="21" s="1"/>
  <c r="N54" i="21" s="1"/>
  <c r="J77" i="21"/>
  <c r="K27" i="21"/>
  <c r="L27" i="21" s="1"/>
  <c r="J73" i="21"/>
  <c r="K73" i="21" s="1"/>
  <c r="L73" i="21" s="1"/>
  <c r="M73" i="21" s="1"/>
  <c r="N73" i="21" s="1"/>
  <c r="J50" i="21"/>
  <c r="K50" i="21" s="1"/>
  <c r="L50" i="21" s="1"/>
  <c r="M50" i="21" s="1"/>
  <c r="N50" i="21" s="1"/>
  <c r="J66" i="21"/>
  <c r="J89" i="21" s="1"/>
  <c r="J72" i="21"/>
  <c r="K72" i="21" s="1"/>
  <c r="L72" i="21" s="1"/>
  <c r="M72" i="21" s="1"/>
  <c r="N72" i="21" s="1"/>
  <c r="J49" i="21"/>
  <c r="K49" i="21" s="1"/>
  <c r="L49" i="21" s="1"/>
  <c r="M49" i="21" s="1"/>
  <c r="N49" i="21" s="1"/>
  <c r="J76" i="21"/>
  <c r="K76" i="21" s="1"/>
  <c r="L76" i="21" s="1"/>
  <c r="M76" i="21" s="1"/>
  <c r="N76" i="21" s="1"/>
  <c r="J53" i="21"/>
  <c r="K53" i="21" s="1"/>
  <c r="L53" i="21" s="1"/>
  <c r="M53" i="21" s="1"/>
  <c r="N53" i="21" s="1"/>
  <c r="J71" i="21"/>
  <c r="J48" i="21"/>
  <c r="K48" i="21" s="1"/>
  <c r="L48" i="21" s="1"/>
  <c r="M48" i="21" s="1"/>
  <c r="N48" i="21" s="1"/>
  <c r="J96" i="21"/>
  <c r="K26" i="21"/>
  <c r="J98" i="21"/>
  <c r="K29" i="21"/>
  <c r="J99" i="21"/>
  <c r="K30" i="21"/>
  <c r="K96" i="21"/>
  <c r="J39" i="21"/>
  <c r="K83" i="21"/>
  <c r="K22" i="21"/>
  <c r="K45" i="21" s="1"/>
  <c r="J91" i="21"/>
  <c r="K20" i="21"/>
  <c r="K43" i="21" s="1"/>
  <c r="J86" i="21"/>
  <c r="K84" i="21"/>
  <c r="K19" i="21"/>
  <c r="K42" i="21" s="1"/>
  <c r="J65" i="21"/>
  <c r="J88" i="21" s="1"/>
  <c r="J84" i="21"/>
  <c r="K85" i="21"/>
  <c r="K62" i="21"/>
  <c r="K24" i="21"/>
  <c r="J93" i="21"/>
  <c r="J62" i="21"/>
  <c r="J85" i="21"/>
  <c r="J67" i="21"/>
  <c r="J90" i="21" s="1"/>
  <c r="K28" i="21"/>
  <c r="K25" i="21"/>
  <c r="J94" i="21"/>
  <c r="K31" i="21"/>
  <c r="J100" i="21"/>
  <c r="K17" i="21"/>
  <c r="K40" i="21" s="1"/>
  <c r="J42" i="21"/>
  <c r="L15" i="21"/>
  <c r="K39" i="21"/>
  <c r="L16" i="21"/>
  <c r="L14" i="21"/>
  <c r="C284" i="21"/>
  <c r="C285" i="21" s="1"/>
  <c r="C286" i="21" s="1"/>
  <c r="C287" i="21" s="1"/>
  <c r="M64" i="21" l="1"/>
  <c r="N41" i="21"/>
  <c r="M87" i="21"/>
  <c r="L21" i="21"/>
  <c r="L44" i="21" s="1"/>
  <c r="K67" i="21"/>
  <c r="K90" i="21" s="1"/>
  <c r="J36" i="21"/>
  <c r="J59" i="21"/>
  <c r="L60" i="21"/>
  <c r="L37" i="21"/>
  <c r="L38" i="21"/>
  <c r="L61" i="21"/>
  <c r="L17" i="21"/>
  <c r="L86" i="21" s="1"/>
  <c r="K63" i="21"/>
  <c r="K68" i="21"/>
  <c r="K95" i="21"/>
  <c r="J95" i="21"/>
  <c r="J97" i="21"/>
  <c r="K66" i="21"/>
  <c r="L26" i="21"/>
  <c r="M26" i="21" s="1"/>
  <c r="M27" i="21"/>
  <c r="L96" i="21"/>
  <c r="K97" i="21"/>
  <c r="L28" i="21"/>
  <c r="L30" i="21"/>
  <c r="K99" i="21"/>
  <c r="L29" i="21"/>
  <c r="K98" i="21"/>
  <c r="L22" i="21"/>
  <c r="L19" i="21"/>
  <c r="K11" i="21"/>
  <c r="L11" i="21" s="1"/>
  <c r="L62" i="21"/>
  <c r="L85" i="21" s="1"/>
  <c r="L83" i="21"/>
  <c r="K89" i="21"/>
  <c r="L20" i="21"/>
  <c r="L43" i="21" s="1"/>
  <c r="L84" i="21"/>
  <c r="L31" i="21"/>
  <c r="K100" i="21"/>
  <c r="K218" i="21" s="1"/>
  <c r="L24" i="21"/>
  <c r="K93" i="21"/>
  <c r="K65" i="21"/>
  <c r="K88" i="21" s="1"/>
  <c r="K91" i="21"/>
  <c r="K86" i="21"/>
  <c r="L25" i="21"/>
  <c r="K94" i="21"/>
  <c r="M14" i="21"/>
  <c r="M16" i="21"/>
  <c r="L39" i="21"/>
  <c r="M15" i="21"/>
  <c r="N193" i="21"/>
  <c r="M193" i="21"/>
  <c r="L193" i="21"/>
  <c r="K193" i="21"/>
  <c r="J166" i="21"/>
  <c r="N224" i="21"/>
  <c r="M224" i="21"/>
  <c r="L224" i="21"/>
  <c r="K224" i="21"/>
  <c r="J224" i="21"/>
  <c r="J218" i="21"/>
  <c r="L268" i="21"/>
  <c r="D255" i="21"/>
  <c r="H268" i="21"/>
  <c r="B24" i="24" s="1"/>
  <c r="B27" i="24" s="1"/>
  <c r="H269" i="21"/>
  <c r="D269" i="21"/>
  <c r="H270" i="21" s="1"/>
  <c r="N64" i="21" l="1"/>
  <c r="N87" i="21" s="1"/>
  <c r="M21" i="21"/>
  <c r="M44" i="21" s="1"/>
  <c r="L67" i="21"/>
  <c r="L90" i="21" s="1"/>
  <c r="H273" i="21"/>
  <c r="C4" i="21" s="1"/>
  <c r="C336" i="21"/>
  <c r="C335" i="21"/>
  <c r="L68" i="21"/>
  <c r="L45" i="21"/>
  <c r="M17" i="21"/>
  <c r="N17" i="21" s="1"/>
  <c r="L63" i="21"/>
  <c r="L40" i="21"/>
  <c r="M60" i="21"/>
  <c r="M37" i="21"/>
  <c r="M38" i="21"/>
  <c r="M61" i="21"/>
  <c r="M20" i="21"/>
  <c r="N20" i="21" s="1"/>
  <c r="L66" i="21"/>
  <c r="J107" i="21"/>
  <c r="D327" i="21" s="1"/>
  <c r="L95" i="21"/>
  <c r="N26" i="21"/>
  <c r="N95" i="21" s="1"/>
  <c r="M95" i="21"/>
  <c r="M28" i="21"/>
  <c r="L97" i="21"/>
  <c r="L99" i="21"/>
  <c r="M30" i="21"/>
  <c r="M29" i="21"/>
  <c r="L98" i="21"/>
  <c r="N27" i="21"/>
  <c r="N96" i="21" s="1"/>
  <c r="M96" i="21"/>
  <c r="L42" i="21"/>
  <c r="L91" i="21"/>
  <c r="M22" i="21"/>
  <c r="N22" i="21" s="1"/>
  <c r="L65" i="21"/>
  <c r="L88" i="21" s="1"/>
  <c r="M19" i="21"/>
  <c r="K13" i="21"/>
  <c r="M62" i="21"/>
  <c r="M85" i="21" s="1"/>
  <c r="M25" i="21"/>
  <c r="L94" i="21"/>
  <c r="M84" i="21"/>
  <c r="L89" i="21"/>
  <c r="M86" i="21"/>
  <c r="M83" i="21"/>
  <c r="M24" i="21"/>
  <c r="L93" i="21"/>
  <c r="M31" i="21"/>
  <c r="L100" i="21"/>
  <c r="L218" i="21" s="1"/>
  <c r="N16" i="21"/>
  <c r="N62" i="21" s="1"/>
  <c r="N85" i="21" s="1"/>
  <c r="M39" i="21"/>
  <c r="M11" i="21"/>
  <c r="L13" i="21"/>
  <c r="N15" i="21"/>
  <c r="N14" i="21"/>
  <c r="N37" i="21" s="1"/>
  <c r="K166" i="21"/>
  <c r="L166" i="21" s="1"/>
  <c r="M166" i="21" s="1"/>
  <c r="N166" i="21" s="1"/>
  <c r="J193" i="21"/>
  <c r="H271" i="21"/>
  <c r="N21" i="21" l="1"/>
  <c r="N44" i="21" s="1"/>
  <c r="M90" i="21"/>
  <c r="M67" i="21"/>
  <c r="C331" i="21"/>
  <c r="D331" i="21"/>
  <c r="D256" i="21"/>
  <c r="D259" i="21" s="1"/>
  <c r="D265" i="21" s="1"/>
  <c r="J134" i="21"/>
  <c r="J209" i="21" s="1"/>
  <c r="D335" i="21"/>
  <c r="L59" i="21"/>
  <c r="L36" i="21"/>
  <c r="K59" i="21"/>
  <c r="K36" i="21"/>
  <c r="M63" i="21"/>
  <c r="M40" i="21"/>
  <c r="M68" i="21"/>
  <c r="M45" i="21"/>
  <c r="N68" i="21"/>
  <c r="N45" i="21"/>
  <c r="N63" i="21"/>
  <c r="N40" i="21"/>
  <c r="M66" i="21"/>
  <c r="M43" i="21"/>
  <c r="N66" i="21"/>
  <c r="N43" i="21"/>
  <c r="M89" i="21"/>
  <c r="N38" i="21"/>
  <c r="N61" i="21"/>
  <c r="N60" i="21"/>
  <c r="N83" i="21" s="1"/>
  <c r="J108" i="21"/>
  <c r="J153" i="21" s="1"/>
  <c r="J211" i="21" s="1"/>
  <c r="J133" i="21"/>
  <c r="J208" i="21" s="1"/>
  <c r="J111" i="21"/>
  <c r="J120" i="21"/>
  <c r="J121" i="21"/>
  <c r="J119" i="21"/>
  <c r="J112" i="21"/>
  <c r="J113" i="21"/>
  <c r="J132" i="21"/>
  <c r="J206" i="21" s="1"/>
  <c r="N29" i="21"/>
  <c r="N98" i="21" s="1"/>
  <c r="M98" i="21"/>
  <c r="M99" i="21"/>
  <c r="N30" i="21"/>
  <c r="N99" i="21" s="1"/>
  <c r="N28" i="21"/>
  <c r="N97" i="21" s="1"/>
  <c r="M97" i="21"/>
  <c r="M91" i="21"/>
  <c r="N19" i="21"/>
  <c r="N65" i="21" s="1"/>
  <c r="M65" i="21"/>
  <c r="M88" i="21" s="1"/>
  <c r="M42" i="21"/>
  <c r="K82" i="21"/>
  <c r="K107" i="21" s="1"/>
  <c r="E327" i="21" s="1"/>
  <c r="N89" i="21"/>
  <c r="L82" i="21"/>
  <c r="N24" i="21"/>
  <c r="N93" i="21" s="1"/>
  <c r="M93" i="21"/>
  <c r="N25" i="21"/>
  <c r="N94" i="21" s="1"/>
  <c r="M94" i="21"/>
  <c r="N91" i="21"/>
  <c r="N86" i="21"/>
  <c r="N67" i="21"/>
  <c r="N90" i="21" s="1"/>
  <c r="N84" i="21"/>
  <c r="N31" i="21"/>
  <c r="N100" i="21" s="1"/>
  <c r="N218" i="21" s="1"/>
  <c r="M100" i="21"/>
  <c r="M218" i="21" s="1"/>
  <c r="N39" i="21"/>
  <c r="N11" i="21"/>
  <c r="N13" i="21" s="1"/>
  <c r="M13" i="21"/>
  <c r="E335" i="21" l="1"/>
  <c r="E331" i="21"/>
  <c r="M36" i="21"/>
  <c r="M59" i="21"/>
  <c r="N36" i="21"/>
  <c r="N59" i="21"/>
  <c r="J154" i="21"/>
  <c r="J212" i="21" s="1"/>
  <c r="K119" i="21"/>
  <c r="K133" i="21"/>
  <c r="K208" i="21" s="1"/>
  <c r="K134" i="21"/>
  <c r="K209" i="21" s="1"/>
  <c r="N88" i="21"/>
  <c r="N42" i="21"/>
  <c r="K112" i="21"/>
  <c r="K132" i="21"/>
  <c r="K206" i="21" s="1"/>
  <c r="K108" i="21"/>
  <c r="K120" i="21"/>
  <c r="K113" i="21"/>
  <c r="K111" i="21"/>
  <c r="K121" i="21"/>
  <c r="L107" i="21"/>
  <c r="F327" i="21" s="1"/>
  <c r="N82" i="21"/>
  <c r="M82" i="21"/>
  <c r="D243" i="21"/>
  <c r="F335" i="21" l="1"/>
  <c r="F331" i="21"/>
  <c r="K153" i="21"/>
  <c r="K211" i="21" s="1"/>
  <c r="K154" i="21"/>
  <c r="K212" i="21" s="1"/>
  <c r="L132" i="21"/>
  <c r="L206" i="21" s="1"/>
  <c r="L133" i="21"/>
  <c r="L208" i="21" s="1"/>
  <c r="L134" i="21"/>
  <c r="L209" i="21" s="1"/>
  <c r="L112" i="21"/>
  <c r="L113" i="21"/>
  <c r="L111" i="21"/>
  <c r="L108" i="21"/>
  <c r="L120" i="21"/>
  <c r="L119" i="21"/>
  <c r="L121" i="21"/>
  <c r="M107" i="21"/>
  <c r="G327" i="21" s="1"/>
  <c r="J223" i="21"/>
  <c r="N192" i="21"/>
  <c r="M192" i="21"/>
  <c r="K192" i="21"/>
  <c r="J192" i="21"/>
  <c r="J217" i="21"/>
  <c r="M188" i="21"/>
  <c r="K188" i="21"/>
  <c r="J188" i="21"/>
  <c r="L192" i="21"/>
  <c r="G174" i="21"/>
  <c r="F174" i="21"/>
  <c r="E174" i="21"/>
  <c r="I109" i="21"/>
  <c r="I114" i="21" s="1"/>
  <c r="C332" i="21" s="1"/>
  <c r="H109" i="21"/>
  <c r="H114" i="21" s="1"/>
  <c r="G109" i="21"/>
  <c r="G114" i="21" s="1"/>
  <c r="G116" i="21" s="1"/>
  <c r="G118" i="21" s="1"/>
  <c r="F109" i="21"/>
  <c r="F114" i="21" s="1"/>
  <c r="F116" i="21" s="1"/>
  <c r="F118" i="21" s="1"/>
  <c r="E109" i="21"/>
  <c r="E114" i="21" s="1"/>
  <c r="E116" i="21" s="1"/>
  <c r="E118" i="21" s="1"/>
  <c r="F2" i="21"/>
  <c r="G2" i="21" s="1"/>
  <c r="H2" i="21" s="1"/>
  <c r="I2" i="21" s="1"/>
  <c r="J2" i="21" s="1"/>
  <c r="G335" i="21" l="1"/>
  <c r="G331" i="21"/>
  <c r="L154" i="21"/>
  <c r="L212" i="21" s="1"/>
  <c r="L153" i="21"/>
  <c r="L211" i="21" s="1"/>
  <c r="M120" i="21"/>
  <c r="M133" i="21"/>
  <c r="M208" i="21" s="1"/>
  <c r="M134" i="21"/>
  <c r="M209" i="21" s="1"/>
  <c r="M121" i="21"/>
  <c r="M119" i="21"/>
  <c r="M132" i="21"/>
  <c r="M206" i="21" s="1"/>
  <c r="N107" i="21"/>
  <c r="H327" i="21" s="1"/>
  <c r="M112" i="21"/>
  <c r="M111" i="21"/>
  <c r="M113" i="21"/>
  <c r="M108" i="21"/>
  <c r="E122" i="21"/>
  <c r="F122" i="21"/>
  <c r="G122" i="21"/>
  <c r="H116" i="21"/>
  <c r="I116" i="21"/>
  <c r="C333" i="21" s="1"/>
  <c r="K2" i="21"/>
  <c r="L2" i="21" s="1"/>
  <c r="M2" i="21" s="1"/>
  <c r="N2" i="21" s="1"/>
  <c r="E242" i="21"/>
  <c r="J219" i="21"/>
  <c r="J115" i="21" s="1"/>
  <c r="J183" i="21" s="1"/>
  <c r="E249" i="21" s="1"/>
  <c r="K189" i="21"/>
  <c r="F251" i="21"/>
  <c r="M189" i="21"/>
  <c r="H251" i="21"/>
  <c r="J189" i="21"/>
  <c r="E251" i="21"/>
  <c r="G176" i="21"/>
  <c r="G3" i="21" s="1"/>
  <c r="H198" i="21"/>
  <c r="H176" i="21"/>
  <c r="H3" i="21" s="1"/>
  <c r="F176" i="21"/>
  <c r="F3" i="21" s="1"/>
  <c r="E176" i="21"/>
  <c r="E3" i="21" s="1"/>
  <c r="I176" i="21"/>
  <c r="I3" i="21" s="1"/>
  <c r="G198" i="21"/>
  <c r="F198" i="21"/>
  <c r="K194" i="21"/>
  <c r="L188" i="21"/>
  <c r="J194" i="21"/>
  <c r="N194" i="21"/>
  <c r="N188" i="21"/>
  <c r="M194" i="21"/>
  <c r="L194" i="21"/>
  <c r="E198" i="21"/>
  <c r="J225" i="21"/>
  <c r="J226" i="21" s="1"/>
  <c r="H335" i="21" l="1"/>
  <c r="H331" i="21"/>
  <c r="M153" i="21"/>
  <c r="M211" i="21" s="1"/>
  <c r="M154" i="21"/>
  <c r="M212" i="21" s="1"/>
  <c r="N113" i="21"/>
  <c r="N133" i="21"/>
  <c r="N208" i="21" s="1"/>
  <c r="N134" i="21"/>
  <c r="N209" i="21" s="1"/>
  <c r="N108" i="21"/>
  <c r="N121" i="21"/>
  <c r="N132" i="21"/>
  <c r="N206" i="21" s="1"/>
  <c r="N120" i="21"/>
  <c r="N119" i="21"/>
  <c r="N112" i="21"/>
  <c r="N111" i="21"/>
  <c r="E124" i="21"/>
  <c r="E125" i="21" s="1"/>
  <c r="E23" i="21"/>
  <c r="G124" i="21"/>
  <c r="G125" i="21" s="1"/>
  <c r="G23" i="21"/>
  <c r="F124" i="21"/>
  <c r="F125" i="21" s="1"/>
  <c r="F23" i="21"/>
  <c r="H118" i="21"/>
  <c r="H122" i="21" s="1"/>
  <c r="H23" i="21" s="1"/>
  <c r="I118" i="21"/>
  <c r="I122" i="21" s="1"/>
  <c r="I23" i="21" s="1"/>
  <c r="E243" i="21"/>
  <c r="E244" i="21" s="1"/>
  <c r="F242" i="21"/>
  <c r="J197" i="21"/>
  <c r="I200" i="21"/>
  <c r="J220" i="21"/>
  <c r="J140" i="21" s="1"/>
  <c r="J145" i="21" s="1"/>
  <c r="J131" i="21"/>
  <c r="J207" i="21" s="1"/>
  <c r="J152" i="21"/>
  <c r="L189" i="21"/>
  <c r="G251" i="21"/>
  <c r="N189" i="21"/>
  <c r="I251" i="21"/>
  <c r="K223" i="21"/>
  <c r="K225" i="21" s="1"/>
  <c r="K226" i="21" s="1"/>
  <c r="J158" i="21"/>
  <c r="J163" i="21" s="1"/>
  <c r="J117" i="21"/>
  <c r="E246" i="21" s="1"/>
  <c r="K152" i="21"/>
  <c r="K210" i="21" s="1"/>
  <c r="J109" i="21"/>
  <c r="J157" i="21" l="1"/>
  <c r="J164" i="21" s="1"/>
  <c r="J210" i="21"/>
  <c r="J213" i="21" s="1"/>
  <c r="K157" i="21"/>
  <c r="N153" i="21"/>
  <c r="N211" i="21" s="1"/>
  <c r="N154" i="21"/>
  <c r="N212" i="21" s="1"/>
  <c r="H124" i="21"/>
  <c r="H125" i="21" s="1"/>
  <c r="I124" i="21"/>
  <c r="G242" i="21"/>
  <c r="F243" i="21"/>
  <c r="F244" i="21" s="1"/>
  <c r="K217" i="21"/>
  <c r="K219" i="21" s="1"/>
  <c r="K115" i="21" s="1"/>
  <c r="K109" i="21"/>
  <c r="K114" i="21" s="1"/>
  <c r="E332" i="21" s="1"/>
  <c r="K131" i="21"/>
  <c r="K207" i="21" s="1"/>
  <c r="K213" i="21" s="1"/>
  <c r="L223" i="21"/>
  <c r="L225" i="21" s="1"/>
  <c r="L226" i="21" s="1"/>
  <c r="K158" i="21"/>
  <c r="K163" i="21" s="1"/>
  <c r="K117" i="21"/>
  <c r="F246" i="21" s="1"/>
  <c r="I125" i="21" l="1"/>
  <c r="K164" i="21"/>
  <c r="J214" i="21"/>
  <c r="E252" i="21" s="1"/>
  <c r="K116" i="21"/>
  <c r="H242" i="21"/>
  <c r="G243" i="21"/>
  <c r="G244" i="21" s="1"/>
  <c r="L131" i="21"/>
  <c r="L207" i="21" s="1"/>
  <c r="L152" i="21"/>
  <c r="L210" i="21" s="1"/>
  <c r="K220" i="21"/>
  <c r="L217" i="21" s="1"/>
  <c r="L219" i="21" s="1"/>
  <c r="L109" i="21"/>
  <c r="L114" i="21" s="1"/>
  <c r="F332" i="21" s="1"/>
  <c r="K183" i="21"/>
  <c r="F249" i="21" s="1"/>
  <c r="M152" i="21"/>
  <c r="M210" i="21" s="1"/>
  <c r="M223" i="21"/>
  <c r="M225" i="21" s="1"/>
  <c r="M226" i="21" s="1"/>
  <c r="L117" i="21"/>
  <c r="G246" i="21" s="1"/>
  <c r="L158" i="21"/>
  <c r="L163" i="21" s="1"/>
  <c r="E333" i="21" l="1"/>
  <c r="K118" i="21"/>
  <c r="K122" i="21" s="1"/>
  <c r="F245" i="21" s="1"/>
  <c r="F247" i="21" s="1"/>
  <c r="F248" i="21" s="1"/>
  <c r="J184" i="21"/>
  <c r="L213" i="21"/>
  <c r="L157" i="21"/>
  <c r="L164" i="21" s="1"/>
  <c r="M157" i="21"/>
  <c r="K214" i="21"/>
  <c r="F252" i="21" s="1"/>
  <c r="I242" i="21"/>
  <c r="I243" i="21" s="1"/>
  <c r="H243" i="21"/>
  <c r="H244" i="21" s="1"/>
  <c r="M109" i="21"/>
  <c r="M114" i="21" s="1"/>
  <c r="G332" i="21" s="1"/>
  <c r="M131" i="21"/>
  <c r="M207" i="21" s="1"/>
  <c r="M213" i="21" s="1"/>
  <c r="K140" i="21"/>
  <c r="K145" i="21" s="1"/>
  <c r="L115" i="21"/>
  <c r="L116" i="21" s="1"/>
  <c r="M117" i="21"/>
  <c r="H246" i="21" s="1"/>
  <c r="M158" i="21"/>
  <c r="M163" i="21" s="1"/>
  <c r="N223" i="21"/>
  <c r="N225" i="21" s="1"/>
  <c r="N226" i="21" s="1"/>
  <c r="F333" i="21" l="1"/>
  <c r="K123" i="21"/>
  <c r="K124" i="21" s="1"/>
  <c r="L118" i="21"/>
  <c r="L122" i="21" s="1"/>
  <c r="G245" i="21" s="1"/>
  <c r="J243" i="21"/>
  <c r="I244" i="21"/>
  <c r="M164" i="21"/>
  <c r="K184" i="21"/>
  <c r="L214" i="21"/>
  <c r="L184" i="21" s="1"/>
  <c r="F250" i="21"/>
  <c r="N131" i="21"/>
  <c r="N207" i="21" s="1"/>
  <c r="N152" i="21"/>
  <c r="N210" i="21" s="1"/>
  <c r="F253" i="21"/>
  <c r="F255" i="21" s="1"/>
  <c r="L183" i="21"/>
  <c r="G249" i="21" s="1"/>
  <c r="N117" i="21"/>
  <c r="I246" i="21" s="1"/>
  <c r="N158" i="21"/>
  <c r="N163" i="21" s="1"/>
  <c r="L220" i="21"/>
  <c r="N109" i="21"/>
  <c r="N114" i="21" s="1"/>
  <c r="H332" i="21" s="1"/>
  <c r="L123" i="21" l="1"/>
  <c r="L124" i="21" s="1"/>
  <c r="K182" i="21"/>
  <c r="K185" i="21" s="1"/>
  <c r="K196" i="21" s="1"/>
  <c r="K125" i="21"/>
  <c r="N213" i="21"/>
  <c r="N157" i="21"/>
  <c r="N164" i="21" s="1"/>
  <c r="M214" i="21"/>
  <c r="M184" i="21" s="1"/>
  <c r="G252" i="21"/>
  <c r="G247" i="21"/>
  <c r="G248" i="21" s="1"/>
  <c r="F256" i="21"/>
  <c r="F260" i="21" s="1"/>
  <c r="M217" i="21"/>
  <c r="M219" i="21" s="1"/>
  <c r="L140" i="21"/>
  <c r="L145" i="21" s="1"/>
  <c r="L125" i="21" l="1"/>
  <c r="G253" i="21"/>
  <c r="G255" i="21" s="1"/>
  <c r="H252" i="21"/>
  <c r="N214" i="21"/>
  <c r="N184" i="21" s="1"/>
  <c r="G250" i="21"/>
  <c r="F265" i="21"/>
  <c r="L182" i="21"/>
  <c r="L185" i="21" s="1"/>
  <c r="L196" i="21" s="1"/>
  <c r="M115" i="21"/>
  <c r="M116" i="21" s="1"/>
  <c r="G333" i="21" l="1"/>
  <c r="M118" i="21"/>
  <c r="M122" i="21" s="1"/>
  <c r="H245" i="21" s="1"/>
  <c r="I252" i="21"/>
  <c r="G256" i="21"/>
  <c r="M183" i="21"/>
  <c r="H249" i="21" s="1"/>
  <c r="M220" i="21"/>
  <c r="M123" i="21" l="1"/>
  <c r="M124" i="21" s="1"/>
  <c r="G261" i="21"/>
  <c r="G265" i="21" s="1"/>
  <c r="H247" i="21"/>
  <c r="H248" i="21" s="1"/>
  <c r="H253" i="21" s="1"/>
  <c r="H255" i="21" s="1"/>
  <c r="N217" i="21"/>
  <c r="N219" i="21" s="1"/>
  <c r="M140" i="21"/>
  <c r="M145" i="21" s="1"/>
  <c r="M125" i="21" l="1"/>
  <c r="H250" i="21"/>
  <c r="M182" i="21"/>
  <c r="M185" i="21" s="1"/>
  <c r="M196" i="21" s="1"/>
  <c r="N115" i="21"/>
  <c r="N116" i="21" s="1"/>
  <c r="H333" i="21" l="1"/>
  <c r="N118" i="21"/>
  <c r="N122" i="21" s="1"/>
  <c r="I245" i="21" s="1"/>
  <c r="H256" i="21"/>
  <c r="N183" i="21"/>
  <c r="I249" i="21" s="1"/>
  <c r="N220" i="21"/>
  <c r="N140" i="21" s="1"/>
  <c r="N145" i="21" s="1"/>
  <c r="N123" i="21" l="1"/>
  <c r="N124" i="21" s="1"/>
  <c r="H262" i="21"/>
  <c r="H265" i="21" s="1"/>
  <c r="I247" i="21"/>
  <c r="I250" i="21" s="1"/>
  <c r="N244" i="21" s="1"/>
  <c r="N125" i="21" l="1"/>
  <c r="I248" i="21"/>
  <c r="I253" i="21" s="1"/>
  <c r="N182" i="21"/>
  <c r="N185" i="21" s="1"/>
  <c r="N196" i="21" s="1"/>
  <c r="N243" i="21" l="1"/>
  <c r="N245" i="21" s="1"/>
  <c r="J254" i="21" s="1"/>
  <c r="I255" i="21"/>
  <c r="I264" i="21" l="1"/>
  <c r="J255" i="21"/>
  <c r="I256" i="21"/>
  <c r="I263" i="21" l="1"/>
  <c r="I265" i="21" s="1"/>
  <c r="J256" i="21"/>
  <c r="B260" i="21" l="1"/>
  <c r="B261" i="21"/>
  <c r="B264" i="21"/>
  <c r="B262" i="21"/>
  <c r="B263" i="21"/>
  <c r="J114" i="21" l="1"/>
  <c r="D332" i="21" s="1"/>
  <c r="J116" i="21" l="1"/>
  <c r="D333" i="21" l="1"/>
  <c r="J118" i="21"/>
  <c r="J122" i="21" s="1"/>
  <c r="E245" i="21" s="1"/>
  <c r="E247" i="21" s="1"/>
  <c r="E250" i="21" s="1"/>
  <c r="J123" i="21" l="1"/>
  <c r="J124" i="21" s="1"/>
  <c r="E248" i="21"/>
  <c r="E253" i="21" s="1"/>
  <c r="E255" i="21" s="1"/>
  <c r="E256" i="21" s="1"/>
  <c r="J125" i="21" l="1"/>
  <c r="J182" i="21"/>
  <c r="J185" i="21" s="1"/>
  <c r="J196" i="21" s="1"/>
  <c r="J198" i="21" s="1"/>
  <c r="J136" i="21" s="1"/>
  <c r="J137" i="21" s="1"/>
  <c r="J146" i="21" s="1"/>
  <c r="J168" i="21"/>
  <c r="J173" i="21" s="1"/>
  <c r="D328" i="21" s="1"/>
  <c r="D268" i="21"/>
  <c r="E259" i="21"/>
  <c r="L271" i="21"/>
  <c r="J174" i="21" l="1"/>
  <c r="J176" i="21" s="1"/>
  <c r="J3" i="21" s="1"/>
  <c r="D336" i="21"/>
  <c r="D271" i="21"/>
  <c r="K168" i="21"/>
  <c r="K173" i="21" s="1"/>
  <c r="E328" i="21" s="1"/>
  <c r="K197" i="21"/>
  <c r="K198" i="21" s="1"/>
  <c r="K136" i="21" s="1"/>
  <c r="K137" i="21" s="1"/>
  <c r="K146" i="21" s="1"/>
  <c r="J200" i="21"/>
  <c r="E265" i="21"/>
  <c r="B259" i="21"/>
  <c r="C325" i="21" l="1"/>
  <c r="D325" i="21"/>
  <c r="E325" i="21"/>
  <c r="H325" i="21"/>
  <c r="F325" i="21"/>
  <c r="G325" i="21"/>
  <c r="C324" i="21"/>
  <c r="D324" i="21"/>
  <c r="F324" i="21"/>
  <c r="G324" i="21"/>
  <c r="H324" i="21"/>
  <c r="E324" i="21"/>
  <c r="C323" i="21"/>
  <c r="D323" i="21"/>
  <c r="E323" i="21"/>
  <c r="F323" i="21"/>
  <c r="G323" i="21"/>
  <c r="H323" i="21"/>
  <c r="K174" i="21"/>
  <c r="K176" i="21" s="1"/>
  <c r="K3" i="21" s="1"/>
  <c r="E336" i="21"/>
  <c r="L269" i="21"/>
  <c r="L270" i="21" s="1"/>
  <c r="D273" i="21"/>
  <c r="J273" i="21" s="1"/>
  <c r="L168" i="21"/>
  <c r="L173" i="21" s="1"/>
  <c r="F328" i="21" s="1"/>
  <c r="L197" i="21"/>
  <c r="L198" i="21" s="1"/>
  <c r="M197" i="21" s="1"/>
  <c r="M198" i="21" s="1"/>
  <c r="N197" i="21" s="1"/>
  <c r="N198" i="21" s="1"/>
  <c r="K200" i="21"/>
  <c r="B265" i="21"/>
  <c r="C259" i="21" s="1"/>
  <c r="R346" i="21" l="1"/>
  <c r="S346" i="21" s="1"/>
  <c r="U346" i="21"/>
  <c r="V346" i="21" s="1"/>
  <c r="R347" i="21"/>
  <c r="S347" i="21" s="1"/>
  <c r="U347" i="21"/>
  <c r="V347" i="21" s="1"/>
  <c r="R345" i="21"/>
  <c r="S345" i="21" s="1"/>
  <c r="U345" i="21"/>
  <c r="V345" i="21" s="1"/>
  <c r="D326" i="21"/>
  <c r="H326" i="21"/>
  <c r="F326" i="21"/>
  <c r="E326" i="21"/>
  <c r="G326" i="21"/>
  <c r="L293" i="21"/>
  <c r="D301" i="21" s="1"/>
  <c r="E301" i="21" s="1"/>
  <c r="C326" i="21"/>
  <c r="L174" i="21"/>
  <c r="F336" i="21"/>
  <c r="C282" i="21"/>
  <c r="C293" i="21"/>
  <c r="D298" i="21" s="1"/>
  <c r="E298" i="21" s="1"/>
  <c r="K282" i="21"/>
  <c r="F293" i="21"/>
  <c r="D299" i="21" s="1"/>
  <c r="E299" i="21" s="1"/>
  <c r="F4" i="21"/>
  <c r="H4" i="21" s="1"/>
  <c r="I293" i="21"/>
  <c r="D300" i="21" s="1"/>
  <c r="E300" i="21" s="1"/>
  <c r="M136" i="21"/>
  <c r="M137" i="21" s="1"/>
  <c r="M146" i="21" s="1"/>
  <c r="L136" i="21"/>
  <c r="L137" i="21" s="1"/>
  <c r="L146" i="21" s="1"/>
  <c r="M168" i="21"/>
  <c r="M173" i="21" s="1"/>
  <c r="G328" i="21" s="1"/>
  <c r="C260" i="21"/>
  <c r="C261" i="21"/>
  <c r="C262" i="21"/>
  <c r="C263" i="21"/>
  <c r="C264" i="21"/>
  <c r="N136" i="21"/>
  <c r="N137" i="21" s="1"/>
  <c r="N146" i="21" s="1"/>
  <c r="R348" i="21" l="1"/>
  <c r="S348" i="21" s="1"/>
  <c r="U348" i="21"/>
  <c r="V348" i="21" s="1"/>
  <c r="G298" i="21"/>
  <c r="H298" i="21" s="1"/>
  <c r="L176" i="21"/>
  <c r="L3" i="21" s="1"/>
  <c r="G336" i="21"/>
  <c r="M174" i="21"/>
  <c r="M176" i="21" s="1"/>
  <c r="M3" i="21" s="1"/>
  <c r="G299" i="21"/>
  <c r="J299" i="21" s="1"/>
  <c r="K299" i="21" s="1"/>
  <c r="G300" i="21"/>
  <c r="J300" i="21" s="1"/>
  <c r="K300" i="21" s="1"/>
  <c r="G301" i="21"/>
  <c r="H301" i="21" s="1"/>
  <c r="L200" i="21"/>
  <c r="M200" i="21"/>
  <c r="N168" i="21"/>
  <c r="N173" i="21" s="1"/>
  <c r="H328" i="21" s="1"/>
  <c r="C265" i="21"/>
  <c r="N200" i="21"/>
  <c r="H336" i="21" l="1"/>
  <c r="H299" i="21"/>
  <c r="N174" i="21"/>
  <c r="N176" i="21" s="1"/>
  <c r="N3" i="21" s="1"/>
  <c r="H300" i="21"/>
  <c r="J301" i="21"/>
  <c r="K301" i="21" s="1"/>
  <c r="J298" i="21"/>
  <c r="K298" i="21" s="1"/>
</calcChain>
</file>

<file path=xl/sharedStrings.xml><?xml version="1.0" encoding="utf-8"?>
<sst xmlns="http://schemas.openxmlformats.org/spreadsheetml/2006/main" count="371" uniqueCount="260">
  <si>
    <t>Income Statement</t>
  </si>
  <si>
    <t>Gross Profit</t>
  </si>
  <si>
    <t>Salaries and Benefits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</si>
  <si>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</si>
  <si>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</si>
  <si>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</si>
  <si>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</si>
  <si>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</si>
  <si>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</si>
  <si>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</si>
  <si>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</si>
  <si>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</si>
  <si>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</si>
  <si>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</si>
  <si>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</si>
  <si>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</si>
  <si>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</si>
  <si>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</si>
  <si>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</si>
  <si>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</si>
  <si>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</si>
  <si>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</si>
  <si>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</si>
  <si>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</si>
  <si>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</si>
  <si>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</si>
  <si>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</si>
  <si>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</si>
  <si>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</si>
  <si>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</si>
  <si>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</si>
  <si>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</si>
  <si>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</si>
  <si>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</si>
  <si>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</si>
  <si>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</si>
  <si>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</si>
  <si>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</si>
  <si>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</si>
  <si>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</si>
  <si>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</si>
  <si>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</si>
  <si>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</si>
  <si>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</si>
  <si>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</si>
  <si>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</si>
  <si>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</si>
  <si>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</si>
  <si>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</si>
  <si>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</si>
  <si>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</si>
  <si>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</si>
  <si>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</si>
  <si>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</si>
  <si>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</si>
  <si>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</si>
  <si>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Salaries and Benefits (% of Revenue)</t>
  </si>
  <si>
    <t>Depreciation &amp; Amortization (% of PP&amp;E)</t>
  </si>
  <si>
    <t>Revenue Growth (% Change)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</si>
  <si>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</si>
  <si>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</si>
  <si>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</si>
  <si>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</si>
  <si>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</si>
  <si>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</si>
  <si>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</si>
  <si>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</si>
  <si>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</si>
  <si>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</si>
  <si>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</si>
  <si>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Expenses</t>
  </si>
  <si>
    <t>DCF Model</t>
  </si>
  <si>
    <t>EBT</t>
  </si>
  <si>
    <t>EBIT</t>
  </si>
  <si>
    <t>Less: Cash Taxes</t>
  </si>
  <si>
    <t>Less: Capex</t>
  </si>
  <si>
    <t>Less: Changes in NWC</t>
  </si>
  <si>
    <t>Plus: D&amp;A</t>
  </si>
  <si>
    <t>Terminal Value</t>
  </si>
  <si>
    <t>Perpetural Growth</t>
  </si>
  <si>
    <t>Tax Rate</t>
  </si>
  <si>
    <t>Discount Rate</t>
  </si>
  <si>
    <t>Perpetural Growth Rate</t>
  </si>
  <si>
    <t>EV/EBITDA Mulltiple</t>
  </si>
  <si>
    <t>Unlevered FCF</t>
  </si>
  <si>
    <t>(Entry)/Exit</t>
  </si>
  <si>
    <t>EV/EBITDA</t>
  </si>
  <si>
    <t>Average</t>
  </si>
  <si>
    <t>Transaction Date</t>
  </si>
  <si>
    <t>Discounted Cash Flow</t>
  </si>
  <si>
    <t>Net FCF</t>
  </si>
  <si>
    <t>Shares Outstanding</t>
  </si>
  <si>
    <t>IRR</t>
  </si>
  <si>
    <t>Entry</t>
  </si>
  <si>
    <t>Exit</t>
  </si>
  <si>
    <t>Date</t>
  </si>
  <si>
    <t>Current Price</t>
  </si>
  <si>
    <t>Market Cap</t>
  </si>
  <si>
    <t>Plus: Debt</t>
  </si>
  <si>
    <t>Less: Cash</t>
  </si>
  <si>
    <t>EV</t>
  </si>
  <si>
    <t>Enterprise Value</t>
  </si>
  <si>
    <t>Plus: Cash</t>
  </si>
  <si>
    <t>Less: Debt</t>
  </si>
  <si>
    <t>Equity Value</t>
  </si>
  <si>
    <t>Equity Value/Share</t>
  </si>
  <si>
    <t>Intrinsic Value</t>
  </si>
  <si>
    <t>Market Value</t>
  </si>
  <si>
    <t>Rate of Return</t>
  </si>
  <si>
    <t>Target Price Upside</t>
  </si>
  <si>
    <t>Sensitivity Analysis</t>
  </si>
  <si>
    <t>$/Share</t>
  </si>
  <si>
    <t>EBITDA</t>
  </si>
  <si>
    <t>Target Price</t>
  </si>
  <si>
    <t>Present Value</t>
  </si>
  <si>
    <t>LIVE SCENARIO</t>
  </si>
  <si>
    <t>Share Price Senstivity</t>
  </si>
  <si>
    <t>Revenue Growth</t>
  </si>
  <si>
    <t>Exit Multiple</t>
  </si>
  <si>
    <t>Change</t>
  </si>
  <si>
    <t>Driver</t>
  </si>
  <si>
    <t>-5% Δ</t>
  </si>
  <si>
    <t>Abs Change</t>
  </si>
  <si>
    <t>Rank</t>
  </si>
  <si>
    <t>Pos</t>
  </si>
  <si>
    <t>Neg</t>
  </si>
  <si>
    <t>Output</t>
  </si>
  <si>
    <t>Revenue Growth +/-5%</t>
  </si>
  <si>
    <t>COGS +/-5%</t>
  </si>
  <si>
    <t>Discount Rate +/-1%</t>
  </si>
  <si>
    <t>EV/EBITDA Exit +/-1x</t>
  </si>
  <si>
    <t>Impact on Share Price By Change in Assumption</t>
  </si>
  <si>
    <t>Assumption</t>
  </si>
  <si>
    <t>R&amp;D</t>
  </si>
  <si>
    <t>Share in Profit of Equity Accounted Investments</t>
  </si>
  <si>
    <t>Other Income</t>
  </si>
  <si>
    <t>Other Expenses</t>
  </si>
  <si>
    <t>Share in Profit of Non-CoreEquity Accounted Investments</t>
  </si>
  <si>
    <t>Cash &amp; Cash Equivalents</t>
  </si>
  <si>
    <t>Trade Accounts Receivable</t>
  </si>
  <si>
    <t>Current Tax Receivable</t>
  </si>
  <si>
    <t>Other Receivables</t>
  </si>
  <si>
    <t>Assets Held for Sale</t>
  </si>
  <si>
    <t>Current Assets</t>
  </si>
  <si>
    <t>Goodwill</t>
  </si>
  <si>
    <t>Other Intangible Assets</t>
  </si>
  <si>
    <t>Right of Use Assets</t>
  </si>
  <si>
    <t>Investments in Equity-Accounted Companies</t>
  </si>
  <si>
    <t>Deferred Tax Assets</t>
  </si>
  <si>
    <t>Other non-Current Assets</t>
  </si>
  <si>
    <t>Non-Current Liabilities</t>
  </si>
  <si>
    <t>Current Portion of Long-term Debt</t>
  </si>
  <si>
    <t>Current Portion of Long-term Liabilities</t>
  </si>
  <si>
    <t>Current Portion of Other Liabilities and Provisions</t>
  </si>
  <si>
    <t>Trade Accounts Payable</t>
  </si>
  <si>
    <t>Current Tax Liabilities</t>
  </si>
  <si>
    <t>Other Payables</t>
  </si>
  <si>
    <t>Liabilities Held for Sale</t>
  </si>
  <si>
    <t>Short term Debt and Bank overdrafts</t>
  </si>
  <si>
    <t>Current Liabilities</t>
  </si>
  <si>
    <t>Long-term Lease Liabilities</t>
  </si>
  <si>
    <t>Provisions for Pensions and other Employee Benefits</t>
  </si>
  <si>
    <t>Deferred Tax Liabilities</t>
  </si>
  <si>
    <t>Other non-Current Liabilities and Provisions</t>
  </si>
  <si>
    <t>Additional Paid in Capital and Legal Reserve</t>
  </si>
  <si>
    <t>Cumulative Translation Adjustments</t>
  </si>
  <si>
    <t>Fair Value Reserves</t>
  </si>
  <si>
    <t>Treasury Stock</t>
  </si>
  <si>
    <t>NCI</t>
  </si>
  <si>
    <t>GDP Growth</t>
  </si>
  <si>
    <t>Inflation</t>
  </si>
  <si>
    <t>https://www.statista.com/statistics/263604/gross-domestic-product-gdp-growth-rate-in-france/</t>
  </si>
  <si>
    <t>https://www.statista.com/statistics/270353/inflation-rate-in-france/</t>
  </si>
  <si>
    <t>Growth</t>
  </si>
  <si>
    <t>Base</t>
  </si>
  <si>
    <t>Bear</t>
  </si>
  <si>
    <t>Bull</t>
  </si>
  <si>
    <t>Other Receivables (Days)</t>
  </si>
  <si>
    <t>Current Tax Receivable (Days)</t>
  </si>
  <si>
    <t>Current Tax Liabilities (Days)</t>
  </si>
  <si>
    <t>Other Payables (Days)</t>
  </si>
  <si>
    <t>Year Frac</t>
  </si>
  <si>
    <t>WACC Calculation</t>
  </si>
  <si>
    <t>Cost of Equity</t>
  </si>
  <si>
    <t>CAPM</t>
  </si>
  <si>
    <t>Risk-free rate</t>
  </si>
  <si>
    <t>Beta</t>
  </si>
  <si>
    <t>Market Premium</t>
  </si>
  <si>
    <t>Ke</t>
  </si>
  <si>
    <t>Cost of Debt</t>
  </si>
  <si>
    <t>Kd</t>
  </si>
  <si>
    <t>Kd (After tax)</t>
  </si>
  <si>
    <t>WACC</t>
  </si>
  <si>
    <t>Ve</t>
  </si>
  <si>
    <t>Vd</t>
  </si>
  <si>
    <t>CAC40</t>
  </si>
  <si>
    <t>SG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</si>
  <si>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</si>
  <si>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</si>
  <si>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</si>
  <si>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</si>
  <si>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</si>
  <si>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</si>
  <si>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</si>
  <si>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</si>
  <si>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</si>
  <si>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</si>
  <si>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</si>
  <si>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</si>
  <si>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</si>
  <si>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</si>
  <si>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</si>
  <si>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</si>
  <si>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</si>
  <si>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</si>
  <si>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</si>
  <si>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</si>
  <si>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</si>
  <si>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</si>
  <si>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</si>
  <si>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</si>
  <si>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</si>
  <si>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CAC40 Returns</t>
  </si>
  <si>
    <t>SG Returns</t>
  </si>
  <si>
    <t>1 = Base</t>
  </si>
  <si>
    <t>2 = Bull</t>
  </si>
  <si>
    <t>3 = Bear</t>
  </si>
  <si>
    <t>Estimated Fair Value</t>
  </si>
  <si>
    <t>% Upside</t>
  </si>
  <si>
    <t>Debt due within 1-5 years spread</t>
  </si>
  <si>
    <t>June 30 2021</t>
  </si>
  <si>
    <t>Multiples</t>
  </si>
  <si>
    <t>P/E</t>
  </si>
  <si>
    <t>P/S</t>
  </si>
  <si>
    <t>P/B</t>
  </si>
  <si>
    <t>EV/EBIT</t>
  </si>
  <si>
    <t>EV/Sales</t>
  </si>
  <si>
    <t>2020 Excluded as an outlier</t>
  </si>
  <si>
    <t>Premium/(Discount)</t>
  </si>
  <si>
    <t>Risk free Rate tedesco in euro a giugno 30 2020</t>
  </si>
  <si>
    <t>Eps</t>
  </si>
  <si>
    <t>Building Material Peers</t>
  </si>
  <si>
    <t>Holcim</t>
  </si>
  <si>
    <t>CRH</t>
  </si>
  <si>
    <t>HeiderlbergC</t>
  </si>
  <si>
    <t>Eagle Mat</t>
  </si>
  <si>
    <t>Sika</t>
  </si>
  <si>
    <t>Vicat</t>
  </si>
  <si>
    <t>Martin Mar</t>
  </si>
  <si>
    <t>Cementos</t>
  </si>
  <si>
    <t>Cemex</t>
  </si>
  <si>
    <t>Vulcan</t>
  </si>
  <si>
    <t>UltraTech</t>
  </si>
  <si>
    <t>Dangote</t>
  </si>
  <si>
    <t>MEAN</t>
  </si>
  <si>
    <t>AVG IND</t>
  </si>
  <si>
    <t>SGO vs Mean</t>
  </si>
  <si>
    <t>SGO vs AVG IND</t>
  </si>
  <si>
    <t>Transaction FCF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</si>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</sst>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_-* #,##0_-;\(#,##0\)_-;_-* &quot;-&quot;_-;_-@_-"/>
    <numFmt numFmtId="166" formatCode="0.0000_ ;\-0.0000\ "/>
    <numFmt numFmtId="167" formatCode="0.0%"/>
    <numFmt numFmtId="168" formatCode="_-* #,##0_-;\-* #,##0_-;_-* &quot;-&quot;??_-;_-@_-"/>
    <numFmt numFmtId="169" formatCode="_(* #,##0_);_(* \(#,##0\);_(* &quot;-&quot;??_);_(@_)"/>
    <numFmt numFmtId="170" formatCode="0.0\x"/>
    <numFmt numFmtId="171" formatCode="_-* #,##0.00_-;\(#,##0.00\)_-;_-* &quot;-&quot;_-;_-@_-"/>
    <numFmt numFmtId="172" formatCode="&quot;+&quot;0.0%;&quot;-&quot;0.0%;0.0%"/>
    <numFmt numFmtId="173" formatCode="0.000_ ;\-0.000\ 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11"/>
      <color theme="1"/>
      <name val="Arial Narrow"/>
      <family val="2"/>
    </font>
    <font>
      <sz val="10"/>
      <name val="Bookman"/>
      <family val="1"/>
    </font>
    <font>
      <i/>
      <sz val="11"/>
      <color theme="0"/>
      <name val="Arial Narrow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B050"/>
      <name val="Arial Narrow"/>
      <family val="2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rgb="FFFF0000"/>
      <name val="Arial Narrow"/>
      <family val="2"/>
    </font>
    <font>
      <sz val="12"/>
      <color rgb="FFFF0000"/>
      <name val="Arial Narrow"/>
      <family val="2"/>
    </font>
    <font>
      <i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3"/>
      <name val="Arial Narrow"/>
      <family val="2"/>
    </font>
    <font>
      <sz val="12"/>
      <color theme="3"/>
      <name val="Arial Narrow"/>
      <family val="2"/>
    </font>
    <font>
      <b/>
      <sz val="14"/>
      <color theme="3"/>
      <name val="Arial Narrow"/>
      <family val="2"/>
    </font>
    <font>
      <b/>
      <i/>
      <sz val="11"/>
      <color theme="3"/>
      <name val="Arial Narrow"/>
      <family val="2"/>
    </font>
    <font>
      <u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34">
    <xf numFmtId="0" fontId="0" fillId="0" borderId="0" xfId="0"/>
    <xf numFmtId="165" fontId="5" fillId="0" borderId="0" xfId="1" applyNumberFormat="1" applyFont="1" applyFill="1" applyProtection="1">
      <protection locked="0"/>
    </xf>
    <xf numFmtId="169" fontId="2" fillId="0" borderId="0" xfId="1" applyNumberFormat="1" applyFont="1" applyFill="1" applyBorder="1" applyProtection="1">
      <protection locked="0"/>
    </xf>
    <xf numFmtId="167" fontId="9" fillId="0" borderId="2" xfId="2" applyNumberFormat="1" applyFont="1" applyFill="1" applyBorder="1" applyProtection="1">
      <protection locked="0"/>
    </xf>
    <xf numFmtId="167" fontId="10" fillId="0" borderId="2" xfId="2" applyNumberFormat="1" applyFont="1" applyFill="1" applyBorder="1" applyProtection="1">
      <protection locked="0"/>
    </xf>
    <xf numFmtId="169" fontId="2" fillId="0" borderId="0" xfId="1" applyNumberFormat="1" applyFont="1" applyProtection="1">
      <protection locked="0"/>
    </xf>
    <xf numFmtId="165" fontId="2" fillId="0" borderId="2" xfId="1" applyNumberFormat="1" applyFont="1" applyBorder="1" applyProtection="1">
      <protection locked="0"/>
    </xf>
    <xf numFmtId="165" fontId="2" fillId="0" borderId="0" xfId="1" applyNumberFormat="1" applyFont="1" applyFill="1" applyProtection="1">
      <protection locked="0"/>
    </xf>
    <xf numFmtId="165" fontId="2" fillId="0" borderId="0" xfId="1" applyNumberFormat="1" applyFont="1" applyBorder="1" applyProtection="1">
      <protection locked="0"/>
    </xf>
    <xf numFmtId="165" fontId="2" fillId="0" borderId="0" xfId="1" applyNumberFormat="1" applyFont="1" applyProtection="1">
      <protection locked="0"/>
    </xf>
    <xf numFmtId="165" fontId="5" fillId="0" borderId="0" xfId="1" applyNumberFormat="1" applyFont="1" applyProtection="1">
      <protection locked="0"/>
    </xf>
    <xf numFmtId="165" fontId="2" fillId="0" borderId="0" xfId="1" applyNumberFormat="1" applyFont="1" applyAlignment="1" applyProtection="1">
      <alignment horizontal="center"/>
      <protection locked="0"/>
    </xf>
    <xf numFmtId="165" fontId="9" fillId="0" borderId="0" xfId="1" applyNumberFormat="1" applyFont="1" applyProtection="1">
      <protection locked="0"/>
    </xf>
    <xf numFmtId="167" fontId="2" fillId="0" borderId="0" xfId="2" applyNumberFormat="1" applyFont="1" applyAlignment="1" applyProtection="1">
      <alignment horizontal="right"/>
      <protection locked="0"/>
    </xf>
    <xf numFmtId="167" fontId="2" fillId="0" borderId="0" xfId="2" applyNumberFormat="1" applyFont="1" applyProtection="1">
      <protection locked="0"/>
    </xf>
    <xf numFmtId="9" fontId="2" fillId="0" borderId="0" xfId="2" applyFont="1" applyBorder="1" applyProtection="1">
      <protection locked="0"/>
    </xf>
    <xf numFmtId="9" fontId="5" fillId="0" borderId="0" xfId="2" applyFont="1" applyBorder="1" applyAlignment="1" applyProtection="1">
      <alignment horizontal="centerContinuous"/>
      <protection locked="0"/>
    </xf>
    <xf numFmtId="0" fontId="2" fillId="0" borderId="0" xfId="0" applyFont="1" applyBorder="1" applyAlignment="1" applyProtection="1">
      <alignment horizontal="centerContinuous"/>
      <protection locked="0"/>
    </xf>
    <xf numFmtId="0" fontId="2" fillId="0" borderId="0" xfId="0" applyFont="1" applyProtection="1">
      <protection locked="0"/>
    </xf>
    <xf numFmtId="171" fontId="11" fillId="0" borderId="0" xfId="0" applyNumberFormat="1" applyFont="1" applyProtection="1">
      <protection locked="0"/>
    </xf>
    <xf numFmtId="167" fontId="5" fillId="0" borderId="3" xfId="0" applyNumberFormat="1" applyFont="1" applyBorder="1" applyProtection="1">
      <protection locked="0"/>
    </xf>
    <xf numFmtId="0" fontId="5" fillId="0" borderId="5" xfId="0" applyFont="1" applyBorder="1" applyProtection="1">
      <protection locked="0"/>
    </xf>
    <xf numFmtId="170" fontId="8" fillId="0" borderId="6" xfId="1" applyNumberFormat="1" applyFont="1" applyBorder="1" applyAlignment="1" applyProtection="1">
      <alignment horizontal="center"/>
      <protection locked="0"/>
    </xf>
    <xf numFmtId="171" fontId="2" fillId="0" borderId="0" xfId="1" applyNumberFormat="1" applyFont="1" applyProtection="1">
      <protection locked="0"/>
    </xf>
    <xf numFmtId="0" fontId="2" fillId="0" borderId="5" xfId="0" applyFont="1" applyBorder="1" applyProtection="1">
      <protection locked="0"/>
    </xf>
    <xf numFmtId="170" fontId="7" fillId="0" borderId="6" xfId="1" applyNumberFormat="1" applyFont="1" applyBorder="1" applyAlignment="1" applyProtection="1">
      <alignment horizontal="center"/>
      <protection locked="0"/>
    </xf>
    <xf numFmtId="171" fontId="2" fillId="5" borderId="0" xfId="1" applyNumberFormat="1" applyFont="1" applyFill="1" applyBorder="1" applyProtection="1">
      <protection locked="0"/>
    </xf>
    <xf numFmtId="171" fontId="2" fillId="4" borderId="0" xfId="1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70" fontId="10" fillId="0" borderId="0" xfId="1" applyNumberFormat="1" applyFont="1" applyBorder="1" applyAlignment="1" applyProtection="1">
      <alignment horizontal="center"/>
      <protection locked="0"/>
    </xf>
    <xf numFmtId="9" fontId="2" fillId="0" borderId="0" xfId="2" applyFont="1" applyProtection="1">
      <protection locked="0"/>
    </xf>
    <xf numFmtId="165" fontId="5" fillId="0" borderId="0" xfId="1" applyNumberFormat="1" applyFont="1" applyBorder="1" applyAlignment="1" applyProtection="1">
      <alignment horizontal="center"/>
      <protection locked="0"/>
    </xf>
    <xf numFmtId="172" fontId="9" fillId="0" borderId="0" xfId="2" applyNumberFormat="1" applyFont="1" applyAlignment="1" applyProtection="1">
      <alignment horizontal="center"/>
      <protection locked="0"/>
    </xf>
    <xf numFmtId="39" fontId="10" fillId="0" borderId="0" xfId="0" applyNumberFormat="1" applyFont="1" applyAlignment="1" applyProtection="1">
      <alignment horizontal="center"/>
      <protection locked="0"/>
    </xf>
    <xf numFmtId="170" fontId="9" fillId="0" borderId="0" xfId="2" applyNumberFormat="1" applyFont="1" applyAlignment="1" applyProtection="1">
      <alignment horizontal="center"/>
      <protection locked="0"/>
    </xf>
    <xf numFmtId="165" fontId="10" fillId="0" borderId="0" xfId="1" applyNumberFormat="1" applyFont="1" applyProtection="1">
      <protection locked="0"/>
    </xf>
    <xf numFmtId="172" fontId="2" fillId="0" borderId="0" xfId="2" applyNumberFormat="1" applyFont="1" applyAlignment="1" applyProtection="1">
      <alignment horizontal="center"/>
      <protection locked="0"/>
    </xf>
    <xf numFmtId="39" fontId="2" fillId="0" borderId="0" xfId="1" applyNumberFormat="1" applyFont="1" applyAlignment="1" applyProtection="1">
      <alignment horizontal="center"/>
      <protection locked="0"/>
    </xf>
    <xf numFmtId="170" fontId="2" fillId="0" borderId="0" xfId="2" applyNumberFormat="1" applyFont="1" applyAlignment="1" applyProtection="1">
      <alignment horizontal="center"/>
      <protection locked="0"/>
    </xf>
    <xf numFmtId="167" fontId="5" fillId="0" borderId="0" xfId="2" applyNumberFormat="1" applyFont="1" applyProtection="1">
      <protection locked="0"/>
    </xf>
    <xf numFmtId="9" fontId="2" fillId="0" borderId="0" xfId="2" applyFont="1" applyBorder="1" applyAlignment="1" applyProtection="1">
      <alignment horizontal="center"/>
      <protection locked="0"/>
    </xf>
    <xf numFmtId="165" fontId="2" fillId="0" borderId="0" xfId="1" applyNumberFormat="1" applyFont="1" applyBorder="1" applyAlignment="1" applyProtection="1">
      <alignment horizontal="right"/>
      <protection locked="0"/>
    </xf>
    <xf numFmtId="9" fontId="2" fillId="0" borderId="0" xfId="2" applyFont="1" applyBorder="1" applyAlignment="1" applyProtection="1">
      <alignment horizontal="right"/>
      <protection locked="0"/>
    </xf>
    <xf numFmtId="165" fontId="2" fillId="0" borderId="0" xfId="1" applyNumberFormat="1" applyFont="1" applyBorder="1" applyAlignment="1" applyProtection="1">
      <alignment horizontal="left"/>
      <protection locked="0"/>
    </xf>
    <xf numFmtId="9" fontId="2" fillId="0" borderId="0" xfId="2" applyFont="1" applyAlignment="1" applyProtection="1">
      <alignment horizontal="center"/>
      <protection locked="0"/>
    </xf>
    <xf numFmtId="165" fontId="2" fillId="0" borderId="0" xfId="1" applyNumberFormat="1" applyFont="1" applyAlignment="1" applyProtection="1">
      <alignment horizontal="right"/>
      <protection locked="0"/>
    </xf>
    <xf numFmtId="165" fontId="2" fillId="0" borderId="0" xfId="1" applyNumberFormat="1" applyFont="1" applyAlignment="1" applyProtection="1">
      <alignment horizontal="left"/>
      <protection locked="0"/>
    </xf>
    <xf numFmtId="0" fontId="15" fillId="0" borderId="0" xfId="0" applyFont="1" applyProtection="1">
      <protection locked="0"/>
    </xf>
    <xf numFmtId="165" fontId="3" fillId="0" borderId="0" xfId="1" applyNumberFormat="1" applyFont="1" applyAlignment="1" applyProtection="1">
      <protection locked="0"/>
    </xf>
    <xf numFmtId="165" fontId="6" fillId="0" borderId="0" xfId="1" applyNumberFormat="1" applyFont="1" applyAlignment="1" applyProtection="1">
      <alignment horizontal="right"/>
      <protection locked="0"/>
    </xf>
    <xf numFmtId="165" fontId="10" fillId="0" borderId="0" xfId="1" applyNumberFormat="1" applyFont="1" applyFill="1" applyProtection="1">
      <protection locked="0"/>
    </xf>
    <xf numFmtId="165" fontId="9" fillId="0" borderId="0" xfId="1" applyNumberFormat="1" applyFont="1" applyFill="1" applyProtection="1">
      <protection locked="0"/>
    </xf>
    <xf numFmtId="165" fontId="2" fillId="0" borderId="0" xfId="1" applyNumberFormat="1" applyFont="1" applyFill="1" applyBorder="1" applyProtection="1">
      <protection locked="0"/>
    </xf>
    <xf numFmtId="165" fontId="5" fillId="0" borderId="2" xfId="1" applyNumberFormat="1" applyFont="1" applyBorder="1" applyProtection="1"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65" fontId="7" fillId="0" borderId="2" xfId="1" applyNumberFormat="1" applyFont="1" applyFill="1" applyBorder="1" applyProtection="1">
      <protection locked="0"/>
    </xf>
    <xf numFmtId="165" fontId="2" fillId="0" borderId="0" xfId="1" applyNumberFormat="1" applyFont="1" applyBorder="1" applyAlignment="1" applyProtection="1">
      <alignment horizontal="center"/>
      <protection locked="0"/>
    </xf>
    <xf numFmtId="167" fontId="10" fillId="0" borderId="0" xfId="2" applyNumberFormat="1" applyFont="1" applyFill="1" applyBorder="1" applyProtection="1">
      <protection locked="0"/>
    </xf>
    <xf numFmtId="167" fontId="9" fillId="0" borderId="0" xfId="2" applyNumberFormat="1" applyFont="1" applyFill="1" applyBorder="1" applyProtection="1">
      <protection locked="0"/>
    </xf>
    <xf numFmtId="165" fontId="10" fillId="0" borderId="0" xfId="1" applyNumberFormat="1" applyFont="1" applyFill="1" applyBorder="1" applyProtection="1">
      <protection locked="0"/>
    </xf>
    <xf numFmtId="165" fontId="6" fillId="0" borderId="0" xfId="1" applyNumberFormat="1" applyFont="1" applyBorder="1" applyProtection="1">
      <protection locked="0"/>
    </xf>
    <xf numFmtId="165" fontId="6" fillId="0" borderId="0" xfId="1" applyNumberFormat="1" applyFont="1" applyBorder="1" applyAlignment="1" applyProtection="1">
      <alignment horizontal="center"/>
      <protection locked="0"/>
    </xf>
    <xf numFmtId="9" fontId="9" fillId="0" borderId="0" xfId="2" applyFont="1" applyFill="1" applyAlignment="1" applyProtection="1">
      <alignment horizontal="center"/>
      <protection locked="0"/>
    </xf>
    <xf numFmtId="165" fontId="5" fillId="0" borderId="0" xfId="1" applyNumberFormat="1" applyFont="1" applyBorder="1" applyProtection="1">
      <protection locked="0"/>
    </xf>
    <xf numFmtId="165" fontId="8" fillId="0" borderId="0" xfId="1" applyNumberFormat="1" applyFont="1" applyBorder="1" applyProtection="1">
      <protection locked="0"/>
    </xf>
    <xf numFmtId="165" fontId="7" fillId="0" borderId="0" xfId="1" applyNumberFormat="1" applyFont="1" applyBorder="1" applyProtection="1">
      <protection locked="0"/>
    </xf>
    <xf numFmtId="165" fontId="5" fillId="0" borderId="0" xfId="1" applyNumberFormat="1" applyFont="1" applyAlignment="1" applyProtection="1">
      <alignment horizontal="center"/>
      <protection locked="0"/>
    </xf>
    <xf numFmtId="165" fontId="8" fillId="0" borderId="0" xfId="1" applyNumberFormat="1" applyFont="1" applyProtection="1">
      <protection locked="0"/>
    </xf>
    <xf numFmtId="165" fontId="9" fillId="0" borderId="0" xfId="1" applyNumberFormat="1" applyFont="1" applyBorder="1" applyProtection="1">
      <protection locked="0"/>
    </xf>
    <xf numFmtId="165" fontId="7" fillId="0" borderId="2" xfId="1" applyNumberFormat="1" applyFont="1" applyBorder="1" applyProtection="1">
      <protection locked="0"/>
    </xf>
    <xf numFmtId="9" fontId="8" fillId="0" borderId="0" xfId="2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2" fillId="0" borderId="1" xfId="1" applyNumberFormat="1" applyFont="1" applyBorder="1" applyAlignment="1" applyProtection="1">
      <alignment horizontal="center"/>
      <protection locked="0"/>
    </xf>
    <xf numFmtId="165" fontId="9" fillId="0" borderId="1" xfId="1" applyNumberFormat="1" applyFont="1" applyBorder="1" applyProtection="1">
      <protection locked="0"/>
    </xf>
    <xf numFmtId="165" fontId="10" fillId="0" borderId="1" xfId="1" applyNumberFormat="1" applyFont="1" applyBorder="1" applyProtection="1">
      <protection locked="0"/>
    </xf>
    <xf numFmtId="169" fontId="2" fillId="0" borderId="0" xfId="1" applyNumberFormat="1" applyFont="1" applyFill="1" applyProtection="1">
      <protection locked="0"/>
    </xf>
    <xf numFmtId="165" fontId="5" fillId="0" borderId="4" xfId="1" applyNumberFormat="1" applyFont="1" applyBorder="1" applyProtection="1">
      <protection locked="0"/>
    </xf>
    <xf numFmtId="165" fontId="5" fillId="0" borderId="4" xfId="1" applyNumberFormat="1" applyFont="1" applyBorder="1" applyAlignment="1" applyProtection="1">
      <alignment horizontal="center"/>
      <protection locked="0"/>
    </xf>
    <xf numFmtId="165" fontId="7" fillId="0" borderId="4" xfId="1" applyNumberFormat="1" applyFont="1" applyBorder="1" applyProtection="1">
      <protection locked="0"/>
    </xf>
    <xf numFmtId="0" fontId="0" fillId="0" borderId="0" xfId="0" applyProtection="1">
      <protection locked="0"/>
    </xf>
    <xf numFmtId="168" fontId="2" fillId="0" borderId="0" xfId="1" applyNumberFormat="1" applyFont="1" applyProtection="1">
      <protection locked="0"/>
    </xf>
    <xf numFmtId="165" fontId="5" fillId="0" borderId="3" xfId="1" applyNumberFormat="1" applyFont="1" applyBorder="1" applyProtection="1">
      <protection locked="0"/>
    </xf>
    <xf numFmtId="165" fontId="5" fillId="0" borderId="3" xfId="1" applyNumberFormat="1" applyFont="1" applyBorder="1" applyAlignment="1" applyProtection="1">
      <alignment horizontal="center"/>
      <protection locked="0"/>
    </xf>
    <xf numFmtId="165" fontId="7" fillId="0" borderId="3" xfId="1" applyNumberFormat="1" applyFont="1" applyBorder="1" applyProtection="1">
      <protection locked="0"/>
    </xf>
    <xf numFmtId="165" fontId="6" fillId="0" borderId="0" xfId="1" applyNumberFormat="1" applyFont="1" applyProtection="1">
      <protection locked="0"/>
    </xf>
    <xf numFmtId="166" fontId="6" fillId="0" borderId="0" xfId="1" applyNumberFormat="1" applyFont="1" applyProtection="1">
      <protection locked="0"/>
    </xf>
    <xf numFmtId="166" fontId="6" fillId="0" borderId="0" xfId="1" applyNumberFormat="1" applyFont="1" applyAlignment="1" applyProtection="1">
      <alignment horizontal="center"/>
      <protection locked="0"/>
    </xf>
    <xf numFmtId="165" fontId="2" fillId="0" borderId="2" xfId="1" applyNumberFormat="1" applyFont="1" applyBorder="1" applyAlignment="1" applyProtection="1">
      <alignment horizontal="center"/>
      <protection locked="0"/>
    </xf>
    <xf numFmtId="165" fontId="10" fillId="0" borderId="0" xfId="1" applyNumberFormat="1" applyFont="1" applyBorder="1" applyProtection="1">
      <protection locked="0"/>
    </xf>
    <xf numFmtId="165" fontId="10" fillId="0" borderId="2" xfId="1" applyNumberFormat="1" applyFont="1" applyBorder="1" applyProtection="1">
      <protection locked="0"/>
    </xf>
    <xf numFmtId="165" fontId="9" fillId="0" borderId="2" xfId="1" applyNumberFormat="1" applyFont="1" applyBorder="1" applyProtection="1">
      <protection locked="0"/>
    </xf>
    <xf numFmtId="9" fontId="9" fillId="0" borderId="0" xfId="2" applyFont="1" applyAlignment="1" applyProtection="1">
      <alignment horizontal="right"/>
      <protection locked="0"/>
    </xf>
    <xf numFmtId="170" fontId="9" fillId="0" borderId="0" xfId="1" applyNumberFormat="1" applyFont="1" applyAlignment="1" applyProtection="1">
      <alignment horizontal="right"/>
      <protection locked="0"/>
    </xf>
    <xf numFmtId="14" fontId="9" fillId="0" borderId="0" xfId="1" applyNumberFormat="1" applyFont="1" applyProtection="1">
      <protection locked="0"/>
    </xf>
    <xf numFmtId="43" fontId="9" fillId="0" borderId="0" xfId="1" applyFont="1" applyAlignment="1" applyProtection="1">
      <alignment horizontal="right"/>
      <protection locked="0"/>
    </xf>
    <xf numFmtId="168" fontId="9" fillId="0" borderId="0" xfId="1" applyNumberFormat="1" applyFont="1" applyAlignment="1" applyProtection="1">
      <alignment horizontal="right"/>
      <protection locked="0"/>
    </xf>
    <xf numFmtId="14" fontId="6" fillId="0" borderId="2" xfId="1" applyNumberFormat="1" applyFont="1" applyBorder="1" applyProtection="1">
      <protection locked="0"/>
    </xf>
    <xf numFmtId="165" fontId="2" fillId="3" borderId="2" xfId="1" applyNumberFormat="1" applyFont="1" applyFill="1" applyBorder="1" applyProtection="1">
      <protection locked="0"/>
    </xf>
    <xf numFmtId="169" fontId="2" fillId="0" borderId="2" xfId="1" applyNumberFormat="1" applyFont="1" applyBorder="1" applyProtection="1">
      <protection locked="0"/>
    </xf>
    <xf numFmtId="9" fontId="2" fillId="0" borderId="2" xfId="2" applyFont="1" applyBorder="1" applyProtection="1">
      <protection locked="0"/>
    </xf>
    <xf numFmtId="43" fontId="2" fillId="0" borderId="2" xfId="2" applyNumberFormat="1" applyFont="1" applyBorder="1" applyProtection="1">
      <protection locked="0"/>
    </xf>
    <xf numFmtId="43" fontId="2" fillId="0" borderId="0" xfId="1" applyFont="1" applyProtection="1">
      <protection locked="0"/>
    </xf>
    <xf numFmtId="171" fontId="5" fillId="0" borderId="0" xfId="1" applyNumberFormat="1" applyFont="1" applyProtection="1">
      <protection locked="0"/>
    </xf>
    <xf numFmtId="165" fontId="2" fillId="0" borderId="0" xfId="1" applyNumberFormat="1" applyFont="1" applyProtection="1"/>
    <xf numFmtId="165" fontId="10" fillId="0" borderId="2" xfId="1" applyNumberFormat="1" applyFont="1" applyBorder="1" applyProtection="1"/>
    <xf numFmtId="169" fontId="2" fillId="0" borderId="0" xfId="1" applyNumberFormat="1" applyFont="1" applyProtection="1"/>
    <xf numFmtId="164" fontId="2" fillId="0" borderId="0" xfId="1" applyNumberFormat="1" applyFont="1" applyProtection="1"/>
    <xf numFmtId="165" fontId="10" fillId="0" borderId="0" xfId="1" applyNumberFormat="1" applyFont="1" applyFill="1" applyProtection="1"/>
    <xf numFmtId="165" fontId="2" fillId="0" borderId="2" xfId="1" applyNumberFormat="1" applyFont="1" applyBorder="1" applyProtection="1"/>
    <xf numFmtId="173" fontId="6" fillId="0" borderId="0" xfId="1" applyNumberFormat="1" applyFont="1" applyProtection="1">
      <protection locked="0"/>
    </xf>
    <xf numFmtId="37" fontId="4" fillId="6" borderId="0" xfId="0" applyNumberFormat="1" applyFont="1" applyFill="1" applyAlignment="1">
      <alignment vertical="center"/>
    </xf>
    <xf numFmtId="0" fontId="20" fillId="0" borderId="2" xfId="0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Protection="1">
      <protection locked="0"/>
    </xf>
    <xf numFmtId="10" fontId="10" fillId="0" borderId="0" xfId="2" applyNumberFormat="1" applyFont="1" applyFill="1" applyProtection="1">
      <protection locked="0"/>
    </xf>
    <xf numFmtId="165" fontId="21" fillId="0" borderId="0" xfId="1" applyNumberFormat="1" applyFont="1" applyProtection="1">
      <protection locked="0"/>
    </xf>
    <xf numFmtId="10" fontId="9" fillId="0" borderId="0" xfId="2" applyNumberFormat="1" applyFont="1" applyFill="1" applyProtection="1">
      <protection locked="0"/>
    </xf>
    <xf numFmtId="10" fontId="7" fillId="0" borderId="2" xfId="2" applyNumberFormat="1" applyFont="1" applyFill="1" applyBorder="1" applyProtection="1">
      <protection locked="0"/>
    </xf>
    <xf numFmtId="43" fontId="10" fillId="0" borderId="0" xfId="1" applyFont="1" applyFill="1" applyBorder="1" applyProtection="1">
      <protection locked="0"/>
    </xf>
    <xf numFmtId="43" fontId="9" fillId="0" borderId="0" xfId="1" applyFont="1" applyFill="1" applyProtection="1">
      <protection locked="0"/>
    </xf>
    <xf numFmtId="43" fontId="10" fillId="0" borderId="0" xfId="1" applyFont="1" applyFill="1" applyProtection="1">
      <protection locked="0"/>
    </xf>
    <xf numFmtId="43" fontId="6" fillId="0" borderId="0" xfId="1" applyFont="1" applyBorder="1" applyProtection="1">
      <protection locked="0"/>
    </xf>
    <xf numFmtId="165" fontId="27" fillId="0" borderId="0" xfId="1" applyNumberFormat="1" applyFont="1" applyAlignment="1" applyProtection="1">
      <alignment horizontal="right"/>
      <protection locked="0"/>
    </xf>
    <xf numFmtId="37" fontId="6" fillId="2" borderId="17" xfId="1" applyNumberFormat="1" applyFont="1" applyFill="1" applyBorder="1" applyAlignment="1" applyProtection="1">
      <alignment horizontal="right"/>
      <protection locked="0"/>
    </xf>
    <xf numFmtId="43" fontId="6" fillId="2" borderId="17" xfId="1" applyFont="1" applyFill="1" applyBorder="1" applyAlignment="1" applyProtection="1">
      <alignment horizontal="right"/>
      <protection locked="0"/>
    </xf>
    <xf numFmtId="10" fontId="10" fillId="0" borderId="0" xfId="2" applyNumberFormat="1" applyFont="1" applyProtection="1">
      <protection locked="0"/>
    </xf>
    <xf numFmtId="10" fontId="6" fillId="2" borderId="17" xfId="2" applyNumberFormat="1" applyFont="1" applyFill="1" applyBorder="1" applyAlignment="1" applyProtection="1">
      <alignment horizontal="right"/>
      <protection locked="0"/>
    </xf>
    <xf numFmtId="10" fontId="9" fillId="0" borderId="0" xfId="2" applyNumberFormat="1" applyFont="1" applyAlignment="1" applyProtection="1">
      <alignment horizontal="right"/>
      <protection locked="0"/>
    </xf>
    <xf numFmtId="10" fontId="8" fillId="0" borderId="6" xfId="2" applyNumberFormat="1" applyFont="1" applyBorder="1" applyAlignment="1" applyProtection="1">
      <alignment horizontal="center"/>
      <protection locked="0"/>
    </xf>
    <xf numFmtId="10" fontId="7" fillId="0" borderId="6" xfId="2" applyNumberFormat="1" applyFont="1" applyBorder="1" applyAlignment="1" applyProtection="1">
      <alignment horizontal="center"/>
      <protection locked="0"/>
    </xf>
    <xf numFmtId="165" fontId="28" fillId="0" borderId="0" xfId="1" applyNumberFormat="1" applyFont="1" applyProtection="1">
      <protection locked="0"/>
    </xf>
    <xf numFmtId="10" fontId="8" fillId="0" borderId="0" xfId="2" applyNumberFormat="1" applyFont="1" applyBorder="1" applyProtection="1">
      <protection locked="0"/>
    </xf>
    <xf numFmtId="37" fontId="4" fillId="0" borderId="0" xfId="0" applyNumberFormat="1" applyFont="1" applyFill="1" applyAlignment="1">
      <alignment vertical="center"/>
    </xf>
    <xf numFmtId="0" fontId="0" fillId="7" borderId="0" xfId="0" applyFill="1" applyProtection="1">
      <protection locked="0"/>
    </xf>
    <xf numFmtId="0" fontId="0" fillId="7" borderId="0" xfId="0" applyFill="1" applyProtection="1"/>
    <xf numFmtId="0" fontId="0" fillId="0" borderId="0" xfId="0" applyBorder="1" applyProtection="1">
      <protection locked="0"/>
    </xf>
    <xf numFmtId="14" fontId="0" fillId="0" borderId="0" xfId="0" applyNumberFormat="1" applyProtection="1">
      <protection locked="0"/>
    </xf>
    <xf numFmtId="0" fontId="23" fillId="0" borderId="0" xfId="0" applyFont="1" applyFill="1" applyBorder="1" applyAlignment="1" applyProtection="1">
      <alignment horizontal="centerContinuous"/>
      <protection locked="0"/>
    </xf>
    <xf numFmtId="0" fontId="0" fillId="0" borderId="0" xfId="0" applyFill="1" applyBorder="1" applyAlignment="1" applyProtection="1"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29" fillId="7" borderId="0" xfId="0" applyFont="1" applyFill="1" applyProtection="1"/>
    <xf numFmtId="167" fontId="10" fillId="0" borderId="2" xfId="2" applyNumberFormat="1" applyFont="1" applyBorder="1" applyAlignment="1" applyProtection="1">
      <alignment horizontal="right"/>
      <protection locked="0"/>
    </xf>
    <xf numFmtId="167" fontId="8" fillId="0" borderId="3" xfId="2" applyNumberFormat="1" applyFont="1" applyBorder="1" applyProtection="1">
      <protection locked="0"/>
    </xf>
    <xf numFmtId="170" fontId="2" fillId="0" borderId="0" xfId="1" applyNumberFormat="1" applyFont="1" applyProtection="1">
      <protection locked="0"/>
    </xf>
    <xf numFmtId="170" fontId="2" fillId="8" borderId="0" xfId="1" applyNumberFormat="1" applyFont="1" applyFill="1" applyAlignment="1" applyProtection="1">
      <alignment horizontal="center"/>
      <protection locked="0"/>
    </xf>
    <xf numFmtId="165" fontId="2" fillId="8" borderId="0" xfId="1" applyNumberFormat="1" applyFont="1" applyFill="1" applyProtection="1">
      <protection locked="0"/>
    </xf>
    <xf numFmtId="165" fontId="2" fillId="9" borderId="0" xfId="1" applyNumberFormat="1" applyFont="1" applyFill="1" applyProtection="1">
      <protection locked="0"/>
    </xf>
    <xf numFmtId="165" fontId="5" fillId="9" borderId="0" xfId="1" applyNumberFormat="1" applyFont="1" applyFill="1" applyProtection="1">
      <protection locked="0"/>
    </xf>
    <xf numFmtId="165" fontId="13" fillId="8" borderId="0" xfId="1" applyNumberFormat="1" applyFont="1" applyFill="1" applyProtection="1">
      <protection locked="0"/>
    </xf>
    <xf numFmtId="170" fontId="2" fillId="0" borderId="0" xfId="1" applyNumberFormat="1" applyFont="1" applyAlignment="1" applyProtection="1">
      <alignment horizontal="center"/>
      <protection locked="0"/>
    </xf>
    <xf numFmtId="165" fontId="13" fillId="8" borderId="0" xfId="1" applyNumberFormat="1" applyFont="1" applyFill="1" applyAlignment="1" applyProtection="1">
      <alignment horizontal="center"/>
      <protection locked="0"/>
    </xf>
    <xf numFmtId="170" fontId="2" fillId="9" borderId="0" xfId="1" applyNumberFormat="1" applyFont="1" applyFill="1" applyProtection="1">
      <protection locked="0"/>
    </xf>
    <xf numFmtId="37" fontId="4" fillId="8" borderId="0" xfId="0" applyNumberFormat="1" applyFont="1" applyFill="1" applyAlignment="1">
      <alignment vertical="center"/>
    </xf>
    <xf numFmtId="167" fontId="13" fillId="8" borderId="0" xfId="2" applyNumberFormat="1" applyFont="1" applyFill="1" applyBorder="1" applyAlignment="1" applyProtection="1">
      <alignment horizontal="centerContinuous"/>
      <protection locked="0"/>
    </xf>
    <xf numFmtId="167" fontId="13" fillId="8" borderId="0" xfId="2" applyNumberFormat="1" applyFont="1" applyFill="1" applyBorder="1" applyProtection="1">
      <protection locked="0"/>
    </xf>
    <xf numFmtId="165" fontId="11" fillId="8" borderId="0" xfId="1" applyNumberFormat="1" applyFont="1" applyFill="1" applyBorder="1" applyProtection="1">
      <protection locked="0"/>
    </xf>
    <xf numFmtId="9" fontId="13" fillId="8" borderId="0" xfId="2" quotePrefix="1" applyFont="1" applyFill="1" applyBorder="1" applyAlignment="1" applyProtection="1">
      <alignment horizontal="center"/>
      <protection locked="0"/>
    </xf>
    <xf numFmtId="165" fontId="13" fillId="8" borderId="0" xfId="1" applyNumberFormat="1" applyFont="1" applyFill="1" applyBorder="1" applyAlignment="1" applyProtection="1">
      <alignment horizontal="center"/>
      <protection locked="0"/>
    </xf>
    <xf numFmtId="165" fontId="13" fillId="8" borderId="0" xfId="1" applyNumberFormat="1" applyFont="1" applyFill="1" applyBorder="1" applyAlignment="1" applyProtection="1">
      <alignment horizontal="right"/>
      <protection locked="0"/>
    </xf>
    <xf numFmtId="167" fontId="13" fillId="8" borderId="0" xfId="2" applyNumberFormat="1" applyFont="1" applyFill="1" applyBorder="1" applyAlignment="1" applyProtection="1">
      <alignment horizontal="right"/>
      <protection locked="0"/>
    </xf>
    <xf numFmtId="0" fontId="13" fillId="8" borderId="0" xfId="0" applyFont="1" applyFill="1" applyBorder="1" applyAlignment="1" applyProtection="1">
      <alignment horizontal="left"/>
      <protection locked="0"/>
    </xf>
    <xf numFmtId="0" fontId="11" fillId="8" borderId="0" xfId="0" applyFont="1" applyFill="1" applyBorder="1" applyAlignment="1" applyProtection="1">
      <alignment horizontal="left"/>
      <protection locked="0"/>
    </xf>
    <xf numFmtId="0" fontId="13" fillId="8" borderId="0" xfId="0" applyFont="1" applyFill="1" applyBorder="1" applyAlignment="1" applyProtection="1">
      <alignment horizontal="right"/>
      <protection locked="0"/>
    </xf>
    <xf numFmtId="165" fontId="13" fillId="8" borderId="0" xfId="1" applyNumberFormat="1" applyFont="1" applyFill="1" applyBorder="1" applyProtection="1">
      <protection locked="0"/>
    </xf>
    <xf numFmtId="0" fontId="13" fillId="8" borderId="0" xfId="0" applyFont="1" applyFill="1" applyBorder="1" applyProtection="1">
      <protection locked="0"/>
    </xf>
    <xf numFmtId="0" fontId="11" fillId="8" borderId="0" xfId="0" applyFont="1" applyFill="1" applyBorder="1" applyProtection="1">
      <protection locked="0"/>
    </xf>
    <xf numFmtId="171" fontId="5" fillId="10" borderId="0" xfId="1" applyNumberFormat="1" applyFont="1" applyFill="1" applyProtection="1">
      <protection locked="0"/>
    </xf>
    <xf numFmtId="165" fontId="7" fillId="10" borderId="0" xfId="1" applyNumberFormat="1" applyFont="1" applyFill="1" applyProtection="1">
      <protection locked="0"/>
    </xf>
    <xf numFmtId="165" fontId="9" fillId="10" borderId="0" xfId="1" applyNumberFormat="1" applyFont="1" applyFill="1" applyProtection="1">
      <protection locked="0"/>
    </xf>
    <xf numFmtId="165" fontId="5" fillId="10" borderId="0" xfId="1" applyNumberFormat="1" applyFont="1" applyFill="1" applyProtection="1">
      <protection locked="0"/>
    </xf>
    <xf numFmtId="165" fontId="2" fillId="10" borderId="0" xfId="1" applyNumberFormat="1" applyFont="1" applyFill="1" applyProtection="1">
      <protection locked="0"/>
    </xf>
    <xf numFmtId="165" fontId="5" fillId="10" borderId="0" xfId="1" applyNumberFormat="1" applyFont="1" applyFill="1" applyAlignment="1" applyProtection="1">
      <alignment horizontal="right"/>
      <protection locked="0"/>
    </xf>
    <xf numFmtId="0" fontId="5" fillId="10" borderId="0" xfId="1" applyNumberFormat="1" applyFont="1" applyFill="1" applyProtection="1">
      <protection locked="0"/>
    </xf>
    <xf numFmtId="165" fontId="2" fillId="10" borderId="0" xfId="1" applyNumberFormat="1" applyFont="1" applyFill="1" applyBorder="1" applyProtection="1">
      <protection locked="0"/>
    </xf>
    <xf numFmtId="165" fontId="5" fillId="11" borderId="0" xfId="1" applyNumberFormat="1" applyFont="1" applyFill="1" applyProtection="1">
      <protection locked="0"/>
    </xf>
    <xf numFmtId="165" fontId="2" fillId="11" borderId="0" xfId="1" applyNumberFormat="1" applyFont="1" applyFill="1" applyBorder="1" applyProtection="1">
      <protection locked="0"/>
    </xf>
    <xf numFmtId="165" fontId="2" fillId="11" borderId="0" xfId="1" applyNumberFormat="1" applyFont="1" applyFill="1" applyBorder="1" applyAlignment="1" applyProtection="1">
      <alignment horizontal="center"/>
      <protection locked="0"/>
    </xf>
    <xf numFmtId="9" fontId="5" fillId="11" borderId="0" xfId="2" applyFont="1" applyFill="1" applyBorder="1" applyProtection="1">
      <protection locked="0"/>
    </xf>
    <xf numFmtId="10" fontId="2" fillId="11" borderId="0" xfId="2" applyNumberFormat="1" applyFont="1" applyFill="1" applyBorder="1" applyProtection="1">
      <protection locked="0"/>
    </xf>
    <xf numFmtId="165" fontId="2" fillId="11" borderId="0" xfId="1" applyNumberFormat="1" applyFont="1" applyFill="1" applyProtection="1">
      <protection locked="0"/>
    </xf>
    <xf numFmtId="165" fontId="2" fillId="11" borderId="0" xfId="1" applyNumberFormat="1" applyFont="1" applyFill="1" applyAlignment="1" applyProtection="1">
      <alignment horizontal="center"/>
      <protection locked="0"/>
    </xf>
    <xf numFmtId="165" fontId="10" fillId="11" borderId="0" xfId="1" applyNumberFormat="1" applyFont="1" applyFill="1" applyProtection="1">
      <protection locked="0"/>
    </xf>
    <xf numFmtId="165" fontId="9" fillId="11" borderId="0" xfId="1" applyNumberFormat="1" applyFont="1" applyFill="1" applyProtection="1">
      <protection locked="0"/>
    </xf>
    <xf numFmtId="165" fontId="12" fillId="8" borderId="0" xfId="1" applyNumberFormat="1" applyFont="1" applyFill="1" applyProtection="1"/>
    <xf numFmtId="165" fontId="2" fillId="8" borderId="0" xfId="1" applyNumberFormat="1" applyFont="1" applyFill="1" applyProtection="1"/>
    <xf numFmtId="165" fontId="2" fillId="8" borderId="0" xfId="1" applyNumberFormat="1" applyFont="1" applyFill="1" applyAlignment="1" applyProtection="1">
      <alignment horizontal="center"/>
      <protection locked="0"/>
    </xf>
    <xf numFmtId="165" fontId="14" fillId="8" borderId="0" xfId="1" applyNumberFormat="1" applyFont="1" applyFill="1" applyAlignment="1" applyProtection="1">
      <protection locked="0"/>
    </xf>
    <xf numFmtId="165" fontId="4" fillId="8" borderId="0" xfId="1" applyNumberFormat="1" applyFont="1" applyFill="1" applyAlignment="1" applyProtection="1">
      <protection locked="0"/>
    </xf>
    <xf numFmtId="165" fontId="17" fillId="8" borderId="0" xfId="3" applyNumberFormat="1" applyFont="1" applyFill="1" applyAlignment="1" applyProtection="1">
      <alignment horizontal="left"/>
      <protection locked="0"/>
    </xf>
    <xf numFmtId="165" fontId="17" fillId="8" borderId="0" xfId="3" applyNumberFormat="1" applyFont="1" applyFill="1" applyAlignment="1" applyProtection="1">
      <alignment horizontal="left"/>
    </xf>
    <xf numFmtId="165" fontId="13" fillId="8" borderId="0" xfId="1" applyNumberFormat="1" applyFont="1" applyFill="1" applyAlignment="1" applyProtection="1">
      <alignment horizontal="centerContinuous"/>
      <protection locked="0"/>
    </xf>
    <xf numFmtId="165" fontId="11" fillId="8" borderId="0" xfId="1" applyNumberFormat="1" applyFont="1" applyFill="1" applyAlignment="1" applyProtection="1">
      <alignment horizontal="centerContinuous"/>
      <protection locked="0"/>
    </xf>
    <xf numFmtId="0" fontId="4" fillId="8" borderId="0" xfId="1" applyNumberFormat="1" applyFont="1" applyFill="1" applyAlignment="1" applyProtection="1">
      <protection locked="0"/>
    </xf>
    <xf numFmtId="165" fontId="31" fillId="11" borderId="0" xfId="1" applyNumberFormat="1" applyFont="1" applyFill="1" applyAlignment="1" applyProtection="1">
      <alignment horizontal="centerContinuous"/>
      <protection locked="0"/>
    </xf>
    <xf numFmtId="165" fontId="32" fillId="11" borderId="0" xfId="1" applyNumberFormat="1" applyFont="1" applyFill="1" applyAlignment="1" applyProtection="1">
      <alignment horizontal="centerContinuous"/>
      <protection locked="0"/>
    </xf>
    <xf numFmtId="0" fontId="33" fillId="11" borderId="0" xfId="1" applyNumberFormat="1" applyFont="1" applyFill="1" applyAlignment="1" applyProtection="1">
      <protection locked="0"/>
    </xf>
    <xf numFmtId="0" fontId="0" fillId="11" borderId="0" xfId="0" applyFill="1" applyProtection="1">
      <protection locked="0"/>
    </xf>
    <xf numFmtId="0" fontId="34" fillId="11" borderId="0" xfId="0" applyFont="1" applyFill="1" applyProtection="1"/>
    <xf numFmtId="0" fontId="30" fillId="11" borderId="0" xfId="0" applyFont="1" applyFill="1" applyProtection="1"/>
    <xf numFmtId="0" fontId="30" fillId="11" borderId="0" xfId="0" applyFont="1" applyFill="1" applyProtection="1">
      <protection locked="0"/>
    </xf>
    <xf numFmtId="0" fontId="22" fillId="8" borderId="0" xfId="0" applyFont="1" applyFill="1" applyProtection="1">
      <protection locked="0"/>
    </xf>
    <xf numFmtId="0" fontId="19" fillId="8" borderId="0" xfId="0" applyFont="1" applyFill="1" applyProtection="1">
      <protection locked="0"/>
    </xf>
    <xf numFmtId="0" fontId="30" fillId="11" borderId="11" xfId="0" applyFont="1" applyFill="1" applyBorder="1" applyProtection="1">
      <protection locked="0"/>
    </xf>
    <xf numFmtId="10" fontId="30" fillId="11" borderId="12" xfId="0" applyNumberFormat="1" applyFont="1" applyFill="1" applyBorder="1" applyProtection="1">
      <protection locked="0"/>
    </xf>
    <xf numFmtId="0" fontId="30" fillId="11" borderId="13" xfId="0" applyFont="1" applyFill="1" applyBorder="1" applyProtection="1">
      <protection locked="0"/>
    </xf>
    <xf numFmtId="10" fontId="30" fillId="11" borderId="14" xfId="2" applyNumberFormat="1" applyFont="1" applyFill="1" applyBorder="1" applyProtection="1">
      <protection locked="0"/>
    </xf>
    <xf numFmtId="0" fontId="25" fillId="11" borderId="0" xfId="0" applyFont="1" applyFill="1" applyProtection="1">
      <protection locked="0"/>
    </xf>
    <xf numFmtId="0" fontId="24" fillId="11" borderId="0" xfId="0" applyFont="1" applyFill="1" applyProtection="1">
      <protection locked="0"/>
    </xf>
    <xf numFmtId="0" fontId="23" fillId="11" borderId="16" xfId="0" applyFont="1" applyFill="1" applyBorder="1" applyAlignment="1" applyProtection="1">
      <alignment horizontal="centerContinuous"/>
      <protection locked="0"/>
    </xf>
    <xf numFmtId="0" fontId="0" fillId="11" borderId="0" xfId="0" applyFill="1" applyBorder="1" applyAlignment="1" applyProtection="1">
      <protection locked="0"/>
    </xf>
    <xf numFmtId="0" fontId="0" fillId="11" borderId="15" xfId="0" applyFill="1" applyBorder="1" applyAlignment="1" applyProtection="1">
      <protection locked="0"/>
    </xf>
    <xf numFmtId="0" fontId="23" fillId="11" borderId="16" xfId="0" applyFont="1" applyFill="1" applyBorder="1" applyAlignment="1" applyProtection="1">
      <alignment horizontal="center"/>
      <protection locked="0"/>
    </xf>
    <xf numFmtId="0" fontId="22" fillId="8" borderId="15" xfId="0" applyFont="1" applyFill="1" applyBorder="1" applyAlignment="1" applyProtection="1">
      <protection locked="0"/>
    </xf>
    <xf numFmtId="170" fontId="2" fillId="12" borderId="0" xfId="1" applyNumberFormat="1" applyFont="1" applyFill="1" applyProtection="1">
      <protection locked="0"/>
    </xf>
    <xf numFmtId="167" fontId="2" fillId="12" borderId="0" xfId="2" applyNumberFormat="1" applyFont="1" applyFill="1" applyProtection="1">
      <protection locked="0"/>
    </xf>
    <xf numFmtId="165" fontId="2" fillId="12" borderId="0" xfId="1" applyNumberFormat="1" applyFont="1" applyFill="1" applyProtection="1">
      <protection locked="0"/>
    </xf>
    <xf numFmtId="170" fontId="2" fillId="12" borderId="0" xfId="1" applyNumberFormat="1" applyFont="1" applyFill="1" applyAlignment="1" applyProtection="1">
      <alignment horizontal="center"/>
      <protection locked="0"/>
    </xf>
    <xf numFmtId="165" fontId="26" fillId="0" borderId="0" xfId="8" applyNumberFormat="1" applyProtection="1">
      <protection locked="0"/>
    </xf>
    <xf numFmtId="10" fontId="2" fillId="0" borderId="0" xfId="2" applyNumberFormat="1" applyFont="1" applyProtection="1">
      <protection locked="0"/>
    </xf>
    <xf numFmtId="0" fontId="0" fillId="13" borderId="0" xfId="0" applyFill="1" applyProtection="1">
      <protection locked="0"/>
    </xf>
    <xf numFmtId="0" fontId="19" fillId="13" borderId="0" xfId="0" applyFont="1" applyFill="1" applyProtection="1">
      <protection locked="0"/>
    </xf>
    <xf numFmtId="0" fontId="35" fillId="13" borderId="0" xfId="8" applyFont="1" applyFill="1" applyProtection="1">
      <protection locked="0"/>
    </xf>
    <xf numFmtId="0" fontId="22" fillId="13" borderId="0" xfId="0" applyFont="1" applyFill="1" applyProtection="1">
      <protection locked="0"/>
    </xf>
    <xf numFmtId="0" fontId="0" fillId="13" borderId="7" xfId="0" applyFill="1" applyBorder="1" applyProtection="1">
      <protection locked="0"/>
    </xf>
    <xf numFmtId="0" fontId="0" fillId="13" borderId="8" xfId="0" applyFill="1" applyBorder="1" applyProtection="1">
      <protection locked="0"/>
    </xf>
    <xf numFmtId="0" fontId="0" fillId="13" borderId="9" xfId="0" applyFill="1" applyBorder="1" applyProtection="1">
      <protection locked="0"/>
    </xf>
    <xf numFmtId="10" fontId="0" fillId="13" borderId="10" xfId="0" applyNumberFormat="1" applyFill="1" applyBorder="1" applyProtection="1">
      <protection locked="0"/>
    </xf>
    <xf numFmtId="43" fontId="0" fillId="13" borderId="10" xfId="1" applyNumberFormat="1" applyFont="1" applyFill="1" applyBorder="1" applyProtection="1">
      <protection locked="0"/>
    </xf>
    <xf numFmtId="168" fontId="0" fillId="13" borderId="8" xfId="1" applyNumberFormat="1" applyFont="1" applyFill="1" applyBorder="1" applyProtection="1">
      <protection locked="0"/>
    </xf>
    <xf numFmtId="168" fontId="0" fillId="13" borderId="10" xfId="1" applyNumberFormat="1" applyFont="1" applyFill="1" applyBorder="1" applyProtection="1">
      <protection locked="0"/>
    </xf>
    <xf numFmtId="10" fontId="0" fillId="13" borderId="18" xfId="2" applyNumberFormat="1" applyFont="1" applyFill="1" applyBorder="1" applyProtection="1">
      <protection locked="0"/>
    </xf>
    <xf numFmtId="10" fontId="0" fillId="13" borderId="10" xfId="2" applyNumberFormat="1" applyFont="1" applyFill="1" applyBorder="1" applyProtection="1">
      <protection locked="0"/>
    </xf>
    <xf numFmtId="10" fontId="0" fillId="13" borderId="8" xfId="0" applyNumberFormat="1" applyFill="1" applyBorder="1" applyProtection="1">
      <protection locked="0"/>
    </xf>
    <xf numFmtId="170" fontId="4" fillId="8" borderId="0" xfId="1" applyNumberFormat="1" applyFont="1" applyFill="1" applyAlignment="1" applyProtection="1">
      <alignment horizontal="left"/>
      <protection locked="0"/>
    </xf>
  </cellXfs>
  <cellStyles count="9">
    <cellStyle name="Comma" xfId="1" builtinId="3"/>
    <cellStyle name="Comma 2" xfId="3" xr:uid="{00000000-0005-0000-0000-000001000000}"/>
    <cellStyle name="Hyperlink" xfId="8" builtinId="8"/>
    <cellStyle name="Hyperlink 2" xfId="5" xr:uid="{00000000-0005-0000-0000-000003000000}"/>
    <cellStyle name="Hyperlink 2 2" xfId="7" xr:uid="{0F975BCF-F578-45E7-81AA-C7DEE3B06FEB}"/>
    <cellStyle name="Normal" xfId="0" builtinId="0"/>
    <cellStyle name="Normal 2" xfId="4" xr:uid="{00000000-0005-0000-0000-000005000000}"/>
    <cellStyle name="Normal 2 2" xfId="6" xr:uid="{CCEE18E0-94F6-4EAF-92DC-A17006E09DA0}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'DCF &amp; Sensitivity Model'!$J$297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'DCF &amp; Sensitivity Model'!$H$298:$H$301</c:f>
              <c:strCache>
                <c:ptCount val="4"/>
                <c:pt idx="0">
                  <c:v> EV/EBITDA Exit +/-1x </c:v>
                </c:pt>
                <c:pt idx="1">
                  <c:v> Discount Rate +/-1% </c:v>
                </c:pt>
                <c:pt idx="2">
                  <c:v> Revenue Growth +/-5% </c:v>
                </c:pt>
                <c:pt idx="3">
                  <c:v> COGS +/-5% </c:v>
                </c:pt>
              </c:strCache>
            </c:strRef>
          </c:cat>
          <c:val>
            <c:numRef>
              <c:f>'DCF &amp; Sensitivity Model'!$J$298:$J$301</c:f>
              <c:numCache>
                <c:formatCode>0%</c:formatCode>
                <c:ptCount val="4"/>
                <c:pt idx="0">
                  <c:v>6.1262617899872418E-2</c:v>
                </c:pt>
                <c:pt idx="1">
                  <c:v>0.14953976658182366</c:v>
                </c:pt>
                <c:pt idx="2">
                  <c:v>0.27064179791247844</c:v>
                </c:pt>
                <c:pt idx="3">
                  <c:v>0.53958125943785218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6-406A-B80E-37E4CD79C094}"/>
            </c:ext>
          </c:extLst>
        </c:ser>
        <c:ser>
          <c:idx val="1"/>
          <c:order val="1"/>
          <c:tx>
            <c:strRef>
              <c:f>'DCF &amp; Sensitivity Model'!$K$297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'DCF &amp; Sensitivity Model'!$H$298:$H$301</c:f>
              <c:strCache>
                <c:ptCount val="4"/>
                <c:pt idx="0">
                  <c:v> EV/EBITDA Exit +/-1x </c:v>
                </c:pt>
                <c:pt idx="1">
                  <c:v> Discount Rate +/-1% </c:v>
                </c:pt>
                <c:pt idx="2">
                  <c:v> Revenue Growth +/-5% </c:v>
                </c:pt>
                <c:pt idx="3">
                  <c:v> COGS +/-5% </c:v>
                </c:pt>
              </c:strCache>
            </c:strRef>
          </c:cat>
          <c:val>
            <c:numRef>
              <c:f>'DCF &amp; Sensitivity Model'!$K$298:$K$301</c:f>
              <c:numCache>
                <c:formatCode>0%</c:formatCode>
                <c:ptCount val="4"/>
                <c:pt idx="0">
                  <c:v>-6.1262617899872418E-2</c:v>
                </c:pt>
                <c:pt idx="1">
                  <c:v>-0.14953976658182366</c:v>
                </c:pt>
                <c:pt idx="2">
                  <c:v>-0.27064179791247844</c:v>
                </c:pt>
                <c:pt idx="3">
                  <c:v>-0.53958125943785218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6-406A-B80E-37E4CD79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21536944"/>
        <c:axId val="221540080"/>
      </c:barChart>
      <c:catAx>
        <c:axId val="22153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0080"/>
        <c:crosses val="autoZero"/>
        <c:auto val="1"/>
        <c:lblAlgn val="ctr"/>
        <c:lblOffset val="100"/>
        <c:noMultiLvlLbl val="0"/>
      </c:catAx>
      <c:valAx>
        <c:axId val="2215400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304</xdr:row>
      <xdr:rowOff>66675</xdr:rowOff>
    </xdr:from>
    <xdr:to>
      <xdr:col>9</xdr:col>
      <xdr:colOff>762000</xdr:colOff>
      <xdr:row>317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Gouws Consulting and Advisory">
  <a:themeElements>
    <a:clrScheme name="Gouws Consulting">
      <a:dk1>
        <a:sysClr val="windowText" lastClr="000000"/>
      </a:dk1>
      <a:lt1>
        <a:sysClr val="window" lastClr="FFFFFF"/>
      </a:lt1>
      <a:dk2>
        <a:srgbClr val="0265A4"/>
      </a:dk2>
      <a:lt2>
        <a:srgbClr val="3EBBF0"/>
      </a:lt2>
      <a:accent1>
        <a:srgbClr val="0874BB"/>
      </a:accent1>
      <a:accent2>
        <a:srgbClr val="0265A4"/>
      </a:accent2>
      <a:accent3>
        <a:srgbClr val="E4BE21"/>
      </a:accent3>
      <a:accent4>
        <a:srgbClr val="DBDADA"/>
      </a:accent4>
      <a:accent5>
        <a:srgbClr val="5AA2AE"/>
      </a:accent5>
      <a:accent6>
        <a:srgbClr val="FF6600"/>
      </a:accent6>
      <a:hlink>
        <a:srgbClr val="FF6600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tatista.com/statistics/270353/inflation-rate-in-france/" TargetMode="External"/><Relationship Id="rId1" Type="http://schemas.openxmlformats.org/officeDocument/2006/relationships/hyperlink" Target="https://www.statista.com/statistics/263604/gross-domestic-product-gdp-growth-rate-in-france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50"/>
  <sheetViews>
    <sheetView showGridLines="0" tabSelected="1" zoomScaleNormal="100" workbookViewId="0">
      <pane ySplit="4" topLeftCell="A314" activePane="bottomLeft" state="frozen"/>
      <selection pane="bottomLeft" activeCell="P258" sqref="P258"/>
    </sheetView>
  </sheetViews>
  <sheetFormatPr defaultColWidth="9.28515625" defaultRowHeight="15.75" outlineLevelRow="1"/>
  <cols>
    <col min="1" max="1" width="2.28515625" style="9" customWidth="1"/>
    <col min="2" max="2" width="13.5703125" style="9" customWidth="1"/>
    <col min="3" max="3" width="12.42578125" style="9" customWidth="1"/>
    <col min="4" max="4" width="11.28515625" style="11" customWidth="1"/>
    <col min="5" max="14" width="11.7109375" style="9" customWidth="1"/>
    <col min="15" max="16384" width="9.28515625" style="9"/>
  </cols>
  <sheetData>
    <row r="1" spans="1:17" ht="16.5">
      <c r="A1" s="189"/>
      <c r="B1" s="183"/>
      <c r="C1" s="184"/>
      <c r="D1" s="185"/>
      <c r="E1" s="193" t="s">
        <v>53</v>
      </c>
      <c r="F1" s="194"/>
      <c r="G1" s="194"/>
      <c r="H1" s="194"/>
      <c r="I1" s="194"/>
      <c r="J1" s="190" t="s">
        <v>67</v>
      </c>
      <c r="K1" s="191"/>
      <c r="L1" s="191"/>
      <c r="M1" s="191"/>
      <c r="N1" s="191"/>
    </row>
    <row r="2" spans="1:17" ht="21" customHeight="1">
      <c r="A2" s="188"/>
      <c r="B2" s="186" t="s">
        <v>54</v>
      </c>
      <c r="C2" s="187"/>
      <c r="D2" s="188"/>
      <c r="E2" s="195">
        <v>2016</v>
      </c>
      <c r="F2" s="195">
        <f>+E2+1</f>
        <v>2017</v>
      </c>
      <c r="G2" s="195">
        <f t="shared" ref="G2:N2" si="0">+F2+1</f>
        <v>2018</v>
      </c>
      <c r="H2" s="195">
        <f t="shared" si="0"/>
        <v>2019</v>
      </c>
      <c r="I2" s="195">
        <f t="shared" si="0"/>
        <v>2020</v>
      </c>
      <c r="J2" s="192">
        <f t="shared" si="0"/>
        <v>2021</v>
      </c>
      <c r="K2" s="192">
        <f t="shared" si="0"/>
        <v>2022</v>
      </c>
      <c r="L2" s="192">
        <f t="shared" si="0"/>
        <v>2023</v>
      </c>
      <c r="M2" s="192">
        <f t="shared" si="0"/>
        <v>2024</v>
      </c>
      <c r="N2" s="192">
        <f t="shared" si="0"/>
        <v>2025</v>
      </c>
      <c r="O2" s="48"/>
      <c r="P2" s="48"/>
      <c r="Q2" s="48"/>
    </row>
    <row r="3" spans="1:17" ht="16.5" thickBot="1">
      <c r="B3" s="9" t="s">
        <v>68</v>
      </c>
      <c r="E3" s="49" t="str">
        <f t="shared" ref="E3:I3" si="1">IFERROR(IF(ABS(E176)&gt;1,"ERROR","OK"),"OK")</f>
        <v>OK</v>
      </c>
      <c r="F3" s="49" t="str">
        <f t="shared" si="1"/>
        <v>OK</v>
      </c>
      <c r="G3" s="49" t="str">
        <f t="shared" si="1"/>
        <v>OK</v>
      </c>
      <c r="H3" s="49" t="str">
        <f t="shared" si="1"/>
        <v>OK</v>
      </c>
      <c r="I3" s="49" t="str">
        <f t="shared" si="1"/>
        <v>OK</v>
      </c>
      <c r="J3" s="49" t="str">
        <f>IFERROR(IF(ABS(J176)&gt;1,"ERROR","OK"),"OK")</f>
        <v>OK</v>
      </c>
      <c r="K3" s="49" t="str">
        <f t="shared" ref="K3:N3" si="2">IFERROR(IF(ABS(K176)&gt;1,"ERROR","OK"),"OK")</f>
        <v>OK</v>
      </c>
      <c r="L3" s="49" t="str">
        <f t="shared" si="2"/>
        <v>OK</v>
      </c>
      <c r="M3" s="49" t="str">
        <f t="shared" si="2"/>
        <v>OK</v>
      </c>
      <c r="N3" s="49" t="str">
        <f t="shared" si="2"/>
        <v>OK</v>
      </c>
    </row>
    <row r="4" spans="1:17" ht="16.5" thickBot="1">
      <c r="B4" s="49" t="s">
        <v>96</v>
      </c>
      <c r="C4" s="124">
        <f>H273</f>
        <v>55.54</v>
      </c>
      <c r="D4" s="49"/>
      <c r="E4" s="49" t="s">
        <v>227</v>
      </c>
      <c r="F4" s="124">
        <f>D273</f>
        <v>53.018579892798961</v>
      </c>
      <c r="G4" s="49" t="s">
        <v>228</v>
      </c>
      <c r="H4" s="126">
        <f>F4/C4-1</f>
        <v>-4.5398273446183635E-2</v>
      </c>
      <c r="I4" s="49"/>
      <c r="J4" s="49" t="s">
        <v>115</v>
      </c>
      <c r="K4" s="123">
        <v>1</v>
      </c>
      <c r="L4" s="122" t="s">
        <v>224</v>
      </c>
      <c r="M4" s="122" t="s">
        <v>225</v>
      </c>
      <c r="N4" s="122" t="s">
        <v>226</v>
      </c>
    </row>
    <row r="6" spans="1:17" ht="18">
      <c r="B6" s="110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</row>
    <row r="7" spans="1:17" outlineLevel="1">
      <c r="E7" s="50"/>
      <c r="F7" s="50"/>
      <c r="G7" s="50"/>
      <c r="H7" s="50"/>
      <c r="I7" s="50"/>
      <c r="J7" s="51"/>
      <c r="K7" s="51"/>
      <c r="L7" s="51"/>
      <c r="M7" s="51"/>
      <c r="N7" s="51"/>
    </row>
    <row r="8" spans="1:17" outlineLevel="1">
      <c r="B8" s="9" t="s">
        <v>169</v>
      </c>
      <c r="E8" s="116">
        <v>1.0999999999999999E-2</v>
      </c>
      <c r="F8" s="116">
        <v>2.29E-2</v>
      </c>
      <c r="G8" s="116">
        <v>1.8700000000000001E-2</v>
      </c>
      <c r="H8" s="116">
        <v>1.49E-2</v>
      </c>
      <c r="I8" s="116">
        <v>-8.2299999999999998E-2</v>
      </c>
      <c r="J8" s="116">
        <v>5.8099999999999999E-2</v>
      </c>
      <c r="K8" s="116">
        <v>4.2200000000000001E-2</v>
      </c>
      <c r="L8" s="116">
        <v>1.7100000000000001E-2</v>
      </c>
      <c r="M8" s="116">
        <v>1.4800000000000001E-2</v>
      </c>
      <c r="N8" s="116">
        <v>1.3599999999999999E-2</v>
      </c>
      <c r="O8" s="217" t="s">
        <v>171</v>
      </c>
    </row>
    <row r="9" spans="1:17" outlineLevel="1">
      <c r="B9" s="9" t="s">
        <v>170</v>
      </c>
      <c r="E9" s="116">
        <v>3.0999999999999999E-3</v>
      </c>
      <c r="F9" s="116">
        <v>1.17E-2</v>
      </c>
      <c r="G9" s="116">
        <v>2.1000000000000001E-2</v>
      </c>
      <c r="H9" s="116">
        <v>1.2999999999999999E-2</v>
      </c>
      <c r="I9" s="116">
        <v>5.3E-3</v>
      </c>
      <c r="J9" s="116">
        <v>1.0800000000000001E-2</v>
      </c>
      <c r="K9" s="116">
        <v>1.17E-2</v>
      </c>
      <c r="L9" s="116">
        <v>1.3299999999999999E-2</v>
      </c>
      <c r="M9" s="116">
        <v>1.44E-2</v>
      </c>
      <c r="N9" s="116">
        <v>1.61E-2</v>
      </c>
      <c r="O9" s="217" t="s">
        <v>172</v>
      </c>
    </row>
    <row r="10" spans="1:17" outlineLevel="1">
      <c r="B10" s="53" t="s">
        <v>173</v>
      </c>
      <c r="C10" s="53"/>
      <c r="D10" s="54"/>
      <c r="E10" s="117">
        <f>SUM(E8:E9)</f>
        <v>1.41E-2</v>
      </c>
      <c r="F10" s="117">
        <f>SUM(F8:F9)</f>
        <v>3.4599999999999999E-2</v>
      </c>
      <c r="G10" s="117">
        <f>SUM(G8:G9)</f>
        <v>3.9699999999999999E-2</v>
      </c>
      <c r="H10" s="117">
        <f>SUM(H8:H9)</f>
        <v>2.7900000000000001E-2</v>
      </c>
      <c r="I10" s="117">
        <f t="shared" ref="I10:N10" si="3">SUM(I8:I9)</f>
        <v>-7.6999999999999999E-2</v>
      </c>
      <c r="J10" s="117">
        <f t="shared" si="3"/>
        <v>6.8900000000000003E-2</v>
      </c>
      <c r="K10" s="117">
        <f t="shared" si="3"/>
        <v>5.3900000000000003E-2</v>
      </c>
      <c r="L10" s="117">
        <f t="shared" si="3"/>
        <v>3.04E-2</v>
      </c>
      <c r="M10" s="117">
        <f t="shared" si="3"/>
        <v>2.92E-2</v>
      </c>
      <c r="N10" s="117">
        <f t="shared" si="3"/>
        <v>2.9699999999999997E-2</v>
      </c>
      <c r="O10" s="115"/>
    </row>
    <row r="11" spans="1:17" outlineLevel="1">
      <c r="B11" s="9" t="s">
        <v>238</v>
      </c>
      <c r="E11" s="50"/>
      <c r="F11" s="114">
        <f>F10-F13</f>
        <v>-9.3209065561609891E-3</v>
      </c>
      <c r="G11" s="114">
        <f t="shared" ref="G11:I11" si="4">G10-G13</f>
        <v>1.6078338642489573E-2</v>
      </c>
      <c r="H11" s="114">
        <f t="shared" si="4"/>
        <v>8.7732704553071458E-3</v>
      </c>
      <c r="I11" s="114">
        <f t="shared" si="4"/>
        <v>2.7408897658140099E-2</v>
      </c>
      <c r="J11" s="116">
        <f>AVERAGE(F11:H11)</f>
        <v>5.1769008472119099E-3</v>
      </c>
      <c r="K11" s="116">
        <f>J11</f>
        <v>5.1769008472119099E-3</v>
      </c>
      <c r="L11" s="116">
        <f t="shared" ref="L11:N11" si="5">K11</f>
        <v>5.1769008472119099E-3</v>
      </c>
      <c r="M11" s="116">
        <f t="shared" si="5"/>
        <v>5.1769008472119099E-3</v>
      </c>
      <c r="N11" s="116">
        <f t="shared" si="5"/>
        <v>5.1769008472119099E-3</v>
      </c>
      <c r="O11" s="130" t="s">
        <v>237</v>
      </c>
    </row>
    <row r="12" spans="1:17" s="52" customFormat="1" outlineLevel="1">
      <c r="B12" s="174" t="s">
        <v>174</v>
      </c>
      <c r="C12" s="175"/>
      <c r="D12" s="176"/>
      <c r="E12" s="175"/>
      <c r="F12" s="175"/>
      <c r="G12" s="175"/>
      <c r="H12" s="175"/>
      <c r="I12" s="177"/>
      <c r="J12" s="178"/>
      <c r="K12" s="178"/>
      <c r="L12" s="178"/>
      <c r="M12" s="178"/>
      <c r="N12" s="178"/>
    </row>
    <row r="13" spans="1:17" outlineLevel="1">
      <c r="B13" s="6" t="s">
        <v>58</v>
      </c>
      <c r="C13" s="53"/>
      <c r="D13" s="54"/>
      <c r="E13" s="55"/>
      <c r="F13" s="4">
        <f>F107/E107-1</f>
        <v>4.3920906556160988E-2</v>
      </c>
      <c r="G13" s="4">
        <f>G107/F107-1</f>
        <v>2.3621661357510426E-2</v>
      </c>
      <c r="H13" s="4">
        <f>H107/G107-1</f>
        <v>1.9126729544692855E-2</v>
      </c>
      <c r="I13" s="4">
        <f>I107/H107-1</f>
        <v>-0.1044088976581401</v>
      </c>
      <c r="J13" s="3">
        <f>J11+J10</f>
        <v>7.4076900847211913E-2</v>
      </c>
      <c r="K13" s="3">
        <f>K11+K10</f>
        <v>5.9076900847211913E-2</v>
      </c>
      <c r="L13" s="3">
        <f t="shared" ref="L13:N13" si="6">L11+L10</f>
        <v>3.5576900847211906E-2</v>
      </c>
      <c r="M13" s="3">
        <f t="shared" si="6"/>
        <v>3.4376900847211914E-2</v>
      </c>
      <c r="N13" s="3">
        <f t="shared" si="6"/>
        <v>3.4876900847211907E-2</v>
      </c>
    </row>
    <row r="14" spans="1:17" outlineLevel="1">
      <c r="B14" s="8" t="s">
        <v>55</v>
      </c>
      <c r="C14" s="8"/>
      <c r="D14" s="56"/>
      <c r="E14" s="57">
        <f>E108/E107</f>
        <v>0.68145192233903773</v>
      </c>
      <c r="F14" s="57">
        <f>F108/F107</f>
        <v>0.68331291350159273</v>
      </c>
      <c r="G14" s="57">
        <f>G108/G107</f>
        <v>0.68387034997845553</v>
      </c>
      <c r="H14" s="57">
        <f>H108/H107</f>
        <v>0.66504592112371685</v>
      </c>
      <c r="I14" s="57">
        <f>I108/I107</f>
        <v>0.65733843894250943</v>
      </c>
      <c r="J14" s="58">
        <f>I14</f>
        <v>0.65733843894250943</v>
      </c>
      <c r="K14" s="57">
        <f t="shared" ref="K14" si="7">J14</f>
        <v>0.65733843894250943</v>
      </c>
      <c r="L14" s="57">
        <f t="shared" ref="L14:N14" si="8">K14</f>
        <v>0.65733843894250943</v>
      </c>
      <c r="M14" s="57">
        <f t="shared" si="8"/>
        <v>0.65733843894250943</v>
      </c>
      <c r="N14" s="57">
        <f t="shared" si="8"/>
        <v>0.65733843894250943</v>
      </c>
    </row>
    <row r="15" spans="1:17" outlineLevel="1">
      <c r="B15" s="8" t="s">
        <v>56</v>
      </c>
      <c r="C15" s="8"/>
      <c r="D15" s="56"/>
      <c r="E15" s="57">
        <f t="shared" ref="E15:I17" si="9">E111/E$107</f>
        <v>0.20581689816591206</v>
      </c>
      <c r="F15" s="57">
        <f t="shared" si="9"/>
        <v>0.2027199215878461</v>
      </c>
      <c r="G15" s="57">
        <f t="shared" si="9"/>
        <v>0.20247043615646096</v>
      </c>
      <c r="H15" s="57">
        <f t="shared" si="9"/>
        <v>0.20029126441641415</v>
      </c>
      <c r="I15" s="57">
        <f t="shared" si="9"/>
        <v>0.20698699118757868</v>
      </c>
      <c r="J15" s="58">
        <f>I15</f>
        <v>0.20698699118757868</v>
      </c>
      <c r="K15" s="57">
        <f t="shared" ref="K15:K22" si="10">J15</f>
        <v>0.20698699118757868</v>
      </c>
      <c r="L15" s="57">
        <f t="shared" ref="L15:N15" si="11">K15</f>
        <v>0.20698699118757868</v>
      </c>
      <c r="M15" s="57">
        <f t="shared" si="11"/>
        <v>0.20698699118757868</v>
      </c>
      <c r="N15" s="57">
        <f t="shared" si="11"/>
        <v>0.20698699118757868</v>
      </c>
    </row>
    <row r="16" spans="1:17" outlineLevel="1">
      <c r="B16" s="9" t="s">
        <v>133</v>
      </c>
      <c r="C16" s="8"/>
      <c r="D16" s="56"/>
      <c r="E16" s="57">
        <f t="shared" si="9"/>
        <v>1.1255211930524646E-2</v>
      </c>
      <c r="F16" s="57">
        <f t="shared" si="9"/>
        <v>1.1026709139916687E-2</v>
      </c>
      <c r="G16" s="57">
        <f t="shared" si="9"/>
        <v>1.0868004021640254E-2</v>
      </c>
      <c r="H16" s="57">
        <f t="shared" si="9"/>
        <v>1.0945904681370822E-2</v>
      </c>
      <c r="I16" s="57">
        <f t="shared" si="9"/>
        <v>1.1251573646663869E-2</v>
      </c>
      <c r="J16" s="58">
        <f t="shared" ref="J16:J22" si="12">AVERAGE(E16:I16)</f>
        <v>1.1069480684023256E-2</v>
      </c>
      <c r="K16" s="57">
        <f t="shared" si="10"/>
        <v>1.1069480684023256E-2</v>
      </c>
      <c r="L16" s="57">
        <f t="shared" ref="L16:N16" si="13">K16</f>
        <v>1.1069480684023256E-2</v>
      </c>
      <c r="M16" s="57">
        <f t="shared" si="13"/>
        <v>1.1069480684023256E-2</v>
      </c>
      <c r="N16" s="57">
        <f t="shared" si="13"/>
        <v>1.1069480684023256E-2</v>
      </c>
    </row>
    <row r="17" spans="2:15" outlineLevel="1">
      <c r="B17" s="9" t="s">
        <v>134</v>
      </c>
      <c r="C17" s="8"/>
      <c r="D17" s="56"/>
      <c r="E17" s="57">
        <f t="shared" si="9"/>
        <v>-7.9298084055969096E-4</v>
      </c>
      <c r="F17" s="57">
        <f t="shared" si="9"/>
        <v>-8.0862533692722374E-4</v>
      </c>
      <c r="G17" s="57">
        <f t="shared" si="9"/>
        <v>-7.1815004548283622E-4</v>
      </c>
      <c r="H17" s="57">
        <f t="shared" si="9"/>
        <v>-5.6373758015643713E-4</v>
      </c>
      <c r="I17" s="57">
        <f t="shared" si="9"/>
        <v>-3.4095677717163239E-4</v>
      </c>
      <c r="J17" s="58">
        <f t="shared" si="12"/>
        <v>-6.4489011605956405E-4</v>
      </c>
      <c r="K17" s="57">
        <f t="shared" si="10"/>
        <v>-6.4489011605956405E-4</v>
      </c>
      <c r="L17" s="57">
        <f t="shared" ref="L17:N17" si="14">K17</f>
        <v>-6.4489011605956405E-4</v>
      </c>
      <c r="M17" s="57">
        <f t="shared" si="14"/>
        <v>-6.4489011605956405E-4</v>
      </c>
      <c r="N17" s="57">
        <f t="shared" si="14"/>
        <v>-6.4489011605956405E-4</v>
      </c>
    </row>
    <row r="18" spans="2:15" outlineLevel="1">
      <c r="B18" s="8" t="s">
        <v>57</v>
      </c>
      <c r="C18" s="8"/>
      <c r="D18" s="56"/>
      <c r="E18" s="57">
        <f>E115/E140</f>
        <v>0.10125278874206281</v>
      </c>
      <c r="F18" s="57">
        <f>F115/F140</f>
        <v>0.10405522001725626</v>
      </c>
      <c r="G18" s="57">
        <f>G115/G140</f>
        <v>0.10604322893692104</v>
      </c>
      <c r="H18" s="57">
        <f>H115/H140</f>
        <v>0.16238148116511489</v>
      </c>
      <c r="I18" s="57">
        <f>I115/I140</f>
        <v>0.17178468208092484</v>
      </c>
      <c r="J18" s="58">
        <f t="shared" si="12"/>
        <v>0.12910348018845599</v>
      </c>
      <c r="K18" s="58">
        <f t="shared" ref="K18:N18" si="15">AVERAGE(F18:J18)</f>
        <v>0.1346736184777346</v>
      </c>
      <c r="L18" s="58">
        <f t="shared" si="15"/>
        <v>0.14079729816983028</v>
      </c>
      <c r="M18" s="58">
        <f t="shared" si="15"/>
        <v>0.14774811201641214</v>
      </c>
      <c r="N18" s="58">
        <f t="shared" si="15"/>
        <v>0.14482143818667156</v>
      </c>
    </row>
    <row r="19" spans="2:15" outlineLevel="1">
      <c r="B19" s="8" t="s">
        <v>59</v>
      </c>
      <c r="C19" s="8"/>
      <c r="D19" s="56"/>
      <c r="E19" s="57">
        <f>E117/(E149+E150+E158+E159)</f>
        <v>6.1519217648396636E-2</v>
      </c>
      <c r="F19" s="57">
        <f>F117/(F149+F150+F158+F159)</f>
        <v>5.1382039224681729E-2</v>
      </c>
      <c r="G19" s="57">
        <f>G117/(G149+G150+G158+G159)</f>
        <v>-1.8169582772543741E-2</v>
      </c>
      <c r="H19" s="57">
        <f>H117/(H149+H150+H158+H159)</f>
        <v>3.0680477251868364E-2</v>
      </c>
      <c r="I19" s="57">
        <f>I117/(I149+I150+I158+I159)</f>
        <v>2.7706142961052702E-2</v>
      </c>
      <c r="J19" s="58">
        <f t="shared" si="12"/>
        <v>3.0623658862691139E-2</v>
      </c>
      <c r="K19" s="57">
        <f t="shared" si="10"/>
        <v>3.0623658862691139E-2</v>
      </c>
      <c r="L19" s="57">
        <f t="shared" ref="L19:N19" si="16">K19</f>
        <v>3.0623658862691139E-2</v>
      </c>
      <c r="M19" s="57">
        <f t="shared" si="16"/>
        <v>3.0623658862691139E-2</v>
      </c>
      <c r="N19" s="57">
        <f t="shared" si="16"/>
        <v>3.0623658862691139E-2</v>
      </c>
    </row>
    <row r="20" spans="2:15" outlineLevel="1">
      <c r="B20" s="8" t="s">
        <v>135</v>
      </c>
      <c r="C20" s="8"/>
      <c r="D20" s="56"/>
      <c r="E20" s="57">
        <f t="shared" ref="E20:I22" si="17">E119/E$107</f>
        <v>1.5603816540045532E-3</v>
      </c>
      <c r="F20" s="57">
        <f t="shared" si="17"/>
        <v>2.9649595687331535E-3</v>
      </c>
      <c r="G20" s="57">
        <f t="shared" si="17"/>
        <v>1.0413175659501126E-2</v>
      </c>
      <c r="H20" s="57">
        <f t="shared" si="17"/>
        <v>4.6038569046109035E-3</v>
      </c>
      <c r="I20" s="57">
        <f t="shared" si="17"/>
        <v>2.3080151070079733E-3</v>
      </c>
      <c r="J20" s="58">
        <f t="shared" si="12"/>
        <v>4.370077778771542E-3</v>
      </c>
      <c r="K20" s="57">
        <f t="shared" si="10"/>
        <v>4.370077778771542E-3</v>
      </c>
      <c r="L20" s="57">
        <f t="shared" ref="L20:N20" si="18">K20</f>
        <v>4.370077778771542E-3</v>
      </c>
      <c r="M20" s="57">
        <f t="shared" si="18"/>
        <v>4.370077778771542E-3</v>
      </c>
      <c r="N20" s="57">
        <f t="shared" si="18"/>
        <v>4.370077778771542E-3</v>
      </c>
    </row>
    <row r="21" spans="2:15" outlineLevel="1">
      <c r="B21" s="8" t="s">
        <v>136</v>
      </c>
      <c r="C21" s="8"/>
      <c r="D21" s="56"/>
      <c r="E21" s="57">
        <f t="shared" si="17"/>
        <v>-1.4708515591026526E-2</v>
      </c>
      <c r="F21" s="57">
        <f t="shared" si="17"/>
        <v>-1.5633423180592992E-2</v>
      </c>
      <c r="G21" s="57">
        <f t="shared" si="17"/>
        <v>-6.6045865849571506E-2</v>
      </c>
      <c r="H21" s="57">
        <f t="shared" si="17"/>
        <v>-2.426420501256665E-2</v>
      </c>
      <c r="I21" s="57">
        <f t="shared" si="17"/>
        <v>-3.9629668485102812E-2</v>
      </c>
      <c r="J21" s="58">
        <f t="shared" si="12"/>
        <v>-3.2056335623772095E-2</v>
      </c>
      <c r="K21" s="57">
        <f t="shared" si="10"/>
        <v>-3.2056335623772095E-2</v>
      </c>
      <c r="L21" s="57">
        <f t="shared" ref="L21:N21" si="19">K21</f>
        <v>-3.2056335623772095E-2</v>
      </c>
      <c r="M21" s="57">
        <f t="shared" si="19"/>
        <v>-3.2056335623772095E-2</v>
      </c>
      <c r="N21" s="57">
        <f t="shared" si="19"/>
        <v>-3.2056335623772095E-2</v>
      </c>
    </row>
    <row r="22" spans="2:15" outlineLevel="1">
      <c r="B22" s="9" t="s">
        <v>137</v>
      </c>
      <c r="C22" s="8"/>
      <c r="D22" s="56"/>
      <c r="E22" s="57">
        <f t="shared" si="17"/>
        <v>1.279001355741437E-4</v>
      </c>
      <c r="F22" s="57">
        <f t="shared" si="17"/>
        <v>0</v>
      </c>
      <c r="G22" s="57">
        <f t="shared" si="17"/>
        <v>0</v>
      </c>
      <c r="H22" s="57">
        <f t="shared" si="17"/>
        <v>0</v>
      </c>
      <c r="I22" s="57">
        <f t="shared" si="17"/>
        <v>5.2454888795635752E-5</v>
      </c>
      <c r="J22" s="58">
        <f t="shared" si="12"/>
        <v>3.6071004873955895E-5</v>
      </c>
      <c r="K22" s="57">
        <f t="shared" si="10"/>
        <v>3.6071004873955895E-5</v>
      </c>
      <c r="L22" s="57">
        <f t="shared" ref="L22:N22" si="20">K22</f>
        <v>3.6071004873955895E-5</v>
      </c>
      <c r="M22" s="57">
        <f t="shared" si="20"/>
        <v>3.6071004873955895E-5</v>
      </c>
      <c r="N22" s="57">
        <f t="shared" si="20"/>
        <v>3.6071004873955895E-5</v>
      </c>
    </row>
    <row r="23" spans="2:15" outlineLevel="1">
      <c r="B23" s="8" t="s">
        <v>60</v>
      </c>
      <c r="C23" s="60"/>
      <c r="D23" s="61"/>
      <c r="E23" s="57">
        <f>E123/E122</f>
        <v>0.23529411764705882</v>
      </c>
      <c r="F23" s="57">
        <f>F123/F122</f>
        <v>0.21231216674745515</v>
      </c>
      <c r="G23" s="57">
        <f>G123/G122</f>
        <v>0.49645390070921985</v>
      </c>
      <c r="H23" s="57">
        <f>H123/H122</f>
        <v>0.3026378896882494</v>
      </c>
      <c r="I23" s="57">
        <f>I123/I122</f>
        <v>0.51822660098522166</v>
      </c>
      <c r="J23" s="58">
        <v>0.32</v>
      </c>
      <c r="K23" s="58">
        <v>0.32</v>
      </c>
      <c r="L23" s="58">
        <v>0.32</v>
      </c>
      <c r="M23" s="58">
        <v>0.32</v>
      </c>
      <c r="N23" s="58">
        <v>0.32</v>
      </c>
      <c r="O23" s="115"/>
    </row>
    <row r="24" spans="2:15" outlineLevel="1">
      <c r="B24" s="9" t="s">
        <v>61</v>
      </c>
      <c r="D24" s="62"/>
      <c r="E24" s="50">
        <f>E132/E107*365</f>
        <v>46.076663341263142</v>
      </c>
      <c r="F24" s="50">
        <f t="shared" ref="F24:I24" si="21">F132/F107*365</f>
        <v>45.917912276402838</v>
      </c>
      <c r="G24" s="50">
        <f t="shared" si="21"/>
        <v>43.407861349164556</v>
      </c>
      <c r="H24" s="50">
        <f t="shared" si="21"/>
        <v>41.264298968830005</v>
      </c>
      <c r="I24" s="50">
        <f t="shared" si="21"/>
        <v>44.007160092320603</v>
      </c>
      <c r="J24" s="119">
        <f t="shared" ref="J24:J30" si="22">AVERAGE(E24:I24)</f>
        <v>44.134779205596224</v>
      </c>
      <c r="K24" s="120">
        <f t="shared" ref="K24:K31" si="23">J24</f>
        <v>44.134779205596224</v>
      </c>
      <c r="L24" s="120">
        <f t="shared" ref="L24:N24" si="24">K24</f>
        <v>44.134779205596224</v>
      </c>
      <c r="M24" s="120">
        <f t="shared" si="24"/>
        <v>44.134779205596224</v>
      </c>
      <c r="N24" s="120">
        <f t="shared" si="24"/>
        <v>44.134779205596224</v>
      </c>
    </row>
    <row r="25" spans="2:15" outlineLevel="1">
      <c r="B25" s="9" t="s">
        <v>62</v>
      </c>
      <c r="D25" s="62"/>
      <c r="E25" s="50">
        <f>E131/E108*365</f>
        <v>80.494557057057065</v>
      </c>
      <c r="F25" s="50">
        <f t="shared" ref="F25:I25" si="25">F131/F108*365</f>
        <v>79.070680628272257</v>
      </c>
      <c r="G25" s="50">
        <f t="shared" si="25"/>
        <v>79.878885466255952</v>
      </c>
      <c r="H25" s="50">
        <f t="shared" si="25"/>
        <v>79.927948292303881</v>
      </c>
      <c r="I25" s="50">
        <f t="shared" si="25"/>
        <v>78.088417188684517</v>
      </c>
      <c r="J25" s="119">
        <f t="shared" si="22"/>
        <v>79.492097726514729</v>
      </c>
      <c r="K25" s="120">
        <f t="shared" si="23"/>
        <v>79.492097726514729</v>
      </c>
      <c r="L25" s="120">
        <f t="shared" ref="L25:N25" si="26">K25</f>
        <v>79.492097726514729</v>
      </c>
      <c r="M25" s="120">
        <f t="shared" si="26"/>
        <v>79.492097726514729</v>
      </c>
      <c r="N25" s="120">
        <f t="shared" si="26"/>
        <v>79.492097726514729</v>
      </c>
    </row>
    <row r="26" spans="2:15" outlineLevel="1">
      <c r="B26" s="9" t="s">
        <v>178</v>
      </c>
      <c r="D26" s="62"/>
      <c r="E26" s="50">
        <f>E133/E107*365</f>
        <v>4.1548359041260587</v>
      </c>
      <c r="F26" s="50">
        <f t="shared" ref="F26:I26" si="27">F133/F107*365</f>
        <v>1.824552805684881</v>
      </c>
      <c r="G26" s="50">
        <f t="shared" si="27"/>
        <v>2.4989227749317759</v>
      </c>
      <c r="H26" s="50">
        <f t="shared" si="27"/>
        <v>1.6632607521198881</v>
      </c>
      <c r="I26" s="50">
        <f t="shared" si="27"/>
        <v>1.4072335291649181</v>
      </c>
      <c r="J26" s="119">
        <f t="shared" si="22"/>
        <v>2.3097611532055042</v>
      </c>
      <c r="K26" s="120">
        <f t="shared" si="23"/>
        <v>2.3097611532055042</v>
      </c>
      <c r="L26" s="120">
        <f t="shared" ref="L26:N26" si="28">K26</f>
        <v>2.3097611532055042</v>
      </c>
      <c r="M26" s="120">
        <f t="shared" si="28"/>
        <v>2.3097611532055042</v>
      </c>
      <c r="N26" s="120">
        <f t="shared" si="28"/>
        <v>2.3097611532055042</v>
      </c>
    </row>
    <row r="27" spans="2:15" outlineLevel="1">
      <c r="B27" s="9" t="s">
        <v>177</v>
      </c>
      <c r="D27" s="62"/>
      <c r="E27" s="50">
        <f>E134/E107*365</f>
        <v>14.145115493822424</v>
      </c>
      <c r="F27" s="50">
        <f t="shared" ref="F27:I27" si="29">F134/F107*365</f>
        <v>12.476721391815731</v>
      </c>
      <c r="G27" s="50">
        <f t="shared" si="29"/>
        <v>14.058624982046249</v>
      </c>
      <c r="H27" s="50">
        <f t="shared" si="29"/>
        <v>13.794776031757216</v>
      </c>
      <c r="I27" s="50">
        <f t="shared" si="29"/>
        <v>12.148158833403274</v>
      </c>
      <c r="J27" s="119">
        <f t="shared" si="22"/>
        <v>13.324679346568979</v>
      </c>
      <c r="K27" s="120">
        <f t="shared" si="23"/>
        <v>13.324679346568979</v>
      </c>
      <c r="L27" s="120">
        <f t="shared" ref="L27:N27" si="30">K27</f>
        <v>13.324679346568979</v>
      </c>
      <c r="M27" s="120">
        <f t="shared" si="30"/>
        <v>13.324679346568979</v>
      </c>
      <c r="N27" s="120">
        <f t="shared" si="30"/>
        <v>13.324679346568979</v>
      </c>
    </row>
    <row r="28" spans="2:15" outlineLevel="1">
      <c r="B28" s="9" t="s">
        <v>63</v>
      </c>
      <c r="D28" s="62"/>
      <c r="E28" s="50">
        <f>E152/E108*365</f>
        <v>79.535472972972968</v>
      </c>
      <c r="F28" s="50">
        <f t="shared" ref="F28:I28" si="31">F152/F108*365</f>
        <v>78.887434554973822</v>
      </c>
      <c r="G28" s="50">
        <f t="shared" si="31"/>
        <v>78.141276953234396</v>
      </c>
      <c r="H28" s="50">
        <f t="shared" si="31"/>
        <v>77.349627379648922</v>
      </c>
      <c r="I28" s="50">
        <f t="shared" si="31"/>
        <v>85.87978294697362</v>
      </c>
      <c r="J28" s="119">
        <f t="shared" si="22"/>
        <v>79.958718961560749</v>
      </c>
      <c r="K28" s="120">
        <f t="shared" si="23"/>
        <v>79.958718961560749</v>
      </c>
      <c r="L28" s="120">
        <f t="shared" ref="L28:N28" si="32">K28</f>
        <v>79.958718961560749</v>
      </c>
      <c r="M28" s="120">
        <f t="shared" si="32"/>
        <v>79.958718961560749</v>
      </c>
      <c r="N28" s="120">
        <f t="shared" si="32"/>
        <v>79.958718961560749</v>
      </c>
    </row>
    <row r="29" spans="2:15" outlineLevel="1">
      <c r="B29" s="9" t="s">
        <v>179</v>
      </c>
      <c r="D29" s="62"/>
      <c r="E29" s="50">
        <f>E153/E108*365</f>
        <v>2.0277777777777777</v>
      </c>
      <c r="F29" s="50">
        <f t="shared" ref="F29:I29" si="33">F153/F108*365</f>
        <v>2.0549738219895288</v>
      </c>
      <c r="G29" s="50">
        <f t="shared" si="33"/>
        <v>1.3287594511341361</v>
      </c>
      <c r="H29" s="50">
        <f t="shared" si="33"/>
        <v>2.0110903118708721</v>
      </c>
      <c r="I29" s="50">
        <f t="shared" si="33"/>
        <v>2.5485775844870924</v>
      </c>
      <c r="J29" s="119">
        <f t="shared" si="22"/>
        <v>1.9942357894518814</v>
      </c>
      <c r="K29" s="120">
        <f t="shared" si="23"/>
        <v>1.9942357894518814</v>
      </c>
      <c r="L29" s="120">
        <f t="shared" ref="L29:N29" si="34">K29</f>
        <v>1.9942357894518814</v>
      </c>
      <c r="M29" s="120">
        <f t="shared" si="34"/>
        <v>1.9942357894518814</v>
      </c>
      <c r="N29" s="120">
        <f t="shared" si="34"/>
        <v>1.9942357894518814</v>
      </c>
    </row>
    <row r="30" spans="2:15" outlineLevel="1">
      <c r="B30" s="9" t="s">
        <v>180</v>
      </c>
      <c r="D30" s="62"/>
      <c r="E30" s="50">
        <f>E154/E108*365</f>
        <v>49.817567567567565</v>
      </c>
      <c r="F30" s="50">
        <f t="shared" ref="F30:I30" si="35">F154/F108*365</f>
        <v>50.039267015706805</v>
      </c>
      <c r="G30" s="50">
        <f t="shared" si="35"/>
        <v>49.304641556986844</v>
      </c>
      <c r="H30" s="50">
        <f t="shared" si="35"/>
        <v>51.617984671352382</v>
      </c>
      <c r="I30" s="50">
        <f t="shared" si="35"/>
        <v>56.95706818816582</v>
      </c>
      <c r="J30" s="119">
        <f t="shared" si="22"/>
        <v>51.547305799955879</v>
      </c>
      <c r="K30" s="120">
        <f t="shared" si="23"/>
        <v>51.547305799955879</v>
      </c>
      <c r="L30" s="120">
        <f t="shared" ref="L30:N30" si="36">K30</f>
        <v>51.547305799955879</v>
      </c>
      <c r="M30" s="120">
        <f t="shared" si="36"/>
        <v>51.547305799955879</v>
      </c>
      <c r="N30" s="120">
        <f t="shared" si="36"/>
        <v>51.547305799955879</v>
      </c>
    </row>
    <row r="31" spans="2:15" outlineLevel="1">
      <c r="B31" s="9" t="s">
        <v>64</v>
      </c>
      <c r="E31" s="50"/>
      <c r="F31" s="50">
        <f>F140-E140+F115</f>
        <v>1142</v>
      </c>
      <c r="G31" s="50">
        <f>G140-F140+G115</f>
        <v>947</v>
      </c>
      <c r="H31" s="50">
        <f>H140-G140+H115</f>
        <v>2273</v>
      </c>
      <c r="I31" s="50">
        <f>I140-H140+I115</f>
        <v>1267</v>
      </c>
      <c r="J31" s="119">
        <f>AVERAGE(F31:I31)</f>
        <v>1407.25</v>
      </c>
      <c r="K31" s="120">
        <f t="shared" si="23"/>
        <v>1407.25</v>
      </c>
      <c r="L31" s="120">
        <f t="shared" ref="L31:N31" si="37">K31</f>
        <v>1407.25</v>
      </c>
      <c r="M31" s="120">
        <f t="shared" si="37"/>
        <v>1407.25</v>
      </c>
      <c r="N31" s="120">
        <f t="shared" si="37"/>
        <v>1407.25</v>
      </c>
    </row>
    <row r="32" spans="2:15" outlineLevel="1">
      <c r="B32" s="9" t="s">
        <v>66</v>
      </c>
      <c r="E32" s="50"/>
      <c r="F32" s="50"/>
      <c r="G32" s="50"/>
      <c r="H32" s="50"/>
      <c r="I32" s="50"/>
      <c r="J32" s="119">
        <v>-1846</v>
      </c>
      <c r="K32" s="119">
        <v>-1215.75</v>
      </c>
      <c r="L32" s="119">
        <v>-1215.75</v>
      </c>
      <c r="M32" s="119">
        <v>-1215.75</v>
      </c>
      <c r="N32" s="119">
        <v>-1215.75</v>
      </c>
      <c r="O32" s="130" t="s">
        <v>229</v>
      </c>
    </row>
    <row r="33" spans="2:14" outlineLevel="1">
      <c r="B33" s="9" t="s">
        <v>65</v>
      </c>
      <c r="E33" s="50"/>
      <c r="F33" s="50"/>
      <c r="G33" s="50"/>
      <c r="H33" s="50"/>
      <c r="I33" s="50"/>
      <c r="J33" s="119">
        <v>0</v>
      </c>
      <c r="K33" s="119">
        <v>0</v>
      </c>
      <c r="L33" s="119">
        <v>0</v>
      </c>
      <c r="M33" s="119">
        <v>0</v>
      </c>
      <c r="N33" s="119">
        <v>0</v>
      </c>
    </row>
    <row r="34" spans="2:14" outlineLevel="1">
      <c r="E34" s="50"/>
      <c r="F34" s="50"/>
      <c r="G34" s="50"/>
      <c r="H34" s="50"/>
      <c r="I34" s="50"/>
      <c r="J34" s="51"/>
      <c r="K34" s="51"/>
      <c r="L34" s="51"/>
      <c r="M34" s="51"/>
      <c r="N34" s="51"/>
    </row>
    <row r="35" spans="2:14" s="52" customFormat="1" outlineLevel="1">
      <c r="B35" s="174" t="s">
        <v>176</v>
      </c>
      <c r="C35" s="175"/>
      <c r="D35" s="176"/>
      <c r="E35" s="175"/>
      <c r="F35" s="175"/>
      <c r="G35" s="175"/>
      <c r="H35" s="175"/>
      <c r="I35" s="177"/>
      <c r="J35" s="178"/>
      <c r="K35" s="178"/>
      <c r="L35" s="178"/>
      <c r="M35" s="178"/>
      <c r="N35" s="178"/>
    </row>
    <row r="36" spans="2:14" outlineLevel="1">
      <c r="B36" s="6" t="s">
        <v>58</v>
      </c>
      <c r="C36" s="53"/>
      <c r="D36" s="54"/>
      <c r="E36" s="55"/>
      <c r="F36" s="4"/>
      <c r="G36" s="4"/>
      <c r="H36" s="4"/>
      <c r="I36" s="4"/>
      <c r="J36" s="3">
        <f>J13+0.03</f>
        <v>0.10407690084721191</v>
      </c>
      <c r="K36" s="4">
        <f>K13+0.02</f>
        <v>7.9076900847211917E-2</v>
      </c>
      <c r="L36" s="4">
        <f>L13+0.01</f>
        <v>4.5576900847211908E-2</v>
      </c>
      <c r="M36" s="4">
        <f t="shared" ref="M36:N36" si="38">M13+0.01</f>
        <v>4.4376900847211916E-2</v>
      </c>
      <c r="N36" s="4">
        <f t="shared" si="38"/>
        <v>4.4876900847211909E-2</v>
      </c>
    </row>
    <row r="37" spans="2:14" outlineLevel="1">
      <c r="B37" s="8" t="s">
        <v>55</v>
      </c>
      <c r="C37" s="8"/>
      <c r="D37" s="56"/>
      <c r="E37" s="57"/>
      <c r="F37" s="57"/>
      <c r="G37" s="57"/>
      <c r="H37" s="57"/>
      <c r="I37" s="57"/>
      <c r="J37" s="58">
        <f>J14-0.02</f>
        <v>0.63733843894250941</v>
      </c>
      <c r="K37" s="57">
        <f>K14-0.02</f>
        <v>0.63733843894250941</v>
      </c>
      <c r="L37" s="57">
        <f t="shared" ref="L37:N37" si="39">L14-0.02</f>
        <v>0.63733843894250941</v>
      </c>
      <c r="M37" s="57">
        <f t="shared" si="39"/>
        <v>0.63733843894250941</v>
      </c>
      <c r="N37" s="57">
        <f t="shared" si="39"/>
        <v>0.63733843894250941</v>
      </c>
    </row>
    <row r="38" spans="2:14" outlineLevel="1">
      <c r="B38" s="8" t="s">
        <v>56</v>
      </c>
      <c r="C38" s="8"/>
      <c r="D38" s="56"/>
      <c r="E38" s="57"/>
      <c r="F38" s="57"/>
      <c r="G38" s="57"/>
      <c r="H38" s="57"/>
      <c r="I38" s="57"/>
      <c r="J38" s="58">
        <f>J15-0.005</f>
        <v>0.20198699118757868</v>
      </c>
      <c r="K38" s="57">
        <f>K15-0.005</f>
        <v>0.20198699118757868</v>
      </c>
      <c r="L38" s="57">
        <f t="shared" ref="L38:N38" si="40">L15-0.005</f>
        <v>0.20198699118757868</v>
      </c>
      <c r="M38" s="57">
        <f t="shared" si="40"/>
        <v>0.20198699118757868</v>
      </c>
      <c r="N38" s="57">
        <f t="shared" si="40"/>
        <v>0.20198699118757868</v>
      </c>
    </row>
    <row r="39" spans="2:14" outlineLevel="1">
      <c r="B39" s="9" t="s">
        <v>133</v>
      </c>
      <c r="C39" s="8"/>
      <c r="D39" s="56"/>
      <c r="E39" s="59"/>
      <c r="F39" s="59"/>
      <c r="G39" s="59"/>
      <c r="H39" s="59"/>
      <c r="I39" s="59"/>
      <c r="J39" s="58">
        <f>J16</f>
        <v>1.1069480684023256E-2</v>
      </c>
      <c r="K39" s="57">
        <f t="shared" ref="K39:N39" si="41">K16</f>
        <v>1.1069480684023256E-2</v>
      </c>
      <c r="L39" s="57">
        <f t="shared" si="41"/>
        <v>1.1069480684023256E-2</v>
      </c>
      <c r="M39" s="57">
        <f t="shared" si="41"/>
        <v>1.1069480684023256E-2</v>
      </c>
      <c r="N39" s="57">
        <f t="shared" si="41"/>
        <v>1.1069480684023256E-2</v>
      </c>
    </row>
    <row r="40" spans="2:14" outlineLevel="1">
      <c r="B40" s="9" t="s">
        <v>134</v>
      </c>
      <c r="C40" s="8"/>
      <c r="D40" s="56"/>
      <c r="E40" s="59"/>
      <c r="F40" s="59"/>
      <c r="G40" s="59"/>
      <c r="H40" s="59"/>
      <c r="I40" s="59"/>
      <c r="J40" s="58">
        <f>J17-0.005</f>
        <v>-5.6448901160595644E-3</v>
      </c>
      <c r="K40" s="57">
        <f>K17-0.005</f>
        <v>-5.6448901160595644E-3</v>
      </c>
      <c r="L40" s="57">
        <f t="shared" ref="L40:N40" si="42">L17-0.005</f>
        <v>-5.6448901160595644E-3</v>
      </c>
      <c r="M40" s="57">
        <f t="shared" si="42"/>
        <v>-5.6448901160595644E-3</v>
      </c>
      <c r="N40" s="57">
        <f t="shared" si="42"/>
        <v>-5.6448901160595644E-3</v>
      </c>
    </row>
    <row r="41" spans="2:14" outlineLevel="1">
      <c r="B41" s="8" t="s">
        <v>57</v>
      </c>
      <c r="C41" s="8"/>
      <c r="D41" s="56"/>
      <c r="E41" s="57"/>
      <c r="F41" s="57"/>
      <c r="G41" s="57"/>
      <c r="H41" s="57"/>
      <c r="I41" s="57"/>
      <c r="J41" s="58">
        <f>J18-0.01</f>
        <v>0.119103480188456</v>
      </c>
      <c r="K41" s="57">
        <f>K18-0.01</f>
        <v>0.1246736184777346</v>
      </c>
      <c r="L41" s="57">
        <f t="shared" ref="L41:N41" si="43">L18-0.01</f>
        <v>0.13079729816983027</v>
      </c>
      <c r="M41" s="57">
        <f t="shared" si="43"/>
        <v>0.13774811201641213</v>
      </c>
      <c r="N41" s="57">
        <f t="shared" si="43"/>
        <v>0.13482143818667155</v>
      </c>
    </row>
    <row r="42" spans="2:14" outlineLevel="1">
      <c r="B42" s="8" t="s">
        <v>59</v>
      </c>
      <c r="C42" s="8"/>
      <c r="D42" s="56"/>
      <c r="E42" s="57"/>
      <c r="F42" s="57"/>
      <c r="G42" s="57"/>
      <c r="H42" s="57"/>
      <c r="I42" s="57"/>
      <c r="J42" s="58">
        <f>J19-0.01</f>
        <v>2.0623658862691137E-2</v>
      </c>
      <c r="K42" s="57">
        <f t="shared" ref="K42:N42" si="44">K19-0.01</f>
        <v>2.0623658862691137E-2</v>
      </c>
      <c r="L42" s="57">
        <f t="shared" si="44"/>
        <v>2.0623658862691137E-2</v>
      </c>
      <c r="M42" s="57">
        <f t="shared" si="44"/>
        <v>2.0623658862691137E-2</v>
      </c>
      <c r="N42" s="57">
        <f t="shared" si="44"/>
        <v>2.0623658862691137E-2</v>
      </c>
    </row>
    <row r="43" spans="2:14" outlineLevel="1">
      <c r="B43" s="8" t="s">
        <v>135</v>
      </c>
      <c r="C43" s="8"/>
      <c r="D43" s="56"/>
      <c r="E43" s="57"/>
      <c r="F43" s="57"/>
      <c r="G43" s="57"/>
      <c r="H43" s="57"/>
      <c r="I43" s="57"/>
      <c r="J43" s="58">
        <f t="shared" ref="J43:K45" si="45">J20+0.005</f>
        <v>9.3700777787715413E-3</v>
      </c>
      <c r="K43" s="57">
        <f t="shared" si="45"/>
        <v>9.3700777787715413E-3</v>
      </c>
      <c r="L43" s="57">
        <f t="shared" ref="L43:N43" si="46">L20+0.005</f>
        <v>9.3700777787715413E-3</v>
      </c>
      <c r="M43" s="57">
        <f t="shared" si="46"/>
        <v>9.3700777787715413E-3</v>
      </c>
      <c r="N43" s="57">
        <f t="shared" si="46"/>
        <v>9.3700777787715413E-3</v>
      </c>
    </row>
    <row r="44" spans="2:14" outlineLevel="1">
      <c r="B44" s="8" t="s">
        <v>136</v>
      </c>
      <c r="C44" s="8"/>
      <c r="D44" s="56"/>
      <c r="E44" s="57"/>
      <c r="F44" s="57"/>
      <c r="G44" s="57"/>
      <c r="H44" s="57"/>
      <c r="I44" s="57"/>
      <c r="J44" s="58">
        <f t="shared" si="45"/>
        <v>-2.7056335623772094E-2</v>
      </c>
      <c r="K44" s="57">
        <f t="shared" si="45"/>
        <v>-2.7056335623772094E-2</v>
      </c>
      <c r="L44" s="57">
        <f t="shared" ref="L44:N44" si="47">L21+0.005</f>
        <v>-2.7056335623772094E-2</v>
      </c>
      <c r="M44" s="57">
        <f t="shared" si="47"/>
        <v>-2.7056335623772094E-2</v>
      </c>
      <c r="N44" s="57">
        <f t="shared" si="47"/>
        <v>-2.7056335623772094E-2</v>
      </c>
    </row>
    <row r="45" spans="2:14" outlineLevel="1">
      <c r="B45" s="9" t="s">
        <v>137</v>
      </c>
      <c r="C45" s="8"/>
      <c r="D45" s="56"/>
      <c r="E45" s="57"/>
      <c r="F45" s="57"/>
      <c r="G45" s="57"/>
      <c r="H45" s="57"/>
      <c r="I45" s="57"/>
      <c r="J45" s="58">
        <f t="shared" si="45"/>
        <v>5.0360710048739559E-3</v>
      </c>
      <c r="K45" s="57">
        <f t="shared" si="45"/>
        <v>5.0360710048739559E-3</v>
      </c>
      <c r="L45" s="57">
        <f t="shared" ref="L45:N45" si="48">L22+0.005</f>
        <v>5.0360710048739559E-3</v>
      </c>
      <c r="M45" s="57">
        <f t="shared" si="48"/>
        <v>5.0360710048739559E-3</v>
      </c>
      <c r="N45" s="57">
        <f t="shared" si="48"/>
        <v>5.0360710048739559E-3</v>
      </c>
    </row>
    <row r="46" spans="2:14" outlineLevel="1">
      <c r="B46" s="8" t="s">
        <v>60</v>
      </c>
      <c r="C46" s="60"/>
      <c r="D46" s="61"/>
      <c r="E46" s="57"/>
      <c r="F46" s="57"/>
      <c r="G46" s="57"/>
      <c r="H46" s="57"/>
      <c r="I46" s="57"/>
      <c r="J46" s="58">
        <f>J23</f>
        <v>0.32</v>
      </c>
      <c r="K46" s="57">
        <f t="shared" ref="K46:N46" si="49">K23</f>
        <v>0.32</v>
      </c>
      <c r="L46" s="57">
        <f t="shared" si="49"/>
        <v>0.32</v>
      </c>
      <c r="M46" s="57">
        <f t="shared" si="49"/>
        <v>0.32</v>
      </c>
      <c r="N46" s="57">
        <f t="shared" si="49"/>
        <v>0.32</v>
      </c>
    </row>
    <row r="47" spans="2:14" outlineLevel="1">
      <c r="B47" s="9" t="s">
        <v>61</v>
      </c>
      <c r="D47" s="62"/>
      <c r="E47" s="50"/>
      <c r="F47" s="50"/>
      <c r="G47" s="50"/>
      <c r="H47" s="50"/>
      <c r="I47" s="50"/>
      <c r="J47" s="119">
        <f>J24*0.9</f>
        <v>39.721301285036603</v>
      </c>
      <c r="K47" s="120">
        <f t="shared" ref="K47:K54" si="50">J47</f>
        <v>39.721301285036603</v>
      </c>
      <c r="L47" s="120">
        <f t="shared" ref="L47:N47" si="51">K47</f>
        <v>39.721301285036603</v>
      </c>
      <c r="M47" s="120">
        <f t="shared" si="51"/>
        <v>39.721301285036603</v>
      </c>
      <c r="N47" s="120">
        <f t="shared" si="51"/>
        <v>39.721301285036603</v>
      </c>
    </row>
    <row r="48" spans="2:14" outlineLevel="1">
      <c r="B48" s="9" t="s">
        <v>62</v>
      </c>
      <c r="D48" s="62"/>
      <c r="E48" s="50"/>
      <c r="F48" s="50"/>
      <c r="G48" s="50"/>
      <c r="H48" s="50"/>
      <c r="I48" s="50"/>
      <c r="J48" s="119">
        <f>J25*0.9</f>
        <v>71.542887953863257</v>
      </c>
      <c r="K48" s="120">
        <f t="shared" si="50"/>
        <v>71.542887953863257</v>
      </c>
      <c r="L48" s="120">
        <f t="shared" ref="L48:N48" si="52">K48</f>
        <v>71.542887953863257</v>
      </c>
      <c r="M48" s="120">
        <f t="shared" si="52"/>
        <v>71.542887953863257</v>
      </c>
      <c r="N48" s="120">
        <f t="shared" si="52"/>
        <v>71.542887953863257</v>
      </c>
    </row>
    <row r="49" spans="2:14" outlineLevel="1">
      <c r="B49" s="9" t="s">
        <v>178</v>
      </c>
      <c r="D49" s="62"/>
      <c r="E49" s="50"/>
      <c r="F49" s="50"/>
      <c r="G49" s="50"/>
      <c r="H49" s="50"/>
      <c r="I49" s="50"/>
      <c r="J49" s="119">
        <f>J26*0.9</f>
        <v>2.0787850378849537</v>
      </c>
      <c r="K49" s="120">
        <f t="shared" si="50"/>
        <v>2.0787850378849537</v>
      </c>
      <c r="L49" s="120">
        <f t="shared" ref="L49:N49" si="53">K49</f>
        <v>2.0787850378849537</v>
      </c>
      <c r="M49" s="120">
        <f t="shared" si="53"/>
        <v>2.0787850378849537</v>
      </c>
      <c r="N49" s="120">
        <f t="shared" si="53"/>
        <v>2.0787850378849537</v>
      </c>
    </row>
    <row r="50" spans="2:14" outlineLevel="1">
      <c r="B50" s="9" t="s">
        <v>177</v>
      </c>
      <c r="D50" s="62"/>
      <c r="E50" s="50"/>
      <c r="F50" s="50"/>
      <c r="G50" s="50"/>
      <c r="H50" s="50"/>
      <c r="I50" s="50"/>
      <c r="J50" s="119">
        <f>J27*0.9</f>
        <v>11.992211411912082</v>
      </c>
      <c r="K50" s="120">
        <f t="shared" si="50"/>
        <v>11.992211411912082</v>
      </c>
      <c r="L50" s="120">
        <f t="shared" ref="L50:N50" si="54">K50</f>
        <v>11.992211411912082</v>
      </c>
      <c r="M50" s="120">
        <f t="shared" si="54"/>
        <v>11.992211411912082</v>
      </c>
      <c r="N50" s="120">
        <f t="shared" si="54"/>
        <v>11.992211411912082</v>
      </c>
    </row>
    <row r="51" spans="2:14" outlineLevel="1">
      <c r="B51" s="9" t="s">
        <v>63</v>
      </c>
      <c r="D51" s="62"/>
      <c r="E51" s="50"/>
      <c r="F51" s="50"/>
      <c r="G51" s="50"/>
      <c r="H51" s="50"/>
      <c r="I51" s="50"/>
      <c r="J51" s="119">
        <f>J28*1.1</f>
        <v>87.954590857716823</v>
      </c>
      <c r="K51" s="120">
        <f t="shared" si="50"/>
        <v>87.954590857716823</v>
      </c>
      <c r="L51" s="120">
        <f t="shared" ref="L51:N51" si="55">K51</f>
        <v>87.954590857716823</v>
      </c>
      <c r="M51" s="120">
        <f t="shared" si="55"/>
        <v>87.954590857716823</v>
      </c>
      <c r="N51" s="120">
        <f t="shared" si="55"/>
        <v>87.954590857716823</v>
      </c>
    </row>
    <row r="52" spans="2:14" outlineLevel="1">
      <c r="B52" s="9" t="s">
        <v>179</v>
      </c>
      <c r="D52" s="62"/>
      <c r="E52" s="50"/>
      <c r="F52" s="50"/>
      <c r="G52" s="50"/>
      <c r="H52" s="50"/>
      <c r="I52" s="50"/>
      <c r="J52" s="119">
        <f t="shared" ref="J52:J53" si="56">J29*1.1</f>
        <v>2.1936593683970695</v>
      </c>
      <c r="K52" s="120">
        <f t="shared" si="50"/>
        <v>2.1936593683970695</v>
      </c>
      <c r="L52" s="120">
        <f t="shared" ref="L52:N52" si="57">K52</f>
        <v>2.1936593683970695</v>
      </c>
      <c r="M52" s="120">
        <f t="shared" si="57"/>
        <v>2.1936593683970695</v>
      </c>
      <c r="N52" s="120">
        <f t="shared" si="57"/>
        <v>2.1936593683970695</v>
      </c>
    </row>
    <row r="53" spans="2:14" outlineLevel="1">
      <c r="B53" s="9" t="s">
        <v>180</v>
      </c>
      <c r="D53" s="62"/>
      <c r="E53" s="50"/>
      <c r="F53" s="50"/>
      <c r="G53" s="50"/>
      <c r="H53" s="50"/>
      <c r="I53" s="50"/>
      <c r="J53" s="119">
        <f t="shared" si="56"/>
        <v>56.702036379951473</v>
      </c>
      <c r="K53" s="120">
        <f t="shared" si="50"/>
        <v>56.702036379951473</v>
      </c>
      <c r="L53" s="120">
        <f t="shared" ref="L53:N53" si="58">K53</f>
        <v>56.702036379951473</v>
      </c>
      <c r="M53" s="120">
        <f t="shared" si="58"/>
        <v>56.702036379951473</v>
      </c>
      <c r="N53" s="120">
        <f t="shared" si="58"/>
        <v>56.702036379951473</v>
      </c>
    </row>
    <row r="54" spans="2:14" outlineLevel="1">
      <c r="B54" s="9" t="s">
        <v>64</v>
      </c>
      <c r="E54" s="50"/>
      <c r="F54" s="50"/>
      <c r="G54" s="50"/>
      <c r="H54" s="50"/>
      <c r="I54" s="50"/>
      <c r="J54" s="119">
        <f>J31*0.9</f>
        <v>1266.5250000000001</v>
      </c>
      <c r="K54" s="120">
        <f t="shared" si="50"/>
        <v>1266.5250000000001</v>
      </c>
      <c r="L54" s="120">
        <f t="shared" ref="L54:N54" si="59">K54</f>
        <v>1266.5250000000001</v>
      </c>
      <c r="M54" s="120">
        <f t="shared" si="59"/>
        <v>1266.5250000000001</v>
      </c>
      <c r="N54" s="120">
        <f t="shared" si="59"/>
        <v>1266.5250000000001</v>
      </c>
    </row>
    <row r="55" spans="2:14" outlineLevel="1">
      <c r="B55" s="9" t="s">
        <v>66</v>
      </c>
      <c r="E55" s="50"/>
      <c r="F55" s="50"/>
      <c r="G55" s="50"/>
      <c r="H55" s="50"/>
      <c r="I55" s="50"/>
      <c r="J55" s="119">
        <f>J32*1.1</f>
        <v>-2030.6000000000001</v>
      </c>
      <c r="K55" s="120">
        <f t="shared" ref="K55:N55" si="60">K32*1.1</f>
        <v>-1337.325</v>
      </c>
      <c r="L55" s="120">
        <f t="shared" si="60"/>
        <v>-1337.325</v>
      </c>
      <c r="M55" s="120">
        <f t="shared" si="60"/>
        <v>-1337.325</v>
      </c>
      <c r="N55" s="120">
        <f t="shared" si="60"/>
        <v>-1337.325</v>
      </c>
    </row>
    <row r="56" spans="2:14" outlineLevel="1">
      <c r="B56" s="9" t="s">
        <v>65</v>
      </c>
      <c r="E56" s="50"/>
      <c r="F56" s="50"/>
      <c r="G56" s="50"/>
      <c r="H56" s="50"/>
      <c r="I56" s="50"/>
      <c r="J56" s="119">
        <f>J33*1.1</f>
        <v>0</v>
      </c>
      <c r="K56" s="120">
        <f t="shared" ref="K56:N56" si="61">K33*1.1</f>
        <v>0</v>
      </c>
      <c r="L56" s="120">
        <f t="shared" si="61"/>
        <v>0</v>
      </c>
      <c r="M56" s="120">
        <f t="shared" si="61"/>
        <v>0</v>
      </c>
      <c r="N56" s="120">
        <f t="shared" si="61"/>
        <v>0</v>
      </c>
    </row>
    <row r="57" spans="2:14" outlineLevel="1">
      <c r="E57" s="50"/>
      <c r="F57" s="50"/>
      <c r="G57" s="50"/>
      <c r="H57" s="50"/>
      <c r="I57" s="50"/>
      <c r="J57" s="119"/>
      <c r="K57" s="119"/>
      <c r="L57" s="119"/>
      <c r="M57" s="119"/>
      <c r="N57" s="119"/>
    </row>
    <row r="58" spans="2:14" s="52" customFormat="1" outlineLevel="1">
      <c r="B58" s="174" t="s">
        <v>175</v>
      </c>
      <c r="C58" s="175"/>
      <c r="D58" s="176"/>
      <c r="E58" s="175"/>
      <c r="F58" s="175"/>
      <c r="G58" s="175"/>
      <c r="H58" s="175"/>
      <c r="I58" s="177"/>
      <c r="J58" s="178"/>
      <c r="K58" s="178"/>
      <c r="L58" s="178"/>
      <c r="M58" s="178"/>
      <c r="N58" s="178"/>
    </row>
    <row r="59" spans="2:14" outlineLevel="1">
      <c r="B59" s="6" t="s">
        <v>58</v>
      </c>
      <c r="C59" s="53"/>
      <c r="D59" s="54"/>
      <c r="E59" s="55"/>
      <c r="F59" s="4"/>
      <c r="G59" s="4"/>
      <c r="H59" s="4"/>
      <c r="I59" s="4"/>
      <c r="J59" s="3">
        <f>J13-0.03</f>
        <v>4.4076900847211914E-2</v>
      </c>
      <c r="K59" s="4">
        <f>K13-0.02</f>
        <v>3.9076900847211909E-2</v>
      </c>
      <c r="L59" s="4">
        <f>L13-0.01</f>
        <v>2.5576900847211904E-2</v>
      </c>
      <c r="M59" s="4">
        <f t="shared" ref="M59:N59" si="62">M13-0.01</f>
        <v>2.4376900847211912E-2</v>
      </c>
      <c r="N59" s="4">
        <f t="shared" si="62"/>
        <v>2.4876900847211905E-2</v>
      </c>
    </row>
    <row r="60" spans="2:14" outlineLevel="1">
      <c r="B60" s="8" t="s">
        <v>55</v>
      </c>
      <c r="C60" s="8"/>
      <c r="D60" s="56"/>
      <c r="E60" s="57"/>
      <c r="F60" s="57"/>
      <c r="G60" s="57"/>
      <c r="H60" s="57"/>
      <c r="I60" s="57"/>
      <c r="J60" s="58">
        <f>J14+0.025</f>
        <v>0.68233843894250945</v>
      </c>
      <c r="K60" s="57">
        <f>K14+0.025</f>
        <v>0.68233843894250945</v>
      </c>
      <c r="L60" s="57">
        <f t="shared" ref="L60:N60" si="63">L14+0.025</f>
        <v>0.68233843894250945</v>
      </c>
      <c r="M60" s="57">
        <f t="shared" si="63"/>
        <v>0.68233843894250945</v>
      </c>
      <c r="N60" s="57">
        <f t="shared" si="63"/>
        <v>0.68233843894250945</v>
      </c>
    </row>
    <row r="61" spans="2:14" outlineLevel="1">
      <c r="B61" s="8" t="s">
        <v>56</v>
      </c>
      <c r="C61" s="8"/>
      <c r="D61" s="56"/>
      <c r="E61" s="57"/>
      <c r="F61" s="57"/>
      <c r="G61" s="57"/>
      <c r="H61" s="57"/>
      <c r="I61" s="57"/>
      <c r="J61" s="58">
        <f>J15+0.01</f>
        <v>0.21698699118757869</v>
      </c>
      <c r="K61" s="57">
        <f t="shared" ref="K61:N61" si="64">K15+0.01</f>
        <v>0.21698699118757869</v>
      </c>
      <c r="L61" s="57">
        <f t="shared" si="64"/>
        <v>0.21698699118757869</v>
      </c>
      <c r="M61" s="57">
        <f t="shared" si="64"/>
        <v>0.21698699118757869</v>
      </c>
      <c r="N61" s="57">
        <f t="shared" si="64"/>
        <v>0.21698699118757869</v>
      </c>
    </row>
    <row r="62" spans="2:14" outlineLevel="1">
      <c r="B62" s="9" t="s">
        <v>133</v>
      </c>
      <c r="C62" s="8"/>
      <c r="D62" s="56"/>
      <c r="E62" s="59"/>
      <c r="F62" s="59"/>
      <c r="G62" s="59"/>
      <c r="H62" s="59"/>
      <c r="I62" s="59"/>
      <c r="J62" s="58">
        <f>J16</f>
        <v>1.1069480684023256E-2</v>
      </c>
      <c r="K62" s="57">
        <f t="shared" ref="K62:N62" si="65">K16</f>
        <v>1.1069480684023256E-2</v>
      </c>
      <c r="L62" s="57">
        <f t="shared" si="65"/>
        <v>1.1069480684023256E-2</v>
      </c>
      <c r="M62" s="57">
        <f t="shared" si="65"/>
        <v>1.1069480684023256E-2</v>
      </c>
      <c r="N62" s="57">
        <f t="shared" si="65"/>
        <v>1.1069480684023256E-2</v>
      </c>
    </row>
    <row r="63" spans="2:14" outlineLevel="1">
      <c r="B63" s="9" t="s">
        <v>134</v>
      </c>
      <c r="C63" s="8"/>
      <c r="D63" s="56"/>
      <c r="E63" s="59"/>
      <c r="F63" s="59"/>
      <c r="G63" s="59"/>
      <c r="H63" s="59"/>
      <c r="I63" s="59"/>
      <c r="J63" s="58">
        <f>J17+0.0005</f>
        <v>-1.4489011605956404E-4</v>
      </c>
      <c r="K63" s="57">
        <f>K17+0.0005</f>
        <v>-1.4489011605956404E-4</v>
      </c>
      <c r="L63" s="57">
        <f t="shared" ref="L63:N63" si="66">L17+0.0005</f>
        <v>-1.4489011605956404E-4</v>
      </c>
      <c r="M63" s="57">
        <f t="shared" si="66"/>
        <v>-1.4489011605956404E-4</v>
      </c>
      <c r="N63" s="57">
        <f t="shared" si="66"/>
        <v>-1.4489011605956404E-4</v>
      </c>
    </row>
    <row r="64" spans="2:14" outlineLevel="1">
      <c r="B64" s="8" t="s">
        <v>57</v>
      </c>
      <c r="C64" s="8"/>
      <c r="D64" s="56"/>
      <c r="E64" s="57"/>
      <c r="F64" s="57"/>
      <c r="G64" s="57"/>
      <c r="H64" s="57"/>
      <c r="I64" s="57"/>
      <c r="J64" s="58">
        <f>J18+0.02</f>
        <v>0.14910348018845598</v>
      </c>
      <c r="K64" s="57">
        <f t="shared" ref="K64:N64" si="67">K18+0.02</f>
        <v>0.15467361847773459</v>
      </c>
      <c r="L64" s="57">
        <f t="shared" si="67"/>
        <v>0.16079729816983027</v>
      </c>
      <c r="M64" s="57">
        <f t="shared" si="67"/>
        <v>0.16774811201641213</v>
      </c>
      <c r="N64" s="57">
        <f t="shared" si="67"/>
        <v>0.16482143818667155</v>
      </c>
    </row>
    <row r="65" spans="2:14" outlineLevel="1">
      <c r="B65" s="8" t="s">
        <v>59</v>
      </c>
      <c r="C65" s="8"/>
      <c r="D65" s="56"/>
      <c r="E65" s="57"/>
      <c r="F65" s="57"/>
      <c r="G65" s="57"/>
      <c r="H65" s="57"/>
      <c r="I65" s="57"/>
      <c r="J65" s="58">
        <f>J19+0.01</f>
        <v>4.0623658862691141E-2</v>
      </c>
      <c r="K65" s="57">
        <f t="shared" ref="K65:N65" si="68">K19+0.01</f>
        <v>4.0623658862691141E-2</v>
      </c>
      <c r="L65" s="57">
        <f t="shared" si="68"/>
        <v>4.0623658862691141E-2</v>
      </c>
      <c r="M65" s="57">
        <f t="shared" si="68"/>
        <v>4.0623658862691141E-2</v>
      </c>
      <c r="N65" s="57">
        <f t="shared" si="68"/>
        <v>4.0623658862691141E-2</v>
      </c>
    </row>
    <row r="66" spans="2:14" outlineLevel="1">
      <c r="B66" s="8" t="s">
        <v>135</v>
      </c>
      <c r="C66" s="8"/>
      <c r="D66" s="56"/>
      <c r="E66" s="57"/>
      <c r="F66" s="57"/>
      <c r="G66" s="57"/>
      <c r="H66" s="57"/>
      <c r="I66" s="57"/>
      <c r="J66" s="58">
        <f>J20-0.001</f>
        <v>3.370077778771542E-3</v>
      </c>
      <c r="K66" s="57">
        <f>K20-0.001</f>
        <v>3.370077778771542E-3</v>
      </c>
      <c r="L66" s="57">
        <f t="shared" ref="L66:N66" si="69">L20-0.001</f>
        <v>3.370077778771542E-3</v>
      </c>
      <c r="M66" s="57">
        <f t="shared" si="69"/>
        <v>3.370077778771542E-3</v>
      </c>
      <c r="N66" s="57">
        <f t="shared" si="69"/>
        <v>3.370077778771542E-3</v>
      </c>
    </row>
    <row r="67" spans="2:14" outlineLevel="1">
      <c r="B67" s="8" t="s">
        <v>136</v>
      </c>
      <c r="C67" s="8"/>
      <c r="D67" s="56"/>
      <c r="E67" s="57"/>
      <c r="F67" s="57"/>
      <c r="G67" s="57"/>
      <c r="H67" s="57"/>
      <c r="I67" s="57"/>
      <c r="J67" s="58">
        <f>J21-0.01</f>
        <v>-4.2056335623772097E-2</v>
      </c>
      <c r="K67" s="57">
        <f t="shared" ref="K67:N67" si="70">K21-0.01</f>
        <v>-4.2056335623772097E-2</v>
      </c>
      <c r="L67" s="57">
        <f t="shared" si="70"/>
        <v>-4.2056335623772097E-2</v>
      </c>
      <c r="M67" s="57">
        <f t="shared" si="70"/>
        <v>-4.2056335623772097E-2</v>
      </c>
      <c r="N67" s="57">
        <f t="shared" si="70"/>
        <v>-4.2056335623772097E-2</v>
      </c>
    </row>
    <row r="68" spans="2:14" outlineLevel="1">
      <c r="B68" s="9" t="s">
        <v>137</v>
      </c>
      <c r="C68" s="8"/>
      <c r="D68" s="56"/>
      <c r="E68" s="57"/>
      <c r="F68" s="57"/>
      <c r="G68" s="57"/>
      <c r="H68" s="57"/>
      <c r="I68" s="57"/>
      <c r="J68" s="58">
        <f>J22-0.0005</f>
        <v>-4.6392899512604413E-4</v>
      </c>
      <c r="K68" s="57">
        <f>K22-0.0005</f>
        <v>-4.6392899512604413E-4</v>
      </c>
      <c r="L68" s="57">
        <f t="shared" ref="L68:N68" si="71">L22-0.0005</f>
        <v>-4.6392899512604413E-4</v>
      </c>
      <c r="M68" s="57">
        <f t="shared" si="71"/>
        <v>-4.6392899512604413E-4</v>
      </c>
      <c r="N68" s="57">
        <f t="shared" si="71"/>
        <v>-4.6392899512604413E-4</v>
      </c>
    </row>
    <row r="69" spans="2:14" outlineLevel="1">
      <c r="B69" s="8" t="s">
        <v>60</v>
      </c>
      <c r="C69" s="60"/>
      <c r="D69" s="61"/>
      <c r="E69" s="57"/>
      <c r="F69" s="57"/>
      <c r="G69" s="57"/>
      <c r="H69" s="57"/>
      <c r="I69" s="57"/>
      <c r="J69" s="58">
        <f>J23</f>
        <v>0.32</v>
      </c>
      <c r="K69" s="57">
        <f t="shared" ref="K69:N69" si="72">K23</f>
        <v>0.32</v>
      </c>
      <c r="L69" s="57">
        <f t="shared" si="72"/>
        <v>0.32</v>
      </c>
      <c r="M69" s="57">
        <f t="shared" si="72"/>
        <v>0.32</v>
      </c>
      <c r="N69" s="57">
        <f t="shared" si="72"/>
        <v>0.32</v>
      </c>
    </row>
    <row r="70" spans="2:14" outlineLevel="1">
      <c r="B70" s="9" t="s">
        <v>61</v>
      </c>
      <c r="D70" s="62"/>
      <c r="E70" s="50"/>
      <c r="F70" s="50"/>
      <c r="G70" s="50"/>
      <c r="H70" s="50"/>
      <c r="I70" s="50"/>
      <c r="J70" s="119">
        <f>J24*1.1</f>
        <v>48.548257126155853</v>
      </c>
      <c r="K70" s="120">
        <v>50</v>
      </c>
      <c r="L70" s="120">
        <v>50</v>
      </c>
      <c r="M70" s="120">
        <v>50</v>
      </c>
      <c r="N70" s="120">
        <v>50</v>
      </c>
    </row>
    <row r="71" spans="2:14" outlineLevel="1">
      <c r="B71" s="9" t="s">
        <v>62</v>
      </c>
      <c r="D71" s="62"/>
      <c r="E71" s="50"/>
      <c r="F71" s="50"/>
      <c r="G71" s="50"/>
      <c r="H71" s="50"/>
      <c r="I71" s="50"/>
      <c r="J71" s="119">
        <f t="shared" ref="J71:J73" si="73">J25*1.1</f>
        <v>87.441307499166214</v>
      </c>
      <c r="K71" s="120">
        <v>60</v>
      </c>
      <c r="L71" s="120">
        <v>60</v>
      </c>
      <c r="M71" s="120">
        <v>60</v>
      </c>
      <c r="N71" s="120">
        <v>60</v>
      </c>
    </row>
    <row r="72" spans="2:14" outlineLevel="1">
      <c r="B72" s="9" t="s">
        <v>178</v>
      </c>
      <c r="D72" s="62"/>
      <c r="E72" s="50"/>
      <c r="F72" s="50"/>
      <c r="G72" s="50"/>
      <c r="H72" s="50"/>
      <c r="I72" s="50"/>
      <c r="J72" s="119">
        <f t="shared" si="73"/>
        <v>2.5407372685260547</v>
      </c>
      <c r="K72" s="120">
        <f>J72</f>
        <v>2.5407372685260547</v>
      </c>
      <c r="L72" s="120">
        <f t="shared" ref="L72:N72" si="74">K72</f>
        <v>2.5407372685260547</v>
      </c>
      <c r="M72" s="120">
        <f t="shared" si="74"/>
        <v>2.5407372685260547</v>
      </c>
      <c r="N72" s="120">
        <f t="shared" si="74"/>
        <v>2.5407372685260547</v>
      </c>
    </row>
    <row r="73" spans="2:14" outlineLevel="1">
      <c r="B73" s="9" t="s">
        <v>177</v>
      </c>
      <c r="D73" s="62"/>
      <c r="E73" s="50"/>
      <c r="F73" s="50"/>
      <c r="G73" s="50"/>
      <c r="H73" s="50"/>
      <c r="I73" s="50"/>
      <c r="J73" s="119">
        <f t="shared" si="73"/>
        <v>14.657147281225878</v>
      </c>
      <c r="K73" s="120">
        <f>J73</f>
        <v>14.657147281225878</v>
      </c>
      <c r="L73" s="120">
        <f t="shared" ref="L73:N73" si="75">K73</f>
        <v>14.657147281225878</v>
      </c>
      <c r="M73" s="120">
        <f t="shared" si="75"/>
        <v>14.657147281225878</v>
      </c>
      <c r="N73" s="120">
        <f t="shared" si="75"/>
        <v>14.657147281225878</v>
      </c>
    </row>
    <row r="74" spans="2:14" outlineLevel="1">
      <c r="B74" s="9" t="s">
        <v>63</v>
      </c>
      <c r="D74" s="62"/>
      <c r="E74" s="50"/>
      <c r="F74" s="50"/>
      <c r="G74" s="50"/>
      <c r="H74" s="50"/>
      <c r="I74" s="50"/>
      <c r="J74" s="119">
        <f>J28*0.9</f>
        <v>71.962847065404674</v>
      </c>
      <c r="K74" s="120">
        <f>J74</f>
        <v>71.962847065404674</v>
      </c>
      <c r="L74" s="120">
        <f t="shared" ref="L74:N74" si="76">K74</f>
        <v>71.962847065404674</v>
      </c>
      <c r="M74" s="120">
        <f t="shared" si="76"/>
        <v>71.962847065404674</v>
      </c>
      <c r="N74" s="120">
        <f t="shared" si="76"/>
        <v>71.962847065404674</v>
      </c>
    </row>
    <row r="75" spans="2:14" outlineLevel="1">
      <c r="B75" s="9" t="s">
        <v>179</v>
      </c>
      <c r="D75" s="62"/>
      <c r="E75" s="50"/>
      <c r="F75" s="50"/>
      <c r="G75" s="50"/>
      <c r="H75" s="50"/>
      <c r="I75" s="50"/>
      <c r="J75" s="119">
        <f t="shared" ref="J75:J76" si="77">J29*0.9</f>
        <v>1.7948122105066933</v>
      </c>
      <c r="K75" s="120">
        <f>J75</f>
        <v>1.7948122105066933</v>
      </c>
      <c r="L75" s="120">
        <f t="shared" ref="L75:N75" si="78">K75</f>
        <v>1.7948122105066933</v>
      </c>
      <c r="M75" s="120">
        <f t="shared" si="78"/>
        <v>1.7948122105066933</v>
      </c>
      <c r="N75" s="120">
        <f t="shared" si="78"/>
        <v>1.7948122105066933</v>
      </c>
    </row>
    <row r="76" spans="2:14" outlineLevel="1">
      <c r="B76" s="9" t="s">
        <v>180</v>
      </c>
      <c r="D76" s="62"/>
      <c r="E76" s="50"/>
      <c r="F76" s="50"/>
      <c r="G76" s="50"/>
      <c r="H76" s="50"/>
      <c r="I76" s="50"/>
      <c r="J76" s="119">
        <f t="shared" si="77"/>
        <v>46.392575219960293</v>
      </c>
      <c r="K76" s="120">
        <f>J76</f>
        <v>46.392575219960293</v>
      </c>
      <c r="L76" s="120">
        <f t="shared" ref="L76:N76" si="79">K76</f>
        <v>46.392575219960293</v>
      </c>
      <c r="M76" s="120">
        <f t="shared" si="79"/>
        <v>46.392575219960293</v>
      </c>
      <c r="N76" s="120">
        <f t="shared" si="79"/>
        <v>46.392575219960293</v>
      </c>
    </row>
    <row r="77" spans="2:14" outlineLevel="1">
      <c r="B77" s="9" t="s">
        <v>64</v>
      </c>
      <c r="E77" s="50"/>
      <c r="F77" s="50"/>
      <c r="G77" s="50"/>
      <c r="H77" s="50"/>
      <c r="I77" s="50"/>
      <c r="J77" s="119">
        <f>J31*1.1</f>
        <v>1547.9750000000001</v>
      </c>
      <c r="K77" s="120">
        <v>1800</v>
      </c>
      <c r="L77" s="120">
        <v>1800</v>
      </c>
      <c r="M77" s="120">
        <v>1800</v>
      </c>
      <c r="N77" s="120">
        <v>1800</v>
      </c>
    </row>
    <row r="78" spans="2:14" outlineLevel="1">
      <c r="B78" s="9" t="s">
        <v>66</v>
      </c>
      <c r="E78" s="50"/>
      <c r="F78" s="50"/>
      <c r="G78" s="50"/>
      <c r="H78" s="50"/>
      <c r="I78" s="50"/>
      <c r="J78" s="119">
        <f>J32*0.9</f>
        <v>-1661.4</v>
      </c>
      <c r="K78" s="120">
        <f t="shared" ref="K78:N78" si="80">K32*0.9</f>
        <v>-1094.175</v>
      </c>
      <c r="L78" s="120">
        <f t="shared" si="80"/>
        <v>-1094.175</v>
      </c>
      <c r="M78" s="120">
        <f t="shared" si="80"/>
        <v>-1094.175</v>
      </c>
      <c r="N78" s="120">
        <f t="shared" si="80"/>
        <v>-1094.175</v>
      </c>
    </row>
    <row r="79" spans="2:14" outlineLevel="1">
      <c r="B79" s="9" t="s">
        <v>65</v>
      </c>
      <c r="E79" s="50"/>
      <c r="F79" s="50"/>
      <c r="G79" s="50"/>
      <c r="H79" s="50"/>
      <c r="I79" s="50"/>
      <c r="J79" s="119">
        <f>J33*0.9</f>
        <v>0</v>
      </c>
      <c r="K79" s="120">
        <f t="shared" ref="K79:N79" si="81">K33*0.9</f>
        <v>0</v>
      </c>
      <c r="L79" s="120">
        <f t="shared" si="81"/>
        <v>0</v>
      </c>
      <c r="M79" s="120">
        <f t="shared" si="81"/>
        <v>0</v>
      </c>
      <c r="N79" s="120">
        <f t="shared" si="81"/>
        <v>0</v>
      </c>
    </row>
    <row r="80" spans="2:14" outlineLevel="1">
      <c r="E80" s="50"/>
      <c r="F80" s="50"/>
      <c r="G80" s="50"/>
      <c r="H80" s="50"/>
      <c r="I80" s="50"/>
      <c r="J80" s="51"/>
      <c r="K80" s="51"/>
      <c r="L80" s="51"/>
      <c r="M80" s="51"/>
      <c r="N80" s="51"/>
    </row>
    <row r="81" spans="2:14" outlineLevel="1">
      <c r="B81" s="174" t="s">
        <v>115</v>
      </c>
      <c r="C81" s="179"/>
      <c r="D81" s="180"/>
      <c r="E81" s="181"/>
      <c r="F81" s="181"/>
      <c r="G81" s="181"/>
      <c r="H81" s="181"/>
      <c r="I81" s="181"/>
      <c r="J81" s="182"/>
      <c r="K81" s="182"/>
      <c r="L81" s="182"/>
      <c r="M81" s="182"/>
      <c r="N81" s="182"/>
    </row>
    <row r="82" spans="2:14" outlineLevel="1">
      <c r="B82" s="6" t="s">
        <v>58</v>
      </c>
      <c r="C82" s="53"/>
      <c r="D82" s="53"/>
      <c r="E82" s="53"/>
      <c r="F82" s="53"/>
      <c r="G82" s="53"/>
      <c r="H82" s="53"/>
      <c r="I82" s="53"/>
      <c r="J82" s="4">
        <f t="shared" ref="J82:J94" si="82">CHOOSE($K$4,J13,J36,J59)</f>
        <v>7.4076900847211913E-2</v>
      </c>
      <c r="K82" s="4">
        <f t="shared" ref="K82:N82" si="83">CHOOSE($K$4,K13,K36,K59)</f>
        <v>5.9076900847211913E-2</v>
      </c>
      <c r="L82" s="4">
        <f t="shared" si="83"/>
        <v>3.5576900847211906E-2</v>
      </c>
      <c r="M82" s="4">
        <f t="shared" si="83"/>
        <v>3.4376900847211914E-2</v>
      </c>
      <c r="N82" s="4">
        <f t="shared" si="83"/>
        <v>3.4876900847211907E-2</v>
      </c>
    </row>
    <row r="83" spans="2:14" outlineLevel="1">
      <c r="B83" s="8" t="s">
        <v>55</v>
      </c>
      <c r="C83" s="8"/>
      <c r="D83" s="56"/>
      <c r="J83" s="57">
        <f t="shared" si="82"/>
        <v>0.65733843894250943</v>
      </c>
      <c r="K83" s="57">
        <f t="shared" ref="K83:N94" si="84">CHOOSE($K$4,K14,K37,K60)</f>
        <v>0.65733843894250943</v>
      </c>
      <c r="L83" s="57">
        <f t="shared" si="84"/>
        <v>0.65733843894250943</v>
      </c>
      <c r="M83" s="57">
        <f t="shared" si="84"/>
        <v>0.65733843894250943</v>
      </c>
      <c r="N83" s="57">
        <f t="shared" si="84"/>
        <v>0.65733843894250943</v>
      </c>
    </row>
    <row r="84" spans="2:14" outlineLevel="1">
      <c r="B84" s="8" t="s">
        <v>56</v>
      </c>
      <c r="C84" s="8"/>
      <c r="D84" s="56"/>
      <c r="J84" s="57">
        <f t="shared" si="82"/>
        <v>0.20698699118757868</v>
      </c>
      <c r="K84" s="57">
        <f t="shared" si="84"/>
        <v>0.20698699118757868</v>
      </c>
      <c r="L84" s="57">
        <f t="shared" si="84"/>
        <v>0.20698699118757868</v>
      </c>
      <c r="M84" s="57">
        <f t="shared" si="84"/>
        <v>0.20698699118757868</v>
      </c>
      <c r="N84" s="57">
        <f t="shared" si="84"/>
        <v>0.20698699118757868</v>
      </c>
    </row>
    <row r="85" spans="2:14" outlineLevel="1">
      <c r="B85" s="9" t="s">
        <v>133</v>
      </c>
      <c r="C85" s="8"/>
      <c r="D85" s="56"/>
      <c r="J85" s="57">
        <f t="shared" si="82"/>
        <v>1.1069480684023256E-2</v>
      </c>
      <c r="K85" s="57">
        <f t="shared" si="84"/>
        <v>1.1069480684023256E-2</v>
      </c>
      <c r="L85" s="57">
        <f t="shared" si="84"/>
        <v>1.1069480684023256E-2</v>
      </c>
      <c r="M85" s="57">
        <f t="shared" si="84"/>
        <v>1.1069480684023256E-2</v>
      </c>
      <c r="N85" s="57">
        <f t="shared" si="84"/>
        <v>1.1069480684023256E-2</v>
      </c>
    </row>
    <row r="86" spans="2:14" outlineLevel="1">
      <c r="B86" s="9" t="s">
        <v>134</v>
      </c>
      <c r="C86" s="8"/>
      <c r="D86" s="56"/>
      <c r="J86" s="57">
        <f t="shared" si="82"/>
        <v>-6.4489011605956405E-4</v>
      </c>
      <c r="K86" s="57">
        <f t="shared" si="84"/>
        <v>-6.4489011605956405E-4</v>
      </c>
      <c r="L86" s="57">
        <f t="shared" si="84"/>
        <v>-6.4489011605956405E-4</v>
      </c>
      <c r="M86" s="57">
        <f t="shared" si="84"/>
        <v>-6.4489011605956405E-4</v>
      </c>
      <c r="N86" s="57">
        <f t="shared" si="84"/>
        <v>-6.4489011605956405E-4</v>
      </c>
    </row>
    <row r="87" spans="2:14" outlineLevel="1">
      <c r="B87" s="8" t="s">
        <v>57</v>
      </c>
      <c r="C87" s="8"/>
      <c r="D87" s="56"/>
      <c r="J87" s="57">
        <f t="shared" si="82"/>
        <v>0.12910348018845599</v>
      </c>
      <c r="K87" s="57">
        <f t="shared" si="84"/>
        <v>0.1346736184777346</v>
      </c>
      <c r="L87" s="57">
        <f t="shared" si="84"/>
        <v>0.14079729816983028</v>
      </c>
      <c r="M87" s="57">
        <f t="shared" si="84"/>
        <v>0.14774811201641214</v>
      </c>
      <c r="N87" s="57">
        <f t="shared" si="84"/>
        <v>0.14482143818667156</v>
      </c>
    </row>
    <row r="88" spans="2:14" outlineLevel="1">
      <c r="B88" s="8" t="s">
        <v>59</v>
      </c>
      <c r="C88" s="8"/>
      <c r="D88" s="56"/>
      <c r="J88" s="57">
        <f t="shared" si="82"/>
        <v>3.0623658862691139E-2</v>
      </c>
      <c r="K88" s="57">
        <f t="shared" si="84"/>
        <v>3.0623658862691139E-2</v>
      </c>
      <c r="L88" s="57">
        <f t="shared" si="84"/>
        <v>3.0623658862691139E-2</v>
      </c>
      <c r="M88" s="57">
        <f t="shared" si="84"/>
        <v>3.0623658862691139E-2</v>
      </c>
      <c r="N88" s="57">
        <f t="shared" si="84"/>
        <v>3.0623658862691139E-2</v>
      </c>
    </row>
    <row r="89" spans="2:14" outlineLevel="1">
      <c r="B89" s="8" t="s">
        <v>135</v>
      </c>
      <c r="C89" s="8"/>
      <c r="D89" s="56"/>
      <c r="J89" s="57">
        <f t="shared" si="82"/>
        <v>4.370077778771542E-3</v>
      </c>
      <c r="K89" s="57">
        <f t="shared" si="84"/>
        <v>4.370077778771542E-3</v>
      </c>
      <c r="L89" s="57">
        <f t="shared" si="84"/>
        <v>4.370077778771542E-3</v>
      </c>
      <c r="M89" s="57">
        <f t="shared" si="84"/>
        <v>4.370077778771542E-3</v>
      </c>
      <c r="N89" s="57">
        <f t="shared" si="84"/>
        <v>4.370077778771542E-3</v>
      </c>
    </row>
    <row r="90" spans="2:14" outlineLevel="1">
      <c r="B90" s="8" t="s">
        <v>136</v>
      </c>
      <c r="C90" s="8"/>
      <c r="D90" s="56"/>
      <c r="J90" s="57">
        <f t="shared" si="82"/>
        <v>-3.2056335623772095E-2</v>
      </c>
      <c r="K90" s="57">
        <f t="shared" si="84"/>
        <v>-3.2056335623772095E-2</v>
      </c>
      <c r="L90" s="57">
        <f t="shared" si="84"/>
        <v>-3.2056335623772095E-2</v>
      </c>
      <c r="M90" s="57">
        <f t="shared" si="84"/>
        <v>-3.2056335623772095E-2</v>
      </c>
      <c r="N90" s="57">
        <f t="shared" si="84"/>
        <v>-3.2056335623772095E-2</v>
      </c>
    </row>
    <row r="91" spans="2:14" outlineLevel="1">
      <c r="B91" s="9" t="s">
        <v>137</v>
      </c>
      <c r="C91" s="8"/>
      <c r="D91" s="56"/>
      <c r="J91" s="57">
        <f t="shared" si="82"/>
        <v>3.6071004873955895E-5</v>
      </c>
      <c r="K91" s="57">
        <f t="shared" si="84"/>
        <v>3.6071004873955895E-5</v>
      </c>
      <c r="L91" s="57">
        <f t="shared" si="84"/>
        <v>3.6071004873955895E-5</v>
      </c>
      <c r="M91" s="57">
        <f t="shared" si="84"/>
        <v>3.6071004873955895E-5</v>
      </c>
      <c r="N91" s="57">
        <f t="shared" si="84"/>
        <v>3.6071004873955895E-5</v>
      </c>
    </row>
    <row r="92" spans="2:14" outlineLevel="1">
      <c r="B92" s="8" t="s">
        <v>60</v>
      </c>
      <c r="C92" s="60"/>
      <c r="D92" s="61"/>
      <c r="J92" s="57">
        <f t="shared" si="82"/>
        <v>0.32</v>
      </c>
      <c r="K92" s="57">
        <f t="shared" si="84"/>
        <v>0.32</v>
      </c>
      <c r="L92" s="57">
        <f t="shared" si="84"/>
        <v>0.32</v>
      </c>
      <c r="M92" s="57">
        <f t="shared" si="84"/>
        <v>0.32</v>
      </c>
      <c r="N92" s="57">
        <f t="shared" si="84"/>
        <v>0.32</v>
      </c>
    </row>
    <row r="93" spans="2:14" outlineLevel="1">
      <c r="B93" s="9" t="s">
        <v>61</v>
      </c>
      <c r="D93" s="62"/>
      <c r="J93" s="118">
        <f t="shared" si="82"/>
        <v>44.134779205596224</v>
      </c>
      <c r="K93" s="118">
        <f t="shared" si="84"/>
        <v>44.134779205596224</v>
      </c>
      <c r="L93" s="118">
        <f t="shared" si="84"/>
        <v>44.134779205596224</v>
      </c>
      <c r="M93" s="118">
        <f t="shared" si="84"/>
        <v>44.134779205596224</v>
      </c>
      <c r="N93" s="118">
        <f t="shared" si="84"/>
        <v>44.134779205596224</v>
      </c>
    </row>
    <row r="94" spans="2:14" outlineLevel="1">
      <c r="B94" s="9" t="s">
        <v>62</v>
      </c>
      <c r="D94" s="62"/>
      <c r="J94" s="118">
        <f t="shared" si="82"/>
        <v>79.492097726514729</v>
      </c>
      <c r="K94" s="118">
        <f t="shared" si="84"/>
        <v>79.492097726514729</v>
      </c>
      <c r="L94" s="118">
        <f t="shared" si="84"/>
        <v>79.492097726514729</v>
      </c>
      <c r="M94" s="118">
        <f t="shared" si="84"/>
        <v>79.492097726514729</v>
      </c>
      <c r="N94" s="118">
        <f t="shared" si="84"/>
        <v>79.492097726514729</v>
      </c>
    </row>
    <row r="95" spans="2:14" outlineLevel="1">
      <c r="B95" s="9" t="s">
        <v>178</v>
      </c>
      <c r="D95" s="62"/>
      <c r="J95" s="118">
        <f t="shared" ref="J95:N95" si="85">CHOOSE($K$4,J26,J49,J72)</f>
        <v>2.3097611532055042</v>
      </c>
      <c r="K95" s="118">
        <f t="shared" si="85"/>
        <v>2.3097611532055042</v>
      </c>
      <c r="L95" s="118">
        <f t="shared" si="85"/>
        <v>2.3097611532055042</v>
      </c>
      <c r="M95" s="118">
        <f t="shared" si="85"/>
        <v>2.3097611532055042</v>
      </c>
      <c r="N95" s="118">
        <f t="shared" si="85"/>
        <v>2.3097611532055042</v>
      </c>
    </row>
    <row r="96" spans="2:14" outlineLevel="1">
      <c r="B96" s="9" t="s">
        <v>177</v>
      </c>
      <c r="D96" s="62"/>
      <c r="J96" s="118">
        <f t="shared" ref="J96:N96" si="86">CHOOSE($K$4,J27,J50,J73)</f>
        <v>13.324679346568979</v>
      </c>
      <c r="K96" s="118">
        <f t="shared" si="86"/>
        <v>13.324679346568979</v>
      </c>
      <c r="L96" s="118">
        <f t="shared" si="86"/>
        <v>13.324679346568979</v>
      </c>
      <c r="M96" s="118">
        <f t="shared" si="86"/>
        <v>13.324679346568979</v>
      </c>
      <c r="N96" s="118">
        <f t="shared" si="86"/>
        <v>13.324679346568979</v>
      </c>
    </row>
    <row r="97" spans="2:14" outlineLevel="1">
      <c r="B97" s="9" t="s">
        <v>63</v>
      </c>
      <c r="D97" s="62"/>
      <c r="J97" s="118">
        <f t="shared" ref="J97:N97" si="87">CHOOSE($K$4,J28,J51,J74)</f>
        <v>79.958718961560749</v>
      </c>
      <c r="K97" s="118">
        <f t="shared" si="87"/>
        <v>79.958718961560749</v>
      </c>
      <c r="L97" s="118">
        <f t="shared" si="87"/>
        <v>79.958718961560749</v>
      </c>
      <c r="M97" s="118">
        <f t="shared" si="87"/>
        <v>79.958718961560749</v>
      </c>
      <c r="N97" s="118">
        <f t="shared" si="87"/>
        <v>79.958718961560749</v>
      </c>
    </row>
    <row r="98" spans="2:14" outlineLevel="1">
      <c r="B98" s="9" t="s">
        <v>179</v>
      </c>
      <c r="D98" s="62"/>
      <c r="J98" s="118">
        <f t="shared" ref="J98:N98" si="88">CHOOSE($K$4,J29,J52,J75)</f>
        <v>1.9942357894518814</v>
      </c>
      <c r="K98" s="118">
        <f t="shared" si="88"/>
        <v>1.9942357894518814</v>
      </c>
      <c r="L98" s="118">
        <f t="shared" si="88"/>
        <v>1.9942357894518814</v>
      </c>
      <c r="M98" s="118">
        <f t="shared" si="88"/>
        <v>1.9942357894518814</v>
      </c>
      <c r="N98" s="118">
        <f t="shared" si="88"/>
        <v>1.9942357894518814</v>
      </c>
    </row>
    <row r="99" spans="2:14" outlineLevel="1">
      <c r="B99" s="9" t="s">
        <v>180</v>
      </c>
      <c r="D99" s="62"/>
      <c r="J99" s="118">
        <f t="shared" ref="J99:N99" si="89">CHOOSE($K$4,J30,J53,J76)</f>
        <v>51.547305799955879</v>
      </c>
      <c r="K99" s="118">
        <f t="shared" si="89"/>
        <v>51.547305799955879</v>
      </c>
      <c r="L99" s="118">
        <f t="shared" si="89"/>
        <v>51.547305799955879</v>
      </c>
      <c r="M99" s="118">
        <f t="shared" si="89"/>
        <v>51.547305799955879</v>
      </c>
      <c r="N99" s="118">
        <f t="shared" si="89"/>
        <v>51.547305799955879</v>
      </c>
    </row>
    <row r="100" spans="2:14" outlineLevel="1">
      <c r="B100" s="9" t="s">
        <v>64</v>
      </c>
      <c r="J100" s="118">
        <f t="shared" ref="J100:N102" si="90">CHOOSE($K$4,J31,J54,J77)</f>
        <v>1407.25</v>
      </c>
      <c r="K100" s="118">
        <f t="shared" si="90"/>
        <v>1407.25</v>
      </c>
      <c r="L100" s="118">
        <f t="shared" si="90"/>
        <v>1407.25</v>
      </c>
      <c r="M100" s="118">
        <f t="shared" si="90"/>
        <v>1407.25</v>
      </c>
      <c r="N100" s="118">
        <f t="shared" si="90"/>
        <v>1407.25</v>
      </c>
    </row>
    <row r="101" spans="2:14" outlineLevel="1">
      <c r="B101" s="9" t="s">
        <v>66</v>
      </c>
      <c r="J101" s="118">
        <f t="shared" si="90"/>
        <v>-1846</v>
      </c>
      <c r="K101" s="118">
        <f t="shared" si="90"/>
        <v>-1215.75</v>
      </c>
      <c r="L101" s="118">
        <f t="shared" si="90"/>
        <v>-1215.75</v>
      </c>
      <c r="M101" s="118">
        <f t="shared" si="90"/>
        <v>-1215.75</v>
      </c>
      <c r="N101" s="118">
        <f t="shared" si="90"/>
        <v>-1215.75</v>
      </c>
    </row>
    <row r="102" spans="2:14" outlineLevel="1">
      <c r="B102" s="9" t="s">
        <v>65</v>
      </c>
      <c r="J102" s="118">
        <f t="shared" si="90"/>
        <v>0</v>
      </c>
      <c r="K102" s="118">
        <f t="shared" si="90"/>
        <v>0</v>
      </c>
      <c r="L102" s="118">
        <f t="shared" si="90"/>
        <v>0</v>
      </c>
      <c r="M102" s="118">
        <f t="shared" si="90"/>
        <v>0</v>
      </c>
      <c r="N102" s="118">
        <f t="shared" si="90"/>
        <v>0</v>
      </c>
    </row>
    <row r="103" spans="2:14" outlineLevel="1">
      <c r="E103" s="50"/>
      <c r="F103" s="50"/>
      <c r="G103" s="50"/>
      <c r="H103" s="50"/>
      <c r="I103" s="50"/>
      <c r="J103" s="51"/>
      <c r="K103" s="51"/>
      <c r="L103" s="51"/>
      <c r="M103" s="51"/>
      <c r="N103" s="51"/>
    </row>
    <row r="104" spans="2:14">
      <c r="E104" s="50"/>
      <c r="F104" s="50"/>
      <c r="G104" s="50"/>
      <c r="H104" s="50"/>
      <c r="I104" s="50"/>
      <c r="J104" s="51"/>
      <c r="K104" s="51"/>
      <c r="L104" s="51"/>
      <c r="M104" s="51"/>
      <c r="N104" s="51"/>
    </row>
    <row r="105" spans="2:14" ht="18">
      <c r="B105" s="152" t="s">
        <v>0</v>
      </c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</row>
    <row r="106" spans="2:14" outlineLevel="1">
      <c r="B106" s="63"/>
      <c r="C106" s="63"/>
      <c r="D106" s="31"/>
      <c r="E106" s="64"/>
      <c r="F106" s="64"/>
      <c r="G106" s="64"/>
      <c r="H106" s="64"/>
      <c r="I106" s="64"/>
      <c r="J106" s="65"/>
      <c r="K106" s="65"/>
      <c r="L106" s="65"/>
      <c r="M106" s="65"/>
      <c r="N106" s="65"/>
    </row>
    <row r="107" spans="2:14" outlineLevel="1">
      <c r="B107" s="10" t="s">
        <v>259</v>
      </c>
      <c r="C107" s="10"/>
      <c r="D107" s="66"/>
      <c r="E107" s="67">
        <v>39093</v>
      </c>
      <c r="F107" s="67">
        <v>40810</v>
      </c>
      <c r="G107" s="67">
        <v>41774</v>
      </c>
      <c r="H107" s="67">
        <v>42573</v>
      </c>
      <c r="I107" s="67">
        <v>38128</v>
      </c>
      <c r="J107" s="1">
        <f>I107*((1+J82+$B$293))</f>
        <v>40952.404075502498</v>
      </c>
      <c r="K107" s="1">
        <f>J107*((1+K82+$B$293))</f>
        <v>43371.745190525915</v>
      </c>
      <c r="L107" s="1">
        <f>K107*((1+L82+$B$293))</f>
        <v>44914.777468739798</v>
      </c>
      <c r="M107" s="1">
        <f>L107*((1+M82+$B$293))</f>
        <v>46458.808320357253</v>
      </c>
      <c r="N107" s="1">
        <f>M107*((1+N82+$B$293))</f>
        <v>48079.147571625974</v>
      </c>
    </row>
    <row r="108" spans="2:14" outlineLevel="1">
      <c r="B108" s="8" t="s">
        <v>52</v>
      </c>
      <c r="C108" s="8"/>
      <c r="D108" s="56"/>
      <c r="E108" s="68">
        <v>26640</v>
      </c>
      <c r="F108" s="68">
        <v>27886</v>
      </c>
      <c r="G108" s="68">
        <v>28568</v>
      </c>
      <c r="H108" s="68">
        <v>28313</v>
      </c>
      <c r="I108" s="68">
        <f>25063</f>
        <v>25063</v>
      </c>
      <c r="J108" s="2">
        <f>J107*(J83*(1+$E$293))</f>
        <v>26919.589365933673</v>
      </c>
      <c r="K108" s="2">
        <f>K107*(K83*(1+$E$293))</f>
        <v>28509.915277752596</v>
      </c>
      <c r="L108" s="2">
        <f>L107*(L83*(1+$E$293))</f>
        <v>29524.209706751615</v>
      </c>
      <c r="M108" s="2">
        <f>M107*(M83*(1+$E$293))</f>
        <v>30539.160536432904</v>
      </c>
      <c r="N108" s="2">
        <f>N107*(N83*(1+$E$293))</f>
        <v>31604.271810419159</v>
      </c>
    </row>
    <row r="109" spans="2:14" outlineLevel="1">
      <c r="B109" s="53" t="s">
        <v>1</v>
      </c>
      <c r="C109" s="53"/>
      <c r="D109" s="54"/>
      <c r="E109" s="69">
        <f>E107-E108</f>
        <v>12453</v>
      </c>
      <c r="F109" s="69">
        <f t="shared" ref="F109:N109" si="91">F107-F108</f>
        <v>12924</v>
      </c>
      <c r="G109" s="69">
        <f t="shared" si="91"/>
        <v>13206</v>
      </c>
      <c r="H109" s="69">
        <f t="shared" si="91"/>
        <v>14260</v>
      </c>
      <c r="I109" s="69">
        <f t="shared" si="91"/>
        <v>13065</v>
      </c>
      <c r="J109" s="69">
        <f t="shared" si="91"/>
        <v>14032.814709568825</v>
      </c>
      <c r="K109" s="69">
        <f t="shared" si="91"/>
        <v>14861.829912773319</v>
      </c>
      <c r="L109" s="69">
        <f t="shared" si="91"/>
        <v>15390.567761988183</v>
      </c>
      <c r="M109" s="69">
        <f t="shared" si="91"/>
        <v>15919.647783924349</v>
      </c>
      <c r="N109" s="69">
        <f t="shared" si="91"/>
        <v>16474.875761206815</v>
      </c>
    </row>
    <row r="110" spans="2:14" outlineLevel="1">
      <c r="B110" s="63" t="s">
        <v>70</v>
      </c>
      <c r="C110" s="63"/>
      <c r="D110" s="31"/>
      <c r="E110" s="70"/>
      <c r="F110" s="70"/>
      <c r="G110" s="70"/>
      <c r="H110" s="131"/>
      <c r="I110" s="131"/>
      <c r="J110" s="131"/>
      <c r="K110" s="131"/>
      <c r="L110" s="131"/>
      <c r="M110" s="131"/>
      <c r="N110" s="131"/>
    </row>
    <row r="111" spans="2:14" outlineLevel="1">
      <c r="B111" s="9" t="s">
        <v>2</v>
      </c>
      <c r="E111" s="12">
        <f>7819+30+197</f>
        <v>8046</v>
      </c>
      <c r="F111" s="12">
        <f>8110+38+125</f>
        <v>8273</v>
      </c>
      <c r="G111" s="12">
        <f>8243+35+180</f>
        <v>8458</v>
      </c>
      <c r="H111" s="12">
        <f>8336+33+158</f>
        <v>8527</v>
      </c>
      <c r="I111" s="12">
        <f>7625+45+222</f>
        <v>7892</v>
      </c>
      <c r="J111" s="7">
        <f t="shared" ref="J111:N113" si="92">J$107*J84</f>
        <v>8476.6149014861967</v>
      </c>
      <c r="K111" s="7">
        <f t="shared" si="92"/>
        <v>8977.387039541296</v>
      </c>
      <c r="L111" s="7">
        <f t="shared" si="92"/>
        <v>9296.7746481141021</v>
      </c>
      <c r="M111" s="7">
        <f t="shared" si="92"/>
        <v>9616.3689483911949</v>
      </c>
      <c r="N111" s="7">
        <f t="shared" si="92"/>
        <v>9951.7580947144397</v>
      </c>
    </row>
    <row r="112" spans="2:14" outlineLevel="1">
      <c r="B112" s="9" t="s">
        <v>133</v>
      </c>
      <c r="E112" s="12">
        <v>440</v>
      </c>
      <c r="F112" s="12">
        <v>450</v>
      </c>
      <c r="G112" s="12">
        <v>454</v>
      </c>
      <c r="H112" s="12">
        <v>466</v>
      </c>
      <c r="I112" s="12">
        <v>429</v>
      </c>
      <c r="J112" s="7">
        <f t="shared" si="92"/>
        <v>453.32184587809019</v>
      </c>
      <c r="K112" s="7">
        <f t="shared" si="92"/>
        <v>480.10269561890516</v>
      </c>
      <c r="L112" s="7">
        <f t="shared" si="92"/>
        <v>497.18326161741817</v>
      </c>
      <c r="M112" s="7">
        <f t="shared" si="92"/>
        <v>514.2748813049335</v>
      </c>
      <c r="N112" s="7">
        <f t="shared" si="92"/>
        <v>532.21119534841739</v>
      </c>
    </row>
    <row r="113" spans="2:14" outlineLevel="1">
      <c r="B113" s="9" t="s">
        <v>134</v>
      </c>
      <c r="E113" s="12">
        <v>-31</v>
      </c>
      <c r="F113" s="12">
        <v>-33</v>
      </c>
      <c r="G113" s="12">
        <v>-30</v>
      </c>
      <c r="H113" s="12">
        <v>-24</v>
      </c>
      <c r="I113" s="12">
        <v>-13</v>
      </c>
      <c r="J113" s="7">
        <f t="shared" si="92"/>
        <v>-26.409800617168969</v>
      </c>
      <c r="K113" s="7">
        <f t="shared" si="92"/>
        <v>-27.970009789624097</v>
      </c>
      <c r="L113" s="7">
        <f t="shared" si="92"/>
        <v>-28.965096054605102</v>
      </c>
      <c r="M113" s="7">
        <f t="shared" si="92"/>
        <v>-29.960826289704229</v>
      </c>
      <c r="N113" s="7">
        <f t="shared" si="92"/>
        <v>-31.005767057510781</v>
      </c>
    </row>
    <row r="114" spans="2:14" outlineLevel="1">
      <c r="B114" s="53" t="s">
        <v>112</v>
      </c>
      <c r="C114" s="53"/>
      <c r="D114" s="54"/>
      <c r="E114" s="69">
        <f>E109-E111-E112-E113</f>
        <v>3998</v>
      </c>
      <c r="F114" s="69">
        <f t="shared" ref="F114:N114" si="93">F109-F111-F112-F113</f>
        <v>4234</v>
      </c>
      <c r="G114" s="69">
        <f t="shared" si="93"/>
        <v>4324</v>
      </c>
      <c r="H114" s="69">
        <f t="shared" si="93"/>
        <v>5291</v>
      </c>
      <c r="I114" s="69">
        <f t="shared" si="93"/>
        <v>4757</v>
      </c>
      <c r="J114" s="69">
        <f t="shared" si="93"/>
        <v>5129.2877628217075</v>
      </c>
      <c r="K114" s="69">
        <f t="shared" si="93"/>
        <v>5432.3101874027416</v>
      </c>
      <c r="L114" s="69">
        <f t="shared" si="93"/>
        <v>5625.5749483112677</v>
      </c>
      <c r="M114" s="69">
        <f t="shared" si="93"/>
        <v>5818.9647805179247</v>
      </c>
      <c r="N114" s="69">
        <f t="shared" si="93"/>
        <v>6021.9122382014684</v>
      </c>
    </row>
    <row r="115" spans="2:14" outlineLevel="1">
      <c r="B115" s="9" t="s">
        <v>3</v>
      </c>
      <c r="E115" s="12">
        <v>1180</v>
      </c>
      <c r="F115" s="12">
        <v>1206</v>
      </c>
      <c r="G115" s="12">
        <v>1202</v>
      </c>
      <c r="H115" s="12">
        <v>1901</v>
      </c>
      <c r="I115" s="12">
        <v>1902</v>
      </c>
      <c r="J115" s="7">
        <f>+J219</f>
        <v>1429.4337326465848</v>
      </c>
      <c r="K115" s="7">
        <f t="shared" ref="K115:N115" si="94">+K219</f>
        <v>1488.1187402386192</v>
      </c>
      <c r="L115" s="7">
        <f t="shared" si="94"/>
        <v>1544.3981755844045</v>
      </c>
      <c r="M115" s="7">
        <f t="shared" si="94"/>
        <v>1600.3779039292126</v>
      </c>
      <c r="N115" s="7">
        <f t="shared" si="94"/>
        <v>1540.7076994370818</v>
      </c>
    </row>
    <row r="116" spans="2:14" outlineLevel="1">
      <c r="B116" s="53" t="s">
        <v>73</v>
      </c>
      <c r="C116" s="53"/>
      <c r="D116" s="54"/>
      <c r="E116" s="69">
        <f>E114-E115</f>
        <v>2818</v>
      </c>
      <c r="F116" s="69">
        <f t="shared" ref="F116:N116" si="95">F114-F115</f>
        <v>3028</v>
      </c>
      <c r="G116" s="69">
        <f t="shared" si="95"/>
        <v>3122</v>
      </c>
      <c r="H116" s="69">
        <f t="shared" si="95"/>
        <v>3390</v>
      </c>
      <c r="I116" s="69">
        <f t="shared" si="95"/>
        <v>2855</v>
      </c>
      <c r="J116" s="69">
        <f t="shared" si="95"/>
        <v>3699.8540301751227</v>
      </c>
      <c r="K116" s="69">
        <f t="shared" si="95"/>
        <v>3944.1914471641221</v>
      </c>
      <c r="L116" s="69">
        <f t="shared" si="95"/>
        <v>4081.1767727268634</v>
      </c>
      <c r="M116" s="69">
        <f t="shared" si="95"/>
        <v>4218.5868765887117</v>
      </c>
      <c r="N116" s="69">
        <f t="shared" si="95"/>
        <v>4481.2045387643866</v>
      </c>
    </row>
    <row r="117" spans="2:14" outlineLevel="1">
      <c r="B117" s="71" t="s">
        <v>4</v>
      </c>
      <c r="C117" s="71"/>
      <c r="D117" s="72"/>
      <c r="E117" s="73">
        <v>541</v>
      </c>
      <c r="F117" s="73">
        <v>448</v>
      </c>
      <c r="G117" s="73">
        <v>-189</v>
      </c>
      <c r="H117" s="73">
        <v>468</v>
      </c>
      <c r="I117" s="73">
        <v>419</v>
      </c>
      <c r="J117" s="74">
        <f>J226</f>
        <v>255.18694930280526</v>
      </c>
      <c r="K117" s="74">
        <f t="shared" ref="K117:N117" si="96">K226</f>
        <v>217.95623604048851</v>
      </c>
      <c r="L117" s="74">
        <f t="shared" si="96"/>
        <v>180.72552277817175</v>
      </c>
      <c r="M117" s="74">
        <f t="shared" si="96"/>
        <v>143.494809515855</v>
      </c>
      <c r="N117" s="74">
        <f t="shared" si="96"/>
        <v>106.26409625353826</v>
      </c>
    </row>
    <row r="118" spans="2:14" outlineLevel="1">
      <c r="B118" s="53" t="s">
        <v>5</v>
      </c>
      <c r="C118" s="53"/>
      <c r="D118" s="54"/>
      <c r="E118" s="69">
        <f>E116-E117</f>
        <v>2277</v>
      </c>
      <c r="F118" s="69">
        <f t="shared" ref="F118:N118" si="97">F116-F117</f>
        <v>2580</v>
      </c>
      <c r="G118" s="69">
        <f t="shared" si="97"/>
        <v>3311</v>
      </c>
      <c r="H118" s="69">
        <f t="shared" si="97"/>
        <v>2922</v>
      </c>
      <c r="I118" s="69">
        <f t="shared" si="97"/>
        <v>2436</v>
      </c>
      <c r="J118" s="69">
        <f t="shared" si="97"/>
        <v>3444.6670808723175</v>
      </c>
      <c r="K118" s="69">
        <f t="shared" si="97"/>
        <v>3726.2352111236337</v>
      </c>
      <c r="L118" s="69">
        <f t="shared" si="97"/>
        <v>3900.4512499486918</v>
      </c>
      <c r="M118" s="69">
        <f t="shared" si="97"/>
        <v>4075.0920670728565</v>
      </c>
      <c r="N118" s="69">
        <f t="shared" si="97"/>
        <v>4374.9404425108487</v>
      </c>
    </row>
    <row r="119" spans="2:14" outlineLevel="1">
      <c r="B119" s="8" t="s">
        <v>135</v>
      </c>
      <c r="C119" s="8"/>
      <c r="D119" s="56"/>
      <c r="E119" s="88">
        <v>61</v>
      </c>
      <c r="F119" s="88">
        <v>121</v>
      </c>
      <c r="G119" s="88">
        <v>435</v>
      </c>
      <c r="H119" s="88">
        <v>196</v>
      </c>
      <c r="I119" s="88">
        <v>88</v>
      </c>
      <c r="J119" s="88">
        <f t="shared" ref="J119:N121" si="98">J$107*J89</f>
        <v>178.9651910376266</v>
      </c>
      <c r="K119" s="88">
        <f t="shared" si="98"/>
        <v>189.53789988365881</v>
      </c>
      <c r="L119" s="88">
        <f t="shared" si="98"/>
        <v>196.28107095460851</v>
      </c>
      <c r="M119" s="88">
        <f t="shared" si="98"/>
        <v>203.02860586899965</v>
      </c>
      <c r="N119" s="88">
        <f t="shared" si="98"/>
        <v>210.10961442504041</v>
      </c>
    </row>
    <row r="120" spans="2:14" outlineLevel="1">
      <c r="B120" s="8" t="s">
        <v>136</v>
      </c>
      <c r="C120" s="8"/>
      <c r="D120" s="56"/>
      <c r="E120" s="88">
        <v>-575</v>
      </c>
      <c r="F120" s="88">
        <v>-638</v>
      </c>
      <c r="G120" s="88">
        <v>-2759</v>
      </c>
      <c r="H120" s="88">
        <v>-1033</v>
      </c>
      <c r="I120" s="88">
        <v>-1511</v>
      </c>
      <c r="J120" s="88">
        <f t="shared" si="98"/>
        <v>-1312.7840096446403</v>
      </c>
      <c r="K120" s="88">
        <f t="shared" si="98"/>
        <v>-1390.3392204162219</v>
      </c>
      <c r="L120" s="88">
        <f t="shared" si="98"/>
        <v>-1439.8031810049599</v>
      </c>
      <c r="M120" s="88">
        <f t="shared" si="98"/>
        <v>-1489.2991521978677</v>
      </c>
      <c r="N120" s="88">
        <f t="shared" si="98"/>
        <v>-1541.2412910609094</v>
      </c>
    </row>
    <row r="121" spans="2:14" outlineLevel="1">
      <c r="B121" s="9" t="s">
        <v>137</v>
      </c>
      <c r="C121" s="8"/>
      <c r="D121" s="56"/>
      <c r="E121" s="88">
        <v>5</v>
      </c>
      <c r="F121" s="88">
        <v>0</v>
      </c>
      <c r="G121" s="88">
        <v>0</v>
      </c>
      <c r="H121" s="88">
        <v>0</v>
      </c>
      <c r="I121" s="88">
        <v>2</v>
      </c>
      <c r="J121" s="88">
        <f t="shared" si="98"/>
        <v>1.4771943670076619</v>
      </c>
      <c r="K121" s="88">
        <f t="shared" si="98"/>
        <v>1.5644624321594334</v>
      </c>
      <c r="L121" s="88">
        <f t="shared" si="98"/>
        <v>1.6201211569875575</v>
      </c>
      <c r="M121" s="88">
        <f t="shared" si="98"/>
        <v>1.675815901361789</v>
      </c>
      <c r="N121" s="88">
        <f t="shared" si="98"/>
        <v>1.7342631663917651</v>
      </c>
    </row>
    <row r="122" spans="2:14" outlineLevel="1">
      <c r="B122" s="53" t="s">
        <v>72</v>
      </c>
      <c r="C122" s="53"/>
      <c r="D122" s="54"/>
      <c r="E122" s="69">
        <f>SUM(E118:E121)</f>
        <v>1768</v>
      </c>
      <c r="F122" s="69">
        <f t="shared" ref="F122:N122" si="99">SUM(F118:F121)</f>
        <v>2063</v>
      </c>
      <c r="G122" s="69">
        <f t="shared" si="99"/>
        <v>987</v>
      </c>
      <c r="H122" s="69">
        <f t="shared" si="99"/>
        <v>2085</v>
      </c>
      <c r="I122" s="69">
        <f t="shared" si="99"/>
        <v>1015</v>
      </c>
      <c r="J122" s="69">
        <f t="shared" si="99"/>
        <v>2312.3254566323112</v>
      </c>
      <c r="K122" s="69">
        <f t="shared" si="99"/>
        <v>2526.9983530232298</v>
      </c>
      <c r="L122" s="69">
        <f t="shared" si="99"/>
        <v>2658.5492610553279</v>
      </c>
      <c r="M122" s="69">
        <f t="shared" si="99"/>
        <v>2790.4973366453505</v>
      </c>
      <c r="N122" s="69">
        <f t="shared" si="99"/>
        <v>3045.5430290413719</v>
      </c>
    </row>
    <row r="123" spans="2:14" outlineLevel="1">
      <c r="B123" s="8" t="s">
        <v>6</v>
      </c>
      <c r="C123" s="8"/>
      <c r="D123" s="56"/>
      <c r="E123" s="12">
        <v>416</v>
      </c>
      <c r="F123" s="12">
        <v>438</v>
      </c>
      <c r="G123" s="12">
        <v>490</v>
      </c>
      <c r="H123" s="12">
        <v>631</v>
      </c>
      <c r="I123" s="12">
        <v>526</v>
      </c>
      <c r="J123" s="75">
        <f>J122*J92</f>
        <v>739.94414612233959</v>
      </c>
      <c r="K123" s="75">
        <f t="shared" ref="K123:N123" si="100">K122*K92</f>
        <v>808.63947296743356</v>
      </c>
      <c r="L123" s="75">
        <f t="shared" si="100"/>
        <v>850.73576353770488</v>
      </c>
      <c r="M123" s="75">
        <f t="shared" si="100"/>
        <v>892.95914772651213</v>
      </c>
      <c r="N123" s="75">
        <f t="shared" si="100"/>
        <v>974.57376929323902</v>
      </c>
    </row>
    <row r="124" spans="2:14" ht="16.5" outlineLevel="1" thickBot="1">
      <c r="B124" s="76" t="s">
        <v>7</v>
      </c>
      <c r="C124" s="76"/>
      <c r="D124" s="77"/>
      <c r="E124" s="78">
        <f>E122-E123</f>
        <v>1352</v>
      </c>
      <c r="F124" s="78">
        <f t="shared" ref="F124:N124" si="101">F122-F123</f>
        <v>1625</v>
      </c>
      <c r="G124" s="78">
        <f t="shared" si="101"/>
        <v>497</v>
      </c>
      <c r="H124" s="78">
        <f t="shared" si="101"/>
        <v>1454</v>
      </c>
      <c r="I124" s="78">
        <f t="shared" si="101"/>
        <v>489</v>
      </c>
      <c r="J124" s="78">
        <f t="shared" si="101"/>
        <v>1572.3813105099716</v>
      </c>
      <c r="K124" s="78">
        <f t="shared" si="101"/>
        <v>1718.3588800557964</v>
      </c>
      <c r="L124" s="78">
        <f t="shared" si="101"/>
        <v>1807.8134975176231</v>
      </c>
      <c r="M124" s="78">
        <f t="shared" si="101"/>
        <v>1897.5381889188384</v>
      </c>
      <c r="N124" s="78">
        <f t="shared" si="101"/>
        <v>2070.969259748133</v>
      </c>
    </row>
    <row r="125" spans="2:14" ht="16.5" outlineLevel="1" collapsed="1" thickTop="1">
      <c r="E125" s="125">
        <f>E124/E107</f>
        <v>3.4584196659248459E-2</v>
      </c>
      <c r="F125" s="125">
        <f t="shared" ref="F125:N125" si="102">F124/F107</f>
        <v>3.9818671894143592E-2</v>
      </c>
      <c r="G125" s="125">
        <f t="shared" si="102"/>
        <v>1.1897352420165654E-2</v>
      </c>
      <c r="H125" s="125">
        <f t="shared" si="102"/>
        <v>3.415310173114415E-2</v>
      </c>
      <c r="I125" s="125">
        <f t="shared" si="102"/>
        <v>1.2825220310532941E-2</v>
      </c>
      <c r="J125" s="125">
        <f t="shared" si="102"/>
        <v>3.8395335902894193E-2</v>
      </c>
      <c r="K125" s="125">
        <f t="shared" si="102"/>
        <v>3.961931604336625E-2</v>
      </c>
      <c r="L125" s="125">
        <f t="shared" si="102"/>
        <v>4.0249859832342305E-2</v>
      </c>
      <c r="M125" s="125">
        <f t="shared" si="102"/>
        <v>4.0843453750133707E-2</v>
      </c>
      <c r="N125" s="125">
        <f t="shared" si="102"/>
        <v>4.307416758300267E-2</v>
      </c>
    </row>
    <row r="126" spans="2:14" outlineLevel="1">
      <c r="E126" s="12"/>
      <c r="F126" s="12"/>
      <c r="G126" s="12"/>
      <c r="H126" s="12"/>
      <c r="I126" s="12"/>
    </row>
    <row r="127" spans="2:14">
      <c r="E127" s="12"/>
      <c r="F127" s="12"/>
      <c r="G127" s="12"/>
      <c r="H127" s="12"/>
      <c r="I127" s="12"/>
    </row>
    <row r="128" spans="2:14" ht="18">
      <c r="B128" s="152" t="s">
        <v>8</v>
      </c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</row>
    <row r="129" spans="2:14" outlineLevel="1">
      <c r="E129" s="12"/>
      <c r="F129" s="12"/>
      <c r="G129" s="12"/>
      <c r="H129" s="12"/>
      <c r="I129" s="12"/>
    </row>
    <row r="130" spans="2:14" outlineLevel="1">
      <c r="B130" s="10" t="s">
        <v>9</v>
      </c>
      <c r="E130" s="12"/>
      <c r="F130" s="12"/>
      <c r="G130" s="12"/>
      <c r="H130" s="12"/>
      <c r="I130" s="12"/>
    </row>
    <row r="131" spans="2:14" outlineLevel="1">
      <c r="B131" s="9" t="s">
        <v>16</v>
      </c>
      <c r="D131" s="79"/>
      <c r="E131" s="12">
        <v>5875</v>
      </c>
      <c r="F131" s="12">
        <v>6041</v>
      </c>
      <c r="G131" s="12">
        <v>6252</v>
      </c>
      <c r="H131" s="12">
        <v>6200</v>
      </c>
      <c r="I131" s="12">
        <v>5362</v>
      </c>
      <c r="J131" s="9">
        <f>J108*J94/365</f>
        <v>5862.7250099573876</v>
      </c>
      <c r="K131" s="9">
        <f>K108*K94/365</f>
        <v>6209.0766340651089</v>
      </c>
      <c r="L131" s="9">
        <f>L108*L94/365</f>
        <v>6429.9763378279849</v>
      </c>
      <c r="M131" s="9">
        <f>M108*M94/365</f>
        <v>6651.0189968434152</v>
      </c>
      <c r="N131" s="9">
        <f>N108*N94/365</f>
        <v>6882.9859269292447</v>
      </c>
    </row>
    <row r="132" spans="2:14" outlineLevel="1">
      <c r="B132" s="9" t="s">
        <v>139</v>
      </c>
      <c r="D132" s="79"/>
      <c r="E132" s="12">
        <v>4935</v>
      </c>
      <c r="F132" s="12">
        <v>5134</v>
      </c>
      <c r="G132" s="12">
        <v>4968</v>
      </c>
      <c r="H132" s="12">
        <v>4813</v>
      </c>
      <c r="I132" s="12">
        <v>4597</v>
      </c>
      <c r="J132" s="80">
        <f>J107*J93/365</f>
        <v>4951.8501693442786</v>
      </c>
      <c r="K132" s="80">
        <f>K107*K93/365</f>
        <v>5244.3901308088798</v>
      </c>
      <c r="L132" s="80">
        <f>L107*L93/365</f>
        <v>5430.9692784967647</v>
      </c>
      <c r="M132" s="80">
        <f>M107*M93/365</f>
        <v>5617.6691708879016</v>
      </c>
      <c r="N132" s="80">
        <f>N107*N93/365</f>
        <v>5813.5960615533977</v>
      </c>
    </row>
    <row r="133" spans="2:14" outlineLevel="1">
      <c r="B133" s="9" t="s">
        <v>140</v>
      </c>
      <c r="D133" s="9"/>
      <c r="E133" s="12">
        <v>445</v>
      </c>
      <c r="F133" s="12">
        <v>204</v>
      </c>
      <c r="G133" s="12">
        <v>286</v>
      </c>
      <c r="H133" s="12">
        <v>194</v>
      </c>
      <c r="I133" s="12">
        <v>147</v>
      </c>
      <c r="J133" s="9">
        <f>J$107*J95/365</f>
        <v>259.15143031224778</v>
      </c>
      <c r="K133" s="9">
        <f t="shared" ref="K133:N133" si="103">K$107*K95/365</f>
        <v>274.46129366521757</v>
      </c>
      <c r="L133" s="9">
        <f t="shared" si="103"/>
        <v>284.22577589634255</v>
      </c>
      <c r="M133" s="9">
        <f t="shared" si="103"/>
        <v>293.99657721255301</v>
      </c>
      <c r="N133" s="9">
        <f t="shared" si="103"/>
        <v>304.25026668541489</v>
      </c>
    </row>
    <row r="134" spans="2:14" outlineLevel="1">
      <c r="B134" s="9" t="s">
        <v>141</v>
      </c>
      <c r="D134" s="79"/>
      <c r="E134" s="12">
        <v>1515</v>
      </c>
      <c r="F134" s="12">
        <v>1395</v>
      </c>
      <c r="G134" s="12">
        <v>1609</v>
      </c>
      <c r="H134" s="12">
        <v>1609</v>
      </c>
      <c r="I134" s="12">
        <v>1269</v>
      </c>
      <c r="J134" s="9">
        <f>J$107*J96/365</f>
        <v>1495.0072678827273</v>
      </c>
      <c r="K134" s="9">
        <f t="shared" ref="K134:N134" si="104">K$107*K96/365</f>
        <v>1583.3276640132963</v>
      </c>
      <c r="L134" s="9">
        <f t="shared" si="104"/>
        <v>1639.657555324545</v>
      </c>
      <c r="M134" s="9">
        <f t="shared" si="104"/>
        <v>1696.0239005273188</v>
      </c>
      <c r="N134" s="9">
        <f t="shared" si="104"/>
        <v>1755.1759579405116</v>
      </c>
    </row>
    <row r="135" spans="2:14" outlineLevel="1">
      <c r="B135" s="9" t="s">
        <v>142</v>
      </c>
      <c r="D135" s="79"/>
      <c r="E135" s="12">
        <v>0</v>
      </c>
      <c r="F135" s="12">
        <v>0</v>
      </c>
      <c r="G135" s="12">
        <v>614</v>
      </c>
      <c r="H135" s="12">
        <v>0</v>
      </c>
      <c r="I135" s="12">
        <v>329</v>
      </c>
      <c r="J135" s="9">
        <f>I135</f>
        <v>329</v>
      </c>
      <c r="K135" s="9">
        <f t="shared" ref="K135:N135" si="105">J135</f>
        <v>329</v>
      </c>
      <c r="L135" s="9">
        <f t="shared" si="105"/>
        <v>329</v>
      </c>
      <c r="M135" s="9">
        <f t="shared" si="105"/>
        <v>329</v>
      </c>
      <c r="N135" s="9">
        <f t="shared" si="105"/>
        <v>329</v>
      </c>
    </row>
    <row r="136" spans="2:14" outlineLevel="1">
      <c r="B136" s="9" t="s">
        <v>138</v>
      </c>
      <c r="D136" s="79"/>
      <c r="E136" s="12">
        <v>3738</v>
      </c>
      <c r="F136" s="12">
        <v>3284</v>
      </c>
      <c r="G136" s="12">
        <v>2688</v>
      </c>
      <c r="H136" s="12">
        <v>4987</v>
      </c>
      <c r="I136" s="12">
        <v>8443</v>
      </c>
      <c r="J136" s="9">
        <f>J198</f>
        <v>6860.7823828577948</v>
      </c>
      <c r="K136" s="9">
        <f>K198</f>
        <v>7283.4064419012357</v>
      </c>
      <c r="L136" s="9">
        <f>L198</f>
        <v>7910.0272750697577</v>
      </c>
      <c r="M136" s="9">
        <f>M198</f>
        <v>8682.2861363179363</v>
      </c>
      <c r="N136" s="9">
        <f>N198</f>
        <v>9563.2323842847854</v>
      </c>
    </row>
    <row r="137" spans="2:14" outlineLevel="1">
      <c r="B137" s="53" t="s">
        <v>143</v>
      </c>
      <c r="C137" s="53"/>
      <c r="D137" s="111"/>
      <c r="E137" s="69">
        <f>SUM(E131:E136)</f>
        <v>16508</v>
      </c>
      <c r="F137" s="69">
        <f t="shared" ref="F137:N137" si="106">SUM(F131:F136)</f>
        <v>16058</v>
      </c>
      <c r="G137" s="69">
        <f t="shared" si="106"/>
        <v>16417</v>
      </c>
      <c r="H137" s="69">
        <f t="shared" si="106"/>
        <v>17803</v>
      </c>
      <c r="I137" s="69">
        <f t="shared" si="106"/>
        <v>20147</v>
      </c>
      <c r="J137" s="69">
        <f t="shared" si="106"/>
        <v>19758.516260354438</v>
      </c>
      <c r="K137" s="69">
        <f t="shared" si="106"/>
        <v>20923.662164453737</v>
      </c>
      <c r="L137" s="69">
        <f t="shared" si="106"/>
        <v>22023.856222615395</v>
      </c>
      <c r="M137" s="69">
        <f t="shared" si="106"/>
        <v>23269.994781789126</v>
      </c>
      <c r="N137" s="69">
        <f t="shared" si="106"/>
        <v>24648.240597393353</v>
      </c>
    </row>
    <row r="138" spans="2:14" outlineLevel="1">
      <c r="B138" s="8" t="s">
        <v>144</v>
      </c>
      <c r="C138" s="8"/>
      <c r="D138" s="112"/>
      <c r="E138" s="68">
        <v>10669</v>
      </c>
      <c r="F138" s="68">
        <v>10575</v>
      </c>
      <c r="G138" s="68">
        <v>9988</v>
      </c>
      <c r="H138" s="68">
        <v>10029</v>
      </c>
      <c r="I138" s="68">
        <v>10028</v>
      </c>
      <c r="J138" s="8">
        <f>I138</f>
        <v>10028</v>
      </c>
      <c r="K138" s="8">
        <f t="shared" ref="K138:N138" si="107">J138</f>
        <v>10028</v>
      </c>
      <c r="L138" s="8">
        <f t="shared" si="107"/>
        <v>10028</v>
      </c>
      <c r="M138" s="8">
        <f t="shared" si="107"/>
        <v>10028</v>
      </c>
      <c r="N138" s="8">
        <f t="shared" si="107"/>
        <v>10028</v>
      </c>
    </row>
    <row r="139" spans="2:14" outlineLevel="1">
      <c r="B139" s="8" t="s">
        <v>145</v>
      </c>
      <c r="C139" s="8"/>
      <c r="D139" s="112"/>
      <c r="E139" s="68">
        <v>2662</v>
      </c>
      <c r="F139" s="68">
        <v>2603</v>
      </c>
      <c r="G139" s="68">
        <v>2526</v>
      </c>
      <c r="H139" s="68">
        <v>2709</v>
      </c>
      <c r="I139" s="68">
        <v>2505</v>
      </c>
      <c r="J139" s="8">
        <f>I139</f>
        <v>2505</v>
      </c>
      <c r="K139" s="8">
        <f t="shared" ref="K139:N139" si="108">J139</f>
        <v>2505</v>
      </c>
      <c r="L139" s="8">
        <f t="shared" si="108"/>
        <v>2505</v>
      </c>
      <c r="M139" s="8">
        <f t="shared" si="108"/>
        <v>2505</v>
      </c>
      <c r="N139" s="8">
        <f t="shared" si="108"/>
        <v>2505</v>
      </c>
    </row>
    <row r="140" spans="2:14" outlineLevel="1">
      <c r="B140" s="9" t="s">
        <v>11</v>
      </c>
      <c r="E140" s="12">
        <v>11654</v>
      </c>
      <c r="F140" s="12">
        <v>11590</v>
      </c>
      <c r="G140" s="12">
        <v>11335</v>
      </c>
      <c r="H140" s="12">
        <v>11707</v>
      </c>
      <c r="I140" s="12">
        <v>11072</v>
      </c>
      <c r="J140" s="9">
        <f t="shared" ref="J140:N140" si="109">J220</f>
        <v>11049.816267353415</v>
      </c>
      <c r="K140" s="9">
        <f t="shared" si="109"/>
        <v>10968.947527114797</v>
      </c>
      <c r="L140" s="9">
        <f t="shared" si="109"/>
        <v>10831.799351530392</v>
      </c>
      <c r="M140" s="9">
        <f t="shared" si="109"/>
        <v>10638.671447601178</v>
      </c>
      <c r="N140" s="9">
        <f t="shared" si="109"/>
        <v>10505.213748164097</v>
      </c>
    </row>
    <row r="141" spans="2:14" outlineLevel="1">
      <c r="B141" s="9" t="s">
        <v>146</v>
      </c>
      <c r="E141" s="12">
        <v>0</v>
      </c>
      <c r="F141" s="12">
        <v>0</v>
      </c>
      <c r="G141" s="12">
        <v>0</v>
      </c>
      <c r="H141" s="12">
        <v>2954</v>
      </c>
      <c r="I141" s="12">
        <v>2902</v>
      </c>
      <c r="J141" s="9">
        <f>I141</f>
        <v>2902</v>
      </c>
      <c r="K141" s="9">
        <f t="shared" ref="K141:N141" si="110">J141</f>
        <v>2902</v>
      </c>
      <c r="L141" s="9">
        <f t="shared" si="110"/>
        <v>2902</v>
      </c>
      <c r="M141" s="9">
        <f t="shared" si="110"/>
        <v>2902</v>
      </c>
      <c r="N141" s="9">
        <f t="shared" si="110"/>
        <v>2902</v>
      </c>
    </row>
    <row r="142" spans="2:14" outlineLevel="1">
      <c r="B142" s="9" t="s">
        <v>147</v>
      </c>
      <c r="E142" s="12">
        <v>376</v>
      </c>
      <c r="F142" s="12">
        <v>379</v>
      </c>
      <c r="G142" s="12">
        <v>412</v>
      </c>
      <c r="H142" s="12">
        <v>437</v>
      </c>
      <c r="I142" s="12">
        <v>462</v>
      </c>
      <c r="J142" s="9">
        <f t="shared" ref="J142:N144" si="111">I142</f>
        <v>462</v>
      </c>
      <c r="K142" s="9">
        <f t="shared" si="111"/>
        <v>462</v>
      </c>
      <c r="L142" s="9">
        <f t="shared" si="111"/>
        <v>462</v>
      </c>
      <c r="M142" s="9">
        <f t="shared" si="111"/>
        <v>462</v>
      </c>
      <c r="N142" s="9">
        <f t="shared" si="111"/>
        <v>462</v>
      </c>
    </row>
    <row r="143" spans="2:14" outlineLevel="1">
      <c r="B143" s="9" t="s">
        <v>148</v>
      </c>
      <c r="E143" s="12">
        <v>1188</v>
      </c>
      <c r="F143" s="12">
        <v>938</v>
      </c>
      <c r="G143" s="12">
        <v>837</v>
      </c>
      <c r="H143" s="12">
        <v>833</v>
      </c>
      <c r="I143" s="12">
        <v>665</v>
      </c>
      <c r="J143" s="9">
        <f t="shared" si="111"/>
        <v>665</v>
      </c>
      <c r="K143" s="9">
        <f t="shared" si="111"/>
        <v>665</v>
      </c>
      <c r="L143" s="9">
        <f t="shared" si="111"/>
        <v>665</v>
      </c>
      <c r="M143" s="9">
        <f t="shared" si="111"/>
        <v>665</v>
      </c>
      <c r="N143" s="9">
        <f t="shared" si="111"/>
        <v>665</v>
      </c>
    </row>
    <row r="144" spans="2:14" outlineLevel="1">
      <c r="B144" s="9" t="s">
        <v>149</v>
      </c>
      <c r="E144" s="12">
        <v>710</v>
      </c>
      <c r="F144" s="12">
        <v>774</v>
      </c>
      <c r="G144" s="12">
        <v>2527</v>
      </c>
      <c r="H144" s="12">
        <v>3511</v>
      </c>
      <c r="I144" s="12">
        <v>845</v>
      </c>
      <c r="J144" s="9">
        <f t="shared" si="111"/>
        <v>845</v>
      </c>
      <c r="K144" s="9">
        <f t="shared" si="111"/>
        <v>845</v>
      </c>
      <c r="L144" s="9">
        <f t="shared" si="111"/>
        <v>845</v>
      </c>
      <c r="M144" s="9">
        <f t="shared" si="111"/>
        <v>845</v>
      </c>
      <c r="N144" s="9">
        <f t="shared" si="111"/>
        <v>845</v>
      </c>
    </row>
    <row r="145" spans="2:14" outlineLevel="1">
      <c r="B145" s="81" t="s">
        <v>150</v>
      </c>
      <c r="C145" s="81"/>
      <c r="D145" s="82"/>
      <c r="E145" s="83">
        <f>SUM(E138:E144)</f>
        <v>27259</v>
      </c>
      <c r="F145" s="83">
        <f t="shared" ref="F145:N145" si="112">SUM(F138:F144)</f>
        <v>26859</v>
      </c>
      <c r="G145" s="83">
        <f t="shared" si="112"/>
        <v>27625</v>
      </c>
      <c r="H145" s="83">
        <f t="shared" si="112"/>
        <v>32180</v>
      </c>
      <c r="I145" s="83">
        <f t="shared" si="112"/>
        <v>28479</v>
      </c>
      <c r="J145" s="83">
        <f t="shared" si="112"/>
        <v>28456.816267353417</v>
      </c>
      <c r="K145" s="83">
        <f t="shared" si="112"/>
        <v>28375.947527114797</v>
      </c>
      <c r="L145" s="83">
        <f t="shared" si="112"/>
        <v>28238.79935153039</v>
      </c>
      <c r="M145" s="83">
        <f t="shared" si="112"/>
        <v>28045.671447601177</v>
      </c>
      <c r="N145" s="83">
        <f t="shared" si="112"/>
        <v>27912.213748164097</v>
      </c>
    </row>
    <row r="146" spans="2:14" ht="16.5" outlineLevel="1" thickBot="1">
      <c r="B146" s="76" t="s">
        <v>17</v>
      </c>
      <c r="C146" s="76"/>
      <c r="D146" s="77"/>
      <c r="E146" s="78">
        <f>E145+E137</f>
        <v>43767</v>
      </c>
      <c r="F146" s="78">
        <f t="shared" ref="F146:N146" si="113">F145+F137</f>
        <v>42917</v>
      </c>
      <c r="G146" s="78">
        <f t="shared" si="113"/>
        <v>44042</v>
      </c>
      <c r="H146" s="78">
        <f t="shared" si="113"/>
        <v>49983</v>
      </c>
      <c r="I146" s="78">
        <f t="shared" si="113"/>
        <v>48626</v>
      </c>
      <c r="J146" s="78">
        <f t="shared" si="113"/>
        <v>48215.332527707855</v>
      </c>
      <c r="K146" s="78">
        <f t="shared" si="113"/>
        <v>49299.609691568534</v>
      </c>
      <c r="L146" s="78">
        <f t="shared" si="113"/>
        <v>50262.655574145785</v>
      </c>
      <c r="M146" s="78">
        <f t="shared" si="113"/>
        <v>51315.666229390306</v>
      </c>
      <c r="N146" s="78">
        <f t="shared" si="113"/>
        <v>52560.454345557446</v>
      </c>
    </row>
    <row r="147" spans="2:14" ht="16.5" outlineLevel="1" thickTop="1">
      <c r="B147" s="63"/>
      <c r="C147" s="63"/>
      <c r="D147" s="31"/>
      <c r="E147" s="64"/>
      <c r="F147" s="64"/>
      <c r="G147" s="64"/>
      <c r="H147" s="64"/>
      <c r="I147" s="64"/>
      <c r="J147" s="63"/>
      <c r="K147" s="63"/>
      <c r="L147" s="63"/>
      <c r="M147" s="63"/>
      <c r="N147" s="63"/>
    </row>
    <row r="148" spans="2:14" outlineLevel="1">
      <c r="B148" s="10" t="s">
        <v>18</v>
      </c>
      <c r="D148" s="79"/>
      <c r="E148" s="12"/>
      <c r="F148" s="12"/>
      <c r="G148" s="12"/>
      <c r="H148" s="12"/>
      <c r="I148" s="12"/>
    </row>
    <row r="149" spans="2:14" outlineLevel="1">
      <c r="B149" s="9" t="s">
        <v>151</v>
      </c>
      <c r="D149" s="113"/>
      <c r="E149" s="12">
        <v>1835</v>
      </c>
      <c r="F149" s="12">
        <v>1064</v>
      </c>
      <c r="G149" s="12">
        <v>1184</v>
      </c>
      <c r="H149" s="12">
        <v>1751</v>
      </c>
      <c r="I149" s="12">
        <v>1846</v>
      </c>
      <c r="J149" s="9">
        <f>I149</f>
        <v>1846</v>
      </c>
      <c r="K149" s="9">
        <f t="shared" ref="K149:N149" si="114">J149</f>
        <v>1846</v>
      </c>
      <c r="L149" s="9">
        <f t="shared" si="114"/>
        <v>1846</v>
      </c>
      <c r="M149" s="9">
        <f t="shared" si="114"/>
        <v>1846</v>
      </c>
      <c r="N149" s="9">
        <f t="shared" si="114"/>
        <v>1846</v>
      </c>
    </row>
    <row r="150" spans="2:14" outlineLevel="1">
      <c r="B150" s="9" t="s">
        <v>152</v>
      </c>
      <c r="D150" s="113"/>
      <c r="E150" s="12">
        <v>0</v>
      </c>
      <c r="F150" s="12">
        <v>0</v>
      </c>
      <c r="G150" s="12">
        <v>0</v>
      </c>
      <c r="H150" s="12">
        <v>665</v>
      </c>
      <c r="I150" s="12">
        <v>656</v>
      </c>
      <c r="J150" s="9">
        <f t="shared" ref="J150:N151" si="115">I150</f>
        <v>656</v>
      </c>
      <c r="K150" s="9">
        <f t="shared" si="115"/>
        <v>656</v>
      </c>
      <c r="L150" s="9">
        <f t="shared" si="115"/>
        <v>656</v>
      </c>
      <c r="M150" s="9">
        <f t="shared" si="115"/>
        <v>656</v>
      </c>
      <c r="N150" s="9">
        <f t="shared" si="115"/>
        <v>656</v>
      </c>
    </row>
    <row r="151" spans="2:14" outlineLevel="1">
      <c r="B151" s="9" t="s">
        <v>153</v>
      </c>
      <c r="D151" s="113"/>
      <c r="E151" s="12">
        <v>436</v>
      </c>
      <c r="F151" s="12">
        <v>412</v>
      </c>
      <c r="G151" s="12">
        <v>465</v>
      </c>
      <c r="H151" s="12">
        <v>343</v>
      </c>
      <c r="I151" s="12">
        <v>361</v>
      </c>
      <c r="J151" s="9">
        <f t="shared" si="115"/>
        <v>361</v>
      </c>
      <c r="K151" s="9">
        <f t="shared" si="115"/>
        <v>361</v>
      </c>
      <c r="L151" s="9">
        <f t="shared" si="115"/>
        <v>361</v>
      </c>
      <c r="M151" s="9">
        <f t="shared" si="115"/>
        <v>361</v>
      </c>
      <c r="N151" s="9">
        <f t="shared" si="115"/>
        <v>361</v>
      </c>
    </row>
    <row r="152" spans="2:14" outlineLevel="1">
      <c r="B152" s="9" t="s">
        <v>154</v>
      </c>
      <c r="D152" s="79"/>
      <c r="E152" s="12">
        <v>5805</v>
      </c>
      <c r="F152" s="12">
        <v>6027</v>
      </c>
      <c r="G152" s="12">
        <v>6116</v>
      </c>
      <c r="H152" s="12">
        <v>6000</v>
      </c>
      <c r="I152" s="12">
        <v>5897</v>
      </c>
      <c r="J152" s="9">
        <f>J108*J97/365</f>
        <v>5897.1393990994784</v>
      </c>
      <c r="K152" s="9">
        <f>K108*K97/365</f>
        <v>6245.5241186622661</v>
      </c>
      <c r="L152" s="9">
        <f>L108*L97/365</f>
        <v>6467.7205109707847</v>
      </c>
      <c r="M152" s="9">
        <f>M108*M97/365</f>
        <v>6690.0606976839053</v>
      </c>
      <c r="N152" s="9">
        <f>N108*N97/365</f>
        <v>6923.3892812988552</v>
      </c>
    </row>
    <row r="153" spans="2:14" outlineLevel="1">
      <c r="B153" s="9" t="s">
        <v>155</v>
      </c>
      <c r="D153" s="79"/>
      <c r="E153" s="12">
        <v>148</v>
      </c>
      <c r="F153" s="12">
        <v>157</v>
      </c>
      <c r="G153" s="12">
        <v>104</v>
      </c>
      <c r="H153" s="12">
        <v>156</v>
      </c>
      <c r="I153" s="12">
        <v>175</v>
      </c>
      <c r="J153" s="9">
        <f>J$108*J98/365</f>
        <v>147.07947548189921</v>
      </c>
      <c r="K153" s="9">
        <f t="shared" ref="K153:N153" si="116">K$108*K98/365</f>
        <v>155.76847507160329</v>
      </c>
      <c r="L153" s="9">
        <f t="shared" si="116"/>
        <v>161.31023466434715</v>
      </c>
      <c r="M153" s="9">
        <f t="shared" si="116"/>
        <v>166.85558060704389</v>
      </c>
      <c r="N153" s="9">
        <f t="shared" si="116"/>
        <v>172.6749861476797</v>
      </c>
    </row>
    <row r="154" spans="2:14" outlineLevel="1">
      <c r="B154" s="9" t="s">
        <v>156</v>
      </c>
      <c r="D154" s="79"/>
      <c r="E154" s="12">
        <v>3636</v>
      </c>
      <c r="F154" s="12">
        <v>3823</v>
      </c>
      <c r="G154" s="12">
        <v>3859</v>
      </c>
      <c r="H154" s="12">
        <v>4004</v>
      </c>
      <c r="I154" s="12">
        <v>3911</v>
      </c>
      <c r="J154" s="9">
        <f>J$108*J99/365</f>
        <v>3801.7323426165026</v>
      </c>
      <c r="K154" s="9">
        <f t="shared" ref="K154:N154" si="117">K$108*K99/365</f>
        <v>4026.3269072688963</v>
      </c>
      <c r="L154" s="9">
        <f t="shared" si="117"/>
        <v>4169.5711404272633</v>
      </c>
      <c r="M154" s="9">
        <f t="shared" si="117"/>
        <v>4312.9080740971276</v>
      </c>
      <c r="N154" s="9">
        <f t="shared" si="117"/>
        <v>4463.3289413605526</v>
      </c>
    </row>
    <row r="155" spans="2:14" outlineLevel="1">
      <c r="B155" s="9" t="s">
        <v>157</v>
      </c>
      <c r="D155" s="79"/>
      <c r="E155" s="12">
        <v>0</v>
      </c>
      <c r="F155" s="12">
        <v>0</v>
      </c>
      <c r="G155" s="12">
        <v>322</v>
      </c>
      <c r="H155" s="12">
        <v>0</v>
      </c>
      <c r="I155" s="12">
        <v>501</v>
      </c>
      <c r="J155" s="9">
        <f>I155</f>
        <v>501</v>
      </c>
      <c r="K155" s="9">
        <f t="shared" ref="K155:N155" si="118">J155</f>
        <v>501</v>
      </c>
      <c r="L155" s="9">
        <f t="shared" si="118"/>
        <v>501</v>
      </c>
      <c r="M155" s="9">
        <f t="shared" si="118"/>
        <v>501</v>
      </c>
      <c r="N155" s="9">
        <f t="shared" si="118"/>
        <v>501</v>
      </c>
    </row>
    <row r="156" spans="2:14" outlineLevel="1">
      <c r="B156" s="9" t="s">
        <v>158</v>
      </c>
      <c r="D156" s="79"/>
      <c r="E156" s="12">
        <v>588</v>
      </c>
      <c r="F156" s="12">
        <v>520</v>
      </c>
      <c r="G156" s="12">
        <v>479</v>
      </c>
      <c r="H156" s="12">
        <v>224</v>
      </c>
      <c r="I156" s="12">
        <v>501</v>
      </c>
      <c r="J156" s="9">
        <f>I156</f>
        <v>501</v>
      </c>
      <c r="K156" s="9">
        <f t="shared" ref="K156:N156" si="119">J156</f>
        <v>501</v>
      </c>
      <c r="L156" s="9">
        <f t="shared" si="119"/>
        <v>501</v>
      </c>
      <c r="M156" s="9">
        <f t="shared" si="119"/>
        <v>501</v>
      </c>
      <c r="N156" s="9">
        <f t="shared" si="119"/>
        <v>501</v>
      </c>
    </row>
    <row r="157" spans="2:14" outlineLevel="1">
      <c r="B157" s="53" t="s">
        <v>159</v>
      </c>
      <c r="C157" s="53"/>
      <c r="D157" s="111"/>
      <c r="E157" s="69">
        <f>SUM(E149:E156)</f>
        <v>12448</v>
      </c>
      <c r="F157" s="69">
        <f t="shared" ref="F157:N157" si="120">SUM(F149:F156)</f>
        <v>12003</v>
      </c>
      <c r="G157" s="69">
        <f t="shared" si="120"/>
        <v>12529</v>
      </c>
      <c r="H157" s="69">
        <f t="shared" si="120"/>
        <v>13143</v>
      </c>
      <c r="I157" s="69">
        <f t="shared" si="120"/>
        <v>13848</v>
      </c>
      <c r="J157" s="69">
        <f t="shared" si="120"/>
        <v>13710.95121719788</v>
      </c>
      <c r="K157" s="69">
        <f t="shared" si="120"/>
        <v>14292.619501002766</v>
      </c>
      <c r="L157" s="69">
        <f t="shared" si="120"/>
        <v>14663.601886062395</v>
      </c>
      <c r="M157" s="69">
        <f t="shared" si="120"/>
        <v>15034.824352388076</v>
      </c>
      <c r="N157" s="69">
        <f t="shared" si="120"/>
        <v>15424.393208807089</v>
      </c>
    </row>
    <row r="158" spans="2:14" outlineLevel="1">
      <c r="B158" s="9" t="s">
        <v>20</v>
      </c>
      <c r="E158" s="12">
        <v>6959</v>
      </c>
      <c r="F158" s="12">
        <v>7655</v>
      </c>
      <c r="G158" s="12">
        <v>9218</v>
      </c>
      <c r="H158" s="12">
        <v>10286</v>
      </c>
      <c r="I158" s="12">
        <v>10179</v>
      </c>
      <c r="J158" s="9">
        <f t="shared" ref="J158:N158" si="121">J225</f>
        <v>8333</v>
      </c>
      <c r="K158" s="9">
        <f t="shared" si="121"/>
        <v>7117.25</v>
      </c>
      <c r="L158" s="9">
        <f t="shared" si="121"/>
        <v>5901.5</v>
      </c>
      <c r="M158" s="9">
        <f t="shared" si="121"/>
        <v>4685.75</v>
      </c>
      <c r="N158" s="9">
        <f t="shared" si="121"/>
        <v>3470</v>
      </c>
    </row>
    <row r="159" spans="2:14" outlineLevel="1">
      <c r="B159" s="9" t="s">
        <v>160</v>
      </c>
      <c r="E159" s="12">
        <v>0</v>
      </c>
      <c r="F159" s="12">
        <v>0</v>
      </c>
      <c r="G159" s="12">
        <v>0</v>
      </c>
      <c r="H159" s="12">
        <v>2552</v>
      </c>
      <c r="I159" s="12">
        <v>2442</v>
      </c>
      <c r="J159" s="9">
        <f>I159</f>
        <v>2442</v>
      </c>
      <c r="K159" s="9">
        <f t="shared" ref="K159:N159" si="122">J159</f>
        <v>2442</v>
      </c>
      <c r="L159" s="9">
        <f t="shared" si="122"/>
        <v>2442</v>
      </c>
      <c r="M159" s="9">
        <f t="shared" si="122"/>
        <v>2442</v>
      </c>
      <c r="N159" s="9">
        <f t="shared" si="122"/>
        <v>2442</v>
      </c>
    </row>
    <row r="160" spans="2:14" outlineLevel="1">
      <c r="B160" s="9" t="s">
        <v>161</v>
      </c>
      <c r="E160" s="12">
        <v>3615</v>
      </c>
      <c r="F160" s="12">
        <v>2927</v>
      </c>
      <c r="G160" s="12">
        <v>2525</v>
      </c>
      <c r="H160" s="12">
        <v>2648</v>
      </c>
      <c r="I160" s="12">
        <v>2629</v>
      </c>
      <c r="J160" s="9">
        <f t="shared" ref="J160:N162" si="123">I160</f>
        <v>2629</v>
      </c>
      <c r="K160" s="9">
        <f t="shared" si="123"/>
        <v>2629</v>
      </c>
      <c r="L160" s="9">
        <f t="shared" si="123"/>
        <v>2629</v>
      </c>
      <c r="M160" s="9">
        <f t="shared" si="123"/>
        <v>2629</v>
      </c>
      <c r="N160" s="9">
        <f t="shared" si="123"/>
        <v>2629</v>
      </c>
    </row>
    <row r="161" spans="2:14" outlineLevel="1">
      <c r="B161" s="9" t="s">
        <v>162</v>
      </c>
      <c r="E161" s="12">
        <v>363</v>
      </c>
      <c r="F161" s="12">
        <v>427</v>
      </c>
      <c r="G161" s="12">
        <v>472</v>
      </c>
      <c r="H161" s="12">
        <v>448</v>
      </c>
      <c r="I161" s="12">
        <v>360</v>
      </c>
      <c r="J161" s="9">
        <f t="shared" si="123"/>
        <v>360</v>
      </c>
      <c r="K161" s="9">
        <f t="shared" si="123"/>
        <v>360</v>
      </c>
      <c r="L161" s="9">
        <f t="shared" si="123"/>
        <v>360</v>
      </c>
      <c r="M161" s="9">
        <f t="shared" si="123"/>
        <v>360</v>
      </c>
      <c r="N161" s="9">
        <f t="shared" si="123"/>
        <v>360</v>
      </c>
    </row>
    <row r="162" spans="2:14" outlineLevel="1">
      <c r="B162" s="9" t="s">
        <v>163</v>
      </c>
      <c r="E162" s="12">
        <v>1242</v>
      </c>
      <c r="F162" s="12">
        <v>1053</v>
      </c>
      <c r="G162" s="12">
        <v>1036</v>
      </c>
      <c r="H162" s="12">
        <v>1126</v>
      </c>
      <c r="I162" s="12">
        <v>965</v>
      </c>
      <c r="J162" s="9">
        <f t="shared" si="123"/>
        <v>965</v>
      </c>
      <c r="K162" s="9">
        <f t="shared" si="123"/>
        <v>965</v>
      </c>
      <c r="L162" s="9">
        <f t="shared" si="123"/>
        <v>965</v>
      </c>
      <c r="M162" s="9">
        <f t="shared" si="123"/>
        <v>965</v>
      </c>
      <c r="N162" s="9">
        <f t="shared" si="123"/>
        <v>965</v>
      </c>
    </row>
    <row r="163" spans="2:14" outlineLevel="1">
      <c r="B163" s="81" t="s">
        <v>150</v>
      </c>
      <c r="C163" s="81"/>
      <c r="D163" s="82"/>
      <c r="E163" s="83">
        <f>SUM(E158:E162)</f>
        <v>12179</v>
      </c>
      <c r="F163" s="83">
        <f t="shared" ref="F163:N163" si="124">SUM(F158:F162)</f>
        <v>12062</v>
      </c>
      <c r="G163" s="83">
        <f t="shared" si="124"/>
        <v>13251</v>
      </c>
      <c r="H163" s="83">
        <f t="shared" si="124"/>
        <v>17060</v>
      </c>
      <c r="I163" s="83">
        <f t="shared" si="124"/>
        <v>16575</v>
      </c>
      <c r="J163" s="83">
        <f t="shared" si="124"/>
        <v>14729</v>
      </c>
      <c r="K163" s="83">
        <f t="shared" si="124"/>
        <v>13513.25</v>
      </c>
      <c r="L163" s="83">
        <f t="shared" si="124"/>
        <v>12297.5</v>
      </c>
      <c r="M163" s="83">
        <f t="shared" si="124"/>
        <v>11081.75</v>
      </c>
      <c r="N163" s="83">
        <f t="shared" si="124"/>
        <v>9866</v>
      </c>
    </row>
    <row r="164" spans="2:14" outlineLevel="1">
      <c r="B164" s="53" t="s">
        <v>25</v>
      </c>
      <c r="C164" s="53"/>
      <c r="D164" s="54"/>
      <c r="E164" s="69">
        <f>E163+E157</f>
        <v>24627</v>
      </c>
      <c r="F164" s="69">
        <f t="shared" ref="F164:N164" si="125">F163+F157</f>
        <v>24065</v>
      </c>
      <c r="G164" s="69">
        <f t="shared" si="125"/>
        <v>25780</v>
      </c>
      <c r="H164" s="69">
        <f t="shared" si="125"/>
        <v>30203</v>
      </c>
      <c r="I164" s="69">
        <f t="shared" si="125"/>
        <v>30423</v>
      </c>
      <c r="J164" s="69">
        <f t="shared" si="125"/>
        <v>28439.951217197879</v>
      </c>
      <c r="K164" s="69">
        <f t="shared" si="125"/>
        <v>27805.869501002766</v>
      </c>
      <c r="L164" s="69">
        <f t="shared" si="125"/>
        <v>26961.101886062395</v>
      </c>
      <c r="M164" s="69">
        <f t="shared" si="125"/>
        <v>26116.574352388074</v>
      </c>
      <c r="N164" s="69">
        <f t="shared" si="125"/>
        <v>25290.393208807087</v>
      </c>
    </row>
    <row r="165" spans="2:14" outlineLevel="1">
      <c r="B165" s="10" t="s">
        <v>26</v>
      </c>
      <c r="E165" s="12"/>
      <c r="F165" s="12"/>
      <c r="G165" s="12"/>
      <c r="H165" s="12"/>
      <c r="I165" s="12"/>
    </row>
    <row r="166" spans="2:14" outlineLevel="1">
      <c r="B166" s="9" t="s">
        <v>27</v>
      </c>
      <c r="E166" s="12">
        <v>2221</v>
      </c>
      <c r="F166" s="12">
        <v>2214</v>
      </c>
      <c r="G166" s="12">
        <v>2186</v>
      </c>
      <c r="H166" s="12">
        <v>2179</v>
      </c>
      <c r="I166" s="12">
        <v>2131</v>
      </c>
      <c r="J166" s="9">
        <f>I166+J102</f>
        <v>2131</v>
      </c>
      <c r="K166" s="9">
        <f>J166+K102</f>
        <v>2131</v>
      </c>
      <c r="L166" s="9">
        <f>K166+L102</f>
        <v>2131</v>
      </c>
      <c r="M166" s="9">
        <f>L166+M102</f>
        <v>2131</v>
      </c>
      <c r="N166" s="9">
        <f>M166+N102</f>
        <v>2131</v>
      </c>
    </row>
    <row r="167" spans="2:14" outlineLevel="1">
      <c r="B167" s="9" t="s">
        <v>164</v>
      </c>
      <c r="E167" s="12">
        <v>6090</v>
      </c>
      <c r="F167" s="12">
        <v>5944</v>
      </c>
      <c r="G167" s="12">
        <v>5646</v>
      </c>
      <c r="H167" s="12">
        <v>5551</v>
      </c>
      <c r="I167" s="12">
        <v>5104</v>
      </c>
      <c r="J167" s="9">
        <f>I167</f>
        <v>5104</v>
      </c>
      <c r="K167" s="9">
        <f t="shared" ref="K167:N167" si="126">J167</f>
        <v>5104</v>
      </c>
      <c r="L167" s="9">
        <f t="shared" si="126"/>
        <v>5104</v>
      </c>
      <c r="M167" s="9">
        <f t="shared" si="126"/>
        <v>5104</v>
      </c>
      <c r="N167" s="9">
        <f t="shared" si="126"/>
        <v>5104</v>
      </c>
    </row>
    <row r="168" spans="2:14" outlineLevel="1">
      <c r="B168" s="9" t="s">
        <v>28</v>
      </c>
      <c r="E168" s="12">
        <v>11077</v>
      </c>
      <c r="F168" s="12">
        <v>12167</v>
      </c>
      <c r="G168" s="12">
        <v>11969</v>
      </c>
      <c r="H168" s="12">
        <v>12518</v>
      </c>
      <c r="I168" s="12">
        <v>13687</v>
      </c>
      <c r="J168" s="9">
        <f t="shared" ref="J168:N168" si="127">+I168+J124</f>
        <v>15259.381310509973</v>
      </c>
      <c r="K168" s="9">
        <f t="shared" si="127"/>
        <v>16977.740190565768</v>
      </c>
      <c r="L168" s="9">
        <f t="shared" si="127"/>
        <v>18785.55368808339</v>
      </c>
      <c r="M168" s="9">
        <f t="shared" si="127"/>
        <v>20683.091877002229</v>
      </c>
      <c r="N168" s="9">
        <f t="shared" si="127"/>
        <v>22754.061136750362</v>
      </c>
    </row>
    <row r="169" spans="2:14" outlineLevel="1">
      <c r="B169" s="9" t="s">
        <v>165</v>
      </c>
      <c r="E169" s="12">
        <v>-742</v>
      </c>
      <c r="F169" s="12">
        <v>-1756</v>
      </c>
      <c r="G169" s="12">
        <v>-1640</v>
      </c>
      <c r="H169" s="12">
        <v>-1467</v>
      </c>
      <c r="I169" s="12">
        <v>-2857</v>
      </c>
      <c r="J169" s="9">
        <f>I169</f>
        <v>-2857</v>
      </c>
      <c r="K169" s="9">
        <f t="shared" ref="K169:N169" si="128">J169</f>
        <v>-2857</v>
      </c>
      <c r="L169" s="9">
        <f t="shared" si="128"/>
        <v>-2857</v>
      </c>
      <c r="M169" s="9">
        <f t="shared" si="128"/>
        <v>-2857</v>
      </c>
      <c r="N169" s="9">
        <f t="shared" si="128"/>
        <v>-2857</v>
      </c>
    </row>
    <row r="170" spans="2:14" outlineLevel="1">
      <c r="B170" s="9" t="s">
        <v>166</v>
      </c>
      <c r="E170" s="12">
        <v>191</v>
      </c>
      <c r="F170" s="12">
        <v>22</v>
      </c>
      <c r="G170" s="12">
        <v>-124</v>
      </c>
      <c r="H170" s="12">
        <v>743</v>
      </c>
      <c r="I170" s="12">
        <v>-48</v>
      </c>
      <c r="J170" s="9">
        <f t="shared" ref="J170:N172" si="129">I170</f>
        <v>-48</v>
      </c>
      <c r="K170" s="9">
        <f t="shared" si="129"/>
        <v>-48</v>
      </c>
      <c r="L170" s="9">
        <f t="shared" si="129"/>
        <v>-48</v>
      </c>
      <c r="M170" s="9">
        <f t="shared" si="129"/>
        <v>-48</v>
      </c>
      <c r="N170" s="9">
        <f t="shared" si="129"/>
        <v>-48</v>
      </c>
    </row>
    <row r="171" spans="2:14" outlineLevel="1">
      <c r="B171" s="9" t="s">
        <v>167</v>
      </c>
      <c r="E171" s="12">
        <v>-72</v>
      </c>
      <c r="F171" s="12">
        <v>-123</v>
      </c>
      <c r="G171" s="12">
        <v>-106</v>
      </c>
      <c r="H171" s="12">
        <v>-108</v>
      </c>
      <c r="I171" s="12">
        <v>-125</v>
      </c>
      <c r="J171" s="9">
        <f t="shared" si="129"/>
        <v>-125</v>
      </c>
      <c r="K171" s="9">
        <f t="shared" si="129"/>
        <v>-125</v>
      </c>
      <c r="L171" s="9">
        <f t="shared" si="129"/>
        <v>-125</v>
      </c>
      <c r="M171" s="9">
        <f t="shared" si="129"/>
        <v>-125</v>
      </c>
      <c r="N171" s="9">
        <f t="shared" si="129"/>
        <v>-125</v>
      </c>
    </row>
    <row r="172" spans="2:14" outlineLevel="1">
      <c r="B172" s="9" t="s">
        <v>168</v>
      </c>
      <c r="E172" s="12">
        <v>375</v>
      </c>
      <c r="F172" s="12">
        <v>384</v>
      </c>
      <c r="G172" s="12">
        <v>331</v>
      </c>
      <c r="H172" s="12">
        <v>364</v>
      </c>
      <c r="I172" s="12">
        <v>311</v>
      </c>
      <c r="J172" s="9">
        <f t="shared" si="129"/>
        <v>311</v>
      </c>
      <c r="K172" s="9">
        <f t="shared" si="129"/>
        <v>311</v>
      </c>
      <c r="L172" s="9">
        <f t="shared" si="129"/>
        <v>311</v>
      </c>
      <c r="M172" s="9">
        <f t="shared" si="129"/>
        <v>311</v>
      </c>
      <c r="N172" s="9">
        <f t="shared" si="129"/>
        <v>311</v>
      </c>
    </row>
    <row r="173" spans="2:14" outlineLevel="1">
      <c r="B173" s="81" t="s">
        <v>26</v>
      </c>
      <c r="C173" s="81"/>
      <c r="D173" s="82"/>
      <c r="E173" s="83">
        <f>SUM(E166:E172)</f>
        <v>19140</v>
      </c>
      <c r="F173" s="83">
        <f>SUM(F166:F172)</f>
        <v>18852</v>
      </c>
      <c r="G173" s="83">
        <f>SUM(G166:G172)</f>
        <v>18262</v>
      </c>
      <c r="H173" s="83">
        <f>SUM(H166:H172)</f>
        <v>19780</v>
      </c>
      <c r="I173" s="83">
        <f>SUM(I166:I172)</f>
        <v>18203</v>
      </c>
      <c r="J173" s="83">
        <f t="shared" ref="J173:N173" si="130">SUM(J166:J172)</f>
        <v>19775.381310509973</v>
      </c>
      <c r="K173" s="83">
        <f t="shared" si="130"/>
        <v>21493.740190565768</v>
      </c>
      <c r="L173" s="83">
        <f t="shared" si="130"/>
        <v>23301.55368808339</v>
      </c>
      <c r="M173" s="83">
        <f t="shared" si="130"/>
        <v>25199.091877002229</v>
      </c>
      <c r="N173" s="83">
        <f t="shared" si="130"/>
        <v>27270.061136750362</v>
      </c>
    </row>
    <row r="174" spans="2:14" ht="16.5" outlineLevel="1" thickBot="1">
      <c r="B174" s="76" t="s">
        <v>29</v>
      </c>
      <c r="C174" s="76"/>
      <c r="D174" s="77"/>
      <c r="E174" s="78">
        <f>E173+E163+E157</f>
        <v>43767</v>
      </c>
      <c r="F174" s="78">
        <f t="shared" ref="F174:N174" si="131">F173+F163+F157</f>
        <v>42917</v>
      </c>
      <c r="G174" s="78">
        <f t="shared" si="131"/>
        <v>44042</v>
      </c>
      <c r="H174" s="78">
        <f t="shared" si="131"/>
        <v>49983</v>
      </c>
      <c r="I174" s="78">
        <f t="shared" si="131"/>
        <v>48626</v>
      </c>
      <c r="J174" s="78">
        <f t="shared" si="131"/>
        <v>48215.332527707847</v>
      </c>
      <c r="K174" s="78">
        <f t="shared" si="131"/>
        <v>49299.609691568534</v>
      </c>
      <c r="L174" s="78">
        <f t="shared" si="131"/>
        <v>50262.655574145785</v>
      </c>
      <c r="M174" s="78">
        <f t="shared" si="131"/>
        <v>51315.666229390299</v>
      </c>
      <c r="N174" s="78">
        <f t="shared" si="131"/>
        <v>52560.454345557446</v>
      </c>
    </row>
    <row r="175" spans="2:14" ht="16.5" outlineLevel="1" thickTop="1">
      <c r="E175" s="12"/>
      <c r="F175" s="12"/>
      <c r="G175" s="12"/>
      <c r="H175" s="12"/>
      <c r="I175" s="12"/>
    </row>
    <row r="176" spans="2:14" outlineLevel="1">
      <c r="B176" s="84" t="s">
        <v>47</v>
      </c>
      <c r="C176" s="85"/>
      <c r="D176" s="86"/>
      <c r="E176" s="109">
        <f t="shared" ref="E176:N176" si="132">E174-E146</f>
        <v>0</v>
      </c>
      <c r="F176" s="109">
        <f t="shared" si="132"/>
        <v>0</v>
      </c>
      <c r="G176" s="109">
        <f t="shared" si="132"/>
        <v>0</v>
      </c>
      <c r="H176" s="109">
        <f t="shared" si="132"/>
        <v>0</v>
      </c>
      <c r="I176" s="109">
        <f t="shared" si="132"/>
        <v>0</v>
      </c>
      <c r="J176" s="109">
        <f t="shared" si="132"/>
        <v>0</v>
      </c>
      <c r="K176" s="109">
        <f t="shared" si="132"/>
        <v>0</v>
      </c>
      <c r="L176" s="109">
        <f t="shared" si="132"/>
        <v>0</v>
      </c>
      <c r="M176" s="109">
        <f t="shared" si="132"/>
        <v>0</v>
      </c>
      <c r="N176" s="109">
        <f t="shared" si="132"/>
        <v>0</v>
      </c>
    </row>
    <row r="177" spans="2:14" outlineLevel="1">
      <c r="B177" s="85"/>
      <c r="C177" s="85"/>
      <c r="D177" s="86"/>
      <c r="E177" s="85"/>
      <c r="F177" s="85"/>
      <c r="G177" s="85"/>
      <c r="H177" s="85"/>
      <c r="I177" s="85"/>
      <c r="J177" s="85"/>
      <c r="K177" s="85"/>
      <c r="L177" s="85"/>
      <c r="M177" s="85"/>
      <c r="N177" s="85"/>
    </row>
    <row r="178" spans="2:14">
      <c r="E178" s="12"/>
      <c r="F178" s="12"/>
      <c r="G178" s="12"/>
      <c r="H178" s="12"/>
      <c r="I178" s="12"/>
    </row>
    <row r="179" spans="2:14" ht="18">
      <c r="B179" s="152" t="s">
        <v>46</v>
      </c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</row>
    <row r="180" spans="2:14" outlineLevel="1">
      <c r="B180" s="10"/>
      <c r="E180" s="64"/>
      <c r="F180" s="12"/>
      <c r="G180" s="12"/>
      <c r="H180" s="12"/>
      <c r="I180" s="12"/>
    </row>
    <row r="181" spans="2:14" outlineLevel="1">
      <c r="B181" s="10" t="s">
        <v>30</v>
      </c>
      <c r="E181" s="12"/>
      <c r="F181" s="12"/>
      <c r="G181" s="12"/>
      <c r="H181" s="12"/>
      <c r="I181" s="12"/>
    </row>
    <row r="182" spans="2:14" outlineLevel="1">
      <c r="B182" s="9" t="s">
        <v>7</v>
      </c>
      <c r="E182" s="12"/>
      <c r="F182" s="12"/>
      <c r="G182" s="12"/>
      <c r="H182" s="12"/>
      <c r="I182" s="12"/>
      <c r="J182" s="9">
        <f t="shared" ref="J182:N182" si="133">J124</f>
        <v>1572.3813105099716</v>
      </c>
      <c r="K182" s="9">
        <f t="shared" si="133"/>
        <v>1718.3588800557964</v>
      </c>
      <c r="L182" s="9">
        <f t="shared" si="133"/>
        <v>1807.8134975176231</v>
      </c>
      <c r="M182" s="9">
        <f t="shared" si="133"/>
        <v>1897.5381889188384</v>
      </c>
      <c r="N182" s="9">
        <f t="shared" si="133"/>
        <v>2070.969259748133</v>
      </c>
    </row>
    <row r="183" spans="2:14" outlineLevel="1">
      <c r="B183" s="9" t="s">
        <v>31</v>
      </c>
      <c r="E183" s="12"/>
      <c r="F183" s="12"/>
      <c r="G183" s="12"/>
      <c r="H183" s="12"/>
      <c r="I183" s="12"/>
      <c r="J183" s="9">
        <f>J115</f>
        <v>1429.4337326465848</v>
      </c>
      <c r="K183" s="9">
        <f>K115</f>
        <v>1488.1187402386192</v>
      </c>
      <c r="L183" s="9">
        <f>L115</f>
        <v>1544.3981755844045</v>
      </c>
      <c r="M183" s="9">
        <f>M115</f>
        <v>1600.3779039292126</v>
      </c>
      <c r="N183" s="9">
        <f>N115</f>
        <v>1540.7076994370818</v>
      </c>
    </row>
    <row r="184" spans="2:14" outlineLevel="1">
      <c r="B184" s="9" t="s">
        <v>35</v>
      </c>
      <c r="E184" s="12"/>
      <c r="F184" s="12"/>
      <c r="G184" s="12"/>
      <c r="H184" s="12"/>
      <c r="I184" s="12"/>
      <c r="J184" s="9">
        <f>J214</f>
        <v>1330.7826602987611</v>
      </c>
      <c r="K184" s="9">
        <f t="shared" ref="K184:N184" si="134">K214</f>
        <v>160.85356125097451</v>
      </c>
      <c r="L184" s="9">
        <f t="shared" si="134"/>
        <v>102.59083993350578</v>
      </c>
      <c r="M184" s="9">
        <f t="shared" si="134"/>
        <v>102.65723159987192</v>
      </c>
      <c r="N184" s="9">
        <f t="shared" si="134"/>
        <v>107.7307112183662</v>
      </c>
    </row>
    <row r="185" spans="2:14" outlineLevel="1">
      <c r="B185" s="53" t="s">
        <v>32</v>
      </c>
      <c r="C185" s="6"/>
      <c r="D185" s="87"/>
      <c r="E185" s="69"/>
      <c r="F185" s="69"/>
      <c r="G185" s="69"/>
      <c r="H185" s="69"/>
      <c r="I185" s="69"/>
      <c r="J185" s="69">
        <f t="shared" ref="J185:N185" si="135">J182+J183-J184</f>
        <v>1671.0323828577953</v>
      </c>
      <c r="K185" s="69">
        <f t="shared" si="135"/>
        <v>3045.6240590434413</v>
      </c>
      <c r="L185" s="69">
        <f t="shared" si="135"/>
        <v>3249.620833168522</v>
      </c>
      <c r="M185" s="69">
        <f t="shared" si="135"/>
        <v>3395.2588612481791</v>
      </c>
      <c r="N185" s="69">
        <f t="shared" si="135"/>
        <v>3503.9462479668487</v>
      </c>
    </row>
    <row r="186" spans="2:14" outlineLevel="1">
      <c r="B186" s="63"/>
      <c r="C186" s="8"/>
      <c r="D186" s="56"/>
      <c r="E186" s="64"/>
      <c r="F186" s="64"/>
      <c r="G186" s="64"/>
      <c r="H186" s="64"/>
      <c r="I186" s="64"/>
      <c r="J186" s="63"/>
      <c r="K186" s="63"/>
      <c r="L186" s="63"/>
      <c r="M186" s="63"/>
      <c r="N186" s="63"/>
    </row>
    <row r="187" spans="2:14" outlineLevel="1">
      <c r="B187" s="10" t="s">
        <v>36</v>
      </c>
      <c r="E187" s="68"/>
      <c r="F187" s="68"/>
      <c r="G187" s="68"/>
      <c r="H187" s="68"/>
      <c r="I187" s="68"/>
      <c r="J187" s="8"/>
      <c r="K187" s="8"/>
      <c r="L187" s="8"/>
      <c r="M187" s="8"/>
      <c r="N187" s="8"/>
    </row>
    <row r="188" spans="2:14" outlineLevel="1">
      <c r="B188" s="9" t="s">
        <v>37</v>
      </c>
      <c r="E188" s="68"/>
      <c r="F188" s="68"/>
      <c r="G188" s="68"/>
      <c r="H188" s="68"/>
      <c r="I188" s="68"/>
      <c r="J188" s="8">
        <f>J218</f>
        <v>1407.25</v>
      </c>
      <c r="K188" s="8">
        <f t="shared" ref="K188:N188" si="136">K218</f>
        <v>1407.25</v>
      </c>
      <c r="L188" s="8">
        <f t="shared" si="136"/>
        <v>1407.25</v>
      </c>
      <c r="M188" s="8">
        <f t="shared" si="136"/>
        <v>1407.25</v>
      </c>
      <c r="N188" s="8">
        <f t="shared" si="136"/>
        <v>1407.25</v>
      </c>
    </row>
    <row r="189" spans="2:14" outlineLevel="1">
      <c r="B189" s="53" t="s">
        <v>38</v>
      </c>
      <c r="C189" s="6"/>
      <c r="D189" s="87"/>
      <c r="E189" s="69"/>
      <c r="F189" s="69"/>
      <c r="G189" s="69"/>
      <c r="H189" s="69"/>
      <c r="I189" s="69"/>
      <c r="J189" s="53">
        <f t="shared" ref="J189:N189" si="137">J188</f>
        <v>1407.25</v>
      </c>
      <c r="K189" s="53">
        <f t="shared" si="137"/>
        <v>1407.25</v>
      </c>
      <c r="L189" s="53">
        <f t="shared" si="137"/>
        <v>1407.25</v>
      </c>
      <c r="M189" s="53">
        <f t="shared" si="137"/>
        <v>1407.25</v>
      </c>
      <c r="N189" s="53">
        <f t="shared" si="137"/>
        <v>1407.25</v>
      </c>
    </row>
    <row r="190" spans="2:14" outlineLevel="1">
      <c r="B190" s="63"/>
      <c r="C190" s="8"/>
      <c r="D190" s="56"/>
      <c r="E190" s="64"/>
      <c r="F190" s="64"/>
      <c r="G190" s="64"/>
      <c r="H190" s="64"/>
      <c r="I190" s="64"/>
      <c r="J190" s="63"/>
      <c r="K190" s="63"/>
      <c r="L190" s="63"/>
      <c r="M190" s="63"/>
      <c r="N190" s="63"/>
    </row>
    <row r="191" spans="2:14" outlineLevel="1">
      <c r="B191" s="10" t="s">
        <v>39</v>
      </c>
      <c r="E191" s="68"/>
      <c r="F191" s="68"/>
      <c r="G191" s="68"/>
      <c r="H191" s="68"/>
      <c r="I191" s="68"/>
      <c r="J191" s="8"/>
      <c r="K191" s="8"/>
      <c r="L191" s="8"/>
      <c r="M191" s="8"/>
      <c r="N191" s="8"/>
    </row>
    <row r="192" spans="2:14" outlineLevel="1">
      <c r="B192" s="9" t="s">
        <v>40</v>
      </c>
      <c r="E192" s="68"/>
      <c r="F192" s="68"/>
      <c r="G192" s="68"/>
      <c r="H192" s="68"/>
      <c r="I192" s="68"/>
      <c r="J192" s="8">
        <f t="shared" ref="J192:N192" si="138">J224</f>
        <v>-1846</v>
      </c>
      <c r="K192" s="8">
        <f t="shared" si="138"/>
        <v>-1215.75</v>
      </c>
      <c r="L192" s="8">
        <f t="shared" si="138"/>
        <v>-1215.75</v>
      </c>
      <c r="M192" s="8">
        <f t="shared" si="138"/>
        <v>-1215.75</v>
      </c>
      <c r="N192" s="8">
        <f t="shared" si="138"/>
        <v>-1215.75</v>
      </c>
    </row>
    <row r="193" spans="2:14" outlineLevel="1">
      <c r="B193" s="9" t="s">
        <v>41</v>
      </c>
      <c r="E193" s="68"/>
      <c r="F193" s="68"/>
      <c r="G193" s="68"/>
      <c r="H193" s="68"/>
      <c r="I193" s="68"/>
      <c r="J193" s="8">
        <f>J102</f>
        <v>0</v>
      </c>
      <c r="K193" s="8">
        <f>K102</f>
        <v>0</v>
      </c>
      <c r="L193" s="8">
        <f>L102</f>
        <v>0</v>
      </c>
      <c r="M193" s="8">
        <f>M102</f>
        <v>0</v>
      </c>
      <c r="N193" s="8">
        <f>N102</f>
        <v>0</v>
      </c>
    </row>
    <row r="194" spans="2:14" outlineLevel="1">
      <c r="B194" s="53" t="s">
        <v>42</v>
      </c>
      <c r="C194" s="6"/>
      <c r="D194" s="87"/>
      <c r="E194" s="69"/>
      <c r="F194" s="69"/>
      <c r="G194" s="69"/>
      <c r="H194" s="69"/>
      <c r="I194" s="69"/>
      <c r="J194" s="53">
        <f t="shared" ref="J194:N194" si="139">SUM(J192:J193)</f>
        <v>-1846</v>
      </c>
      <c r="K194" s="53">
        <f t="shared" si="139"/>
        <v>-1215.75</v>
      </c>
      <c r="L194" s="53">
        <f t="shared" si="139"/>
        <v>-1215.75</v>
      </c>
      <c r="M194" s="53">
        <f t="shared" si="139"/>
        <v>-1215.75</v>
      </c>
      <c r="N194" s="53">
        <f t="shared" si="139"/>
        <v>-1215.75</v>
      </c>
    </row>
    <row r="195" spans="2:14" outlineLevel="1">
      <c r="B195" s="63"/>
      <c r="C195" s="8"/>
      <c r="D195" s="56"/>
      <c r="E195" s="64"/>
      <c r="F195" s="64"/>
      <c r="G195" s="64"/>
      <c r="H195" s="64"/>
      <c r="I195" s="64"/>
      <c r="J195" s="63"/>
      <c r="K195" s="63"/>
      <c r="L195" s="63"/>
      <c r="M195" s="63"/>
      <c r="N195" s="63"/>
    </row>
    <row r="196" spans="2:14" outlineLevel="1">
      <c r="B196" s="9" t="s">
        <v>43</v>
      </c>
      <c r="E196" s="88"/>
      <c r="F196" s="88"/>
      <c r="G196" s="88"/>
      <c r="H196" s="88"/>
      <c r="I196" s="88"/>
      <c r="J196" s="88">
        <f t="shared" ref="J196:N196" si="140">J185-J189+J194</f>
        <v>-1582.2176171422047</v>
      </c>
      <c r="K196" s="88">
        <f t="shared" si="140"/>
        <v>422.62405904344132</v>
      </c>
      <c r="L196" s="88">
        <f t="shared" si="140"/>
        <v>626.62083316852204</v>
      </c>
      <c r="M196" s="88">
        <f t="shared" si="140"/>
        <v>772.25886124817907</v>
      </c>
      <c r="N196" s="88">
        <f t="shared" si="140"/>
        <v>880.94624796684866</v>
      </c>
    </row>
    <row r="197" spans="2:14" outlineLevel="1">
      <c r="B197" s="9" t="s">
        <v>44</v>
      </c>
      <c r="E197" s="68"/>
      <c r="F197" s="68"/>
      <c r="G197" s="68"/>
      <c r="H197" s="68"/>
      <c r="I197" s="68"/>
      <c r="J197" s="8">
        <f t="shared" ref="J197:N197" si="141">I198</f>
        <v>8443</v>
      </c>
      <c r="K197" s="8">
        <f t="shared" si="141"/>
        <v>6860.7823828577948</v>
      </c>
      <c r="L197" s="8">
        <f t="shared" si="141"/>
        <v>7283.4064419012357</v>
      </c>
      <c r="M197" s="8">
        <f t="shared" si="141"/>
        <v>7910.0272750697577</v>
      </c>
      <c r="N197" s="8">
        <f t="shared" si="141"/>
        <v>8682.2861363179363</v>
      </c>
    </row>
    <row r="198" spans="2:14" outlineLevel="1">
      <c r="B198" s="53" t="s">
        <v>45</v>
      </c>
      <c r="C198" s="6"/>
      <c r="D198" s="87"/>
      <c r="E198" s="69">
        <f>SUM(E196:E197)</f>
        <v>0</v>
      </c>
      <c r="F198" s="69">
        <f t="shared" ref="F198:N198" si="142">SUM(F196:F197)</f>
        <v>0</v>
      </c>
      <c r="G198" s="69">
        <f t="shared" si="142"/>
        <v>0</v>
      </c>
      <c r="H198" s="69">
        <f t="shared" si="142"/>
        <v>0</v>
      </c>
      <c r="I198" s="69">
        <f>I136</f>
        <v>8443</v>
      </c>
      <c r="J198" s="69">
        <f t="shared" si="142"/>
        <v>6860.7823828577948</v>
      </c>
      <c r="K198" s="69">
        <f t="shared" si="142"/>
        <v>7283.4064419012357</v>
      </c>
      <c r="L198" s="69">
        <f t="shared" si="142"/>
        <v>7910.0272750697577</v>
      </c>
      <c r="M198" s="69">
        <f t="shared" si="142"/>
        <v>8682.2861363179363</v>
      </c>
      <c r="N198" s="69">
        <f t="shared" si="142"/>
        <v>9563.2323842847854</v>
      </c>
    </row>
    <row r="199" spans="2:14" outlineLevel="1">
      <c r="B199" s="10"/>
      <c r="E199" s="64"/>
      <c r="F199" s="12"/>
      <c r="G199" s="12"/>
      <c r="H199" s="12"/>
      <c r="I199" s="12"/>
    </row>
    <row r="200" spans="2:14" outlineLevel="1">
      <c r="B200" s="84" t="s">
        <v>47</v>
      </c>
      <c r="C200" s="85"/>
      <c r="D200" s="86"/>
      <c r="E200" s="109"/>
      <c r="F200" s="109"/>
      <c r="G200" s="109"/>
      <c r="H200" s="109"/>
      <c r="I200" s="109">
        <f t="shared" ref="I200:N200" si="143">I198-I136</f>
        <v>0</v>
      </c>
      <c r="J200" s="109">
        <f t="shared" si="143"/>
        <v>0</v>
      </c>
      <c r="K200" s="109">
        <f t="shared" si="143"/>
        <v>0</v>
      </c>
      <c r="L200" s="109">
        <f t="shared" si="143"/>
        <v>0</v>
      </c>
      <c r="M200" s="109">
        <f t="shared" si="143"/>
        <v>0</v>
      </c>
      <c r="N200" s="109">
        <f t="shared" si="143"/>
        <v>0</v>
      </c>
    </row>
    <row r="201" spans="2:14" outlineLevel="1">
      <c r="B201" s="10"/>
      <c r="E201" s="64"/>
      <c r="F201" s="12"/>
      <c r="G201" s="12"/>
      <c r="H201" s="12"/>
      <c r="I201" s="12"/>
    </row>
    <row r="202" spans="2:14">
      <c r="E202" s="12"/>
      <c r="F202" s="12"/>
      <c r="G202" s="12"/>
      <c r="H202" s="12"/>
      <c r="I202" s="12"/>
    </row>
    <row r="203" spans="2:14" ht="18">
      <c r="B203" s="152" t="s">
        <v>48</v>
      </c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</row>
    <row r="204" spans="2:14" outlineLevel="1">
      <c r="E204" s="12"/>
      <c r="F204" s="12"/>
      <c r="G204" s="12"/>
      <c r="H204" s="12"/>
      <c r="I204" s="12"/>
    </row>
    <row r="205" spans="2:14" outlineLevel="1">
      <c r="B205" s="10" t="s">
        <v>49</v>
      </c>
      <c r="E205" s="12"/>
      <c r="F205" s="12"/>
      <c r="G205" s="12"/>
      <c r="H205" s="12"/>
      <c r="I205" s="12"/>
    </row>
    <row r="206" spans="2:14" outlineLevel="1">
      <c r="B206" s="9" t="s">
        <v>10</v>
      </c>
      <c r="E206" s="12"/>
      <c r="F206" s="12"/>
      <c r="G206" s="12"/>
      <c r="H206" s="12"/>
      <c r="I206" s="35">
        <f>I132</f>
        <v>4597</v>
      </c>
      <c r="J206" s="35">
        <f t="shared" ref="J206:N206" si="144">J132</f>
        <v>4951.8501693442786</v>
      </c>
      <c r="K206" s="35">
        <f t="shared" si="144"/>
        <v>5244.3901308088798</v>
      </c>
      <c r="L206" s="35">
        <f t="shared" si="144"/>
        <v>5430.9692784967647</v>
      </c>
      <c r="M206" s="35">
        <f t="shared" si="144"/>
        <v>5617.6691708879016</v>
      </c>
      <c r="N206" s="35">
        <f t="shared" si="144"/>
        <v>5813.5960615533977</v>
      </c>
    </row>
    <row r="207" spans="2:14" outlineLevel="1">
      <c r="B207" s="9" t="s">
        <v>16</v>
      </c>
      <c r="E207" s="12"/>
      <c r="F207" s="12"/>
      <c r="G207" s="12"/>
      <c r="H207" s="12"/>
      <c r="I207" s="35">
        <f>I131</f>
        <v>5362</v>
      </c>
      <c r="J207" s="35">
        <f t="shared" ref="J207:N207" si="145">J131</f>
        <v>5862.7250099573876</v>
      </c>
      <c r="K207" s="35">
        <f t="shared" si="145"/>
        <v>6209.0766340651089</v>
      </c>
      <c r="L207" s="35">
        <f t="shared" si="145"/>
        <v>6429.9763378279849</v>
      </c>
      <c r="M207" s="35">
        <f t="shared" si="145"/>
        <v>6651.0189968434152</v>
      </c>
      <c r="N207" s="35">
        <f t="shared" si="145"/>
        <v>6882.9859269292447</v>
      </c>
    </row>
    <row r="208" spans="2:14" outlineLevel="1">
      <c r="B208" s="9" t="str">
        <f>B133</f>
        <v>Current Tax Receivable</v>
      </c>
      <c r="E208" s="12"/>
      <c r="F208" s="12"/>
      <c r="G208" s="12"/>
      <c r="H208" s="12"/>
      <c r="I208" s="35">
        <f>I133</f>
        <v>147</v>
      </c>
      <c r="J208" s="35">
        <f t="shared" ref="J208:N208" si="146">J133</f>
        <v>259.15143031224778</v>
      </c>
      <c r="K208" s="35">
        <f t="shared" si="146"/>
        <v>274.46129366521757</v>
      </c>
      <c r="L208" s="35">
        <f t="shared" si="146"/>
        <v>284.22577589634255</v>
      </c>
      <c r="M208" s="35">
        <f t="shared" si="146"/>
        <v>293.99657721255301</v>
      </c>
      <c r="N208" s="35">
        <f t="shared" si="146"/>
        <v>304.25026668541489</v>
      </c>
    </row>
    <row r="209" spans="2:14" outlineLevel="1">
      <c r="B209" s="9" t="str">
        <f>B134</f>
        <v>Other Receivables</v>
      </c>
      <c r="E209" s="12"/>
      <c r="F209" s="12"/>
      <c r="G209" s="12"/>
      <c r="H209" s="12"/>
      <c r="I209" s="35">
        <f>I134</f>
        <v>1269</v>
      </c>
      <c r="J209" s="35">
        <f t="shared" ref="J209:N209" si="147">J134</f>
        <v>1495.0072678827273</v>
      </c>
      <c r="K209" s="35">
        <f t="shared" si="147"/>
        <v>1583.3276640132963</v>
      </c>
      <c r="L209" s="35">
        <f t="shared" si="147"/>
        <v>1639.657555324545</v>
      </c>
      <c r="M209" s="35">
        <f t="shared" si="147"/>
        <v>1696.0239005273188</v>
      </c>
      <c r="N209" s="35">
        <f t="shared" si="147"/>
        <v>1755.1759579405116</v>
      </c>
    </row>
    <row r="210" spans="2:14" outlineLevel="1">
      <c r="B210" s="9" t="s">
        <v>19</v>
      </c>
      <c r="E210" s="12"/>
      <c r="F210" s="12"/>
      <c r="G210" s="12"/>
      <c r="H210" s="12"/>
      <c r="I210" s="35">
        <f>I152</f>
        <v>5897</v>
      </c>
      <c r="J210" s="35">
        <f t="shared" ref="J210:N210" si="148">J152</f>
        <v>5897.1393990994784</v>
      </c>
      <c r="K210" s="35">
        <f t="shared" si="148"/>
        <v>6245.5241186622661</v>
      </c>
      <c r="L210" s="35">
        <f t="shared" si="148"/>
        <v>6467.7205109707847</v>
      </c>
      <c r="M210" s="35">
        <f t="shared" si="148"/>
        <v>6690.0606976839053</v>
      </c>
      <c r="N210" s="35">
        <f t="shared" si="148"/>
        <v>6923.3892812988552</v>
      </c>
    </row>
    <row r="211" spans="2:14" outlineLevel="1">
      <c r="B211" s="9" t="str">
        <f>B153</f>
        <v>Current Tax Liabilities</v>
      </c>
      <c r="E211" s="12"/>
      <c r="F211" s="12"/>
      <c r="G211" s="12"/>
      <c r="H211" s="12"/>
      <c r="I211" s="35">
        <f>I153</f>
        <v>175</v>
      </c>
      <c r="J211" s="35">
        <f t="shared" ref="J211:N211" si="149">J153</f>
        <v>147.07947548189921</v>
      </c>
      <c r="K211" s="35">
        <f t="shared" si="149"/>
        <v>155.76847507160329</v>
      </c>
      <c r="L211" s="35">
        <f t="shared" si="149"/>
        <v>161.31023466434715</v>
      </c>
      <c r="M211" s="35">
        <f t="shared" si="149"/>
        <v>166.85558060704389</v>
      </c>
      <c r="N211" s="35">
        <f t="shared" si="149"/>
        <v>172.6749861476797</v>
      </c>
    </row>
    <row r="212" spans="2:14" outlineLevel="1">
      <c r="B212" s="9" t="str">
        <f>B154</f>
        <v>Other Payables</v>
      </c>
      <c r="E212" s="12"/>
      <c r="F212" s="12"/>
      <c r="G212" s="12"/>
      <c r="H212" s="12"/>
      <c r="I212" s="35">
        <f>I154</f>
        <v>3911</v>
      </c>
      <c r="J212" s="35">
        <f t="shared" ref="J212:N212" si="150">J154</f>
        <v>3801.7323426165026</v>
      </c>
      <c r="K212" s="35">
        <f t="shared" si="150"/>
        <v>4026.3269072688963</v>
      </c>
      <c r="L212" s="35">
        <f t="shared" si="150"/>
        <v>4169.5711404272633</v>
      </c>
      <c r="M212" s="35">
        <f t="shared" si="150"/>
        <v>4312.9080740971276</v>
      </c>
      <c r="N212" s="35">
        <f t="shared" si="150"/>
        <v>4463.3289413605526</v>
      </c>
    </row>
    <row r="213" spans="2:14" outlineLevel="1">
      <c r="B213" s="6" t="s">
        <v>34</v>
      </c>
      <c r="C213" s="6"/>
      <c r="D213" s="87"/>
      <c r="E213" s="89"/>
      <c r="F213" s="89"/>
      <c r="G213" s="89"/>
      <c r="H213" s="89"/>
      <c r="I213" s="89">
        <f>I206+I207+I208+I209-I210-I211-I212</f>
        <v>1392</v>
      </c>
      <c r="J213" s="89">
        <f t="shared" ref="J213:N213" si="151">J206+J207+J208+J209-J210-J211-J212</f>
        <v>2722.7826602987611</v>
      </c>
      <c r="K213" s="89">
        <f t="shared" si="151"/>
        <v>2883.6362215497356</v>
      </c>
      <c r="L213" s="89">
        <f t="shared" si="151"/>
        <v>2986.2270614832414</v>
      </c>
      <c r="M213" s="89">
        <f t="shared" si="151"/>
        <v>3088.8842930831133</v>
      </c>
      <c r="N213" s="89">
        <f t="shared" si="151"/>
        <v>3196.6150043014795</v>
      </c>
    </row>
    <row r="214" spans="2:14" outlineLevel="1">
      <c r="B214" s="9" t="s">
        <v>33</v>
      </c>
      <c r="E214" s="35"/>
      <c r="F214" s="35"/>
      <c r="G214" s="35"/>
      <c r="H214" s="35"/>
      <c r="I214" s="35"/>
      <c r="J214" s="103">
        <f t="shared" ref="J214:N214" si="152">J213-I213</f>
        <v>1330.7826602987611</v>
      </c>
      <c r="K214" s="103">
        <f t="shared" si="152"/>
        <v>160.85356125097451</v>
      </c>
      <c r="L214" s="103">
        <f t="shared" si="152"/>
        <v>102.59083993350578</v>
      </c>
      <c r="M214" s="103">
        <f t="shared" si="152"/>
        <v>102.65723159987192</v>
      </c>
      <c r="N214" s="103">
        <f t="shared" si="152"/>
        <v>107.7307112183662</v>
      </c>
    </row>
    <row r="215" spans="2:14" outlineLevel="1">
      <c r="E215" s="12"/>
      <c r="F215" s="12"/>
      <c r="G215" s="12"/>
      <c r="H215" s="12"/>
      <c r="I215" s="12"/>
      <c r="J215" s="103"/>
      <c r="K215" s="103"/>
      <c r="L215" s="103"/>
      <c r="M215" s="103"/>
      <c r="N215" s="103"/>
    </row>
    <row r="216" spans="2:14" outlineLevel="1">
      <c r="B216" s="10" t="s">
        <v>50</v>
      </c>
      <c r="E216" s="12"/>
      <c r="F216" s="12"/>
      <c r="G216" s="12"/>
      <c r="H216" s="12"/>
      <c r="I216" s="12"/>
      <c r="J216" s="103"/>
      <c r="K216" s="103"/>
      <c r="L216" s="103"/>
      <c r="M216" s="103"/>
      <c r="N216" s="103"/>
    </row>
    <row r="217" spans="2:14" outlineLevel="1">
      <c r="B217" s="9" t="s">
        <v>12</v>
      </c>
      <c r="E217" s="12"/>
      <c r="F217" s="12"/>
      <c r="G217" s="12"/>
      <c r="H217" s="12"/>
      <c r="I217" s="12"/>
      <c r="J217" s="103">
        <f t="shared" ref="J217:N217" si="153">I220</f>
        <v>11072</v>
      </c>
      <c r="K217" s="103">
        <f t="shared" si="153"/>
        <v>11049.816267353415</v>
      </c>
      <c r="L217" s="103">
        <f t="shared" si="153"/>
        <v>10968.947527114797</v>
      </c>
      <c r="M217" s="103">
        <f t="shared" si="153"/>
        <v>10831.799351530392</v>
      </c>
      <c r="N217" s="103">
        <f t="shared" si="153"/>
        <v>10638.671447601178</v>
      </c>
    </row>
    <row r="218" spans="2:14" outlineLevel="1">
      <c r="B218" s="9" t="s">
        <v>13</v>
      </c>
      <c r="E218" s="12"/>
      <c r="F218" s="12"/>
      <c r="G218" s="12"/>
      <c r="H218" s="12"/>
      <c r="I218" s="12"/>
      <c r="J218" s="103">
        <f>J100</f>
        <v>1407.25</v>
      </c>
      <c r="K218" s="103">
        <f>K100</f>
        <v>1407.25</v>
      </c>
      <c r="L218" s="103">
        <f>L100</f>
        <v>1407.25</v>
      </c>
      <c r="M218" s="103">
        <f>M100</f>
        <v>1407.25</v>
      </c>
      <c r="N218" s="103">
        <f>N100</f>
        <v>1407.25</v>
      </c>
    </row>
    <row r="219" spans="2:14" outlineLevel="1">
      <c r="B219" s="9" t="s">
        <v>14</v>
      </c>
      <c r="D219" s="79"/>
      <c r="E219" s="12"/>
      <c r="F219" s="12"/>
      <c r="G219" s="12"/>
      <c r="H219" s="12"/>
      <c r="I219" s="12"/>
      <c r="J219" s="105">
        <f>J217*J87</f>
        <v>1429.4337326465848</v>
      </c>
      <c r="K219" s="106">
        <f>K217*K87</f>
        <v>1488.1187402386192</v>
      </c>
      <c r="L219" s="106">
        <f>L217*L87</f>
        <v>1544.3981755844045</v>
      </c>
      <c r="M219" s="106">
        <f>M217*M87</f>
        <v>1600.3779039292126</v>
      </c>
      <c r="N219" s="106">
        <f>N217*N87</f>
        <v>1540.7076994370818</v>
      </c>
    </row>
    <row r="220" spans="2:14" outlineLevel="1">
      <c r="B220" s="6" t="s">
        <v>15</v>
      </c>
      <c r="C220" s="6"/>
      <c r="D220" s="87"/>
      <c r="E220" s="89"/>
      <c r="F220" s="89"/>
      <c r="G220" s="89"/>
      <c r="H220" s="89"/>
      <c r="I220" s="89">
        <f>I140</f>
        <v>11072</v>
      </c>
      <c r="J220" s="104">
        <f t="shared" ref="J220:N220" si="154">J217+J218-J219</f>
        <v>11049.816267353415</v>
      </c>
      <c r="K220" s="104">
        <f t="shared" si="154"/>
        <v>10968.947527114797</v>
      </c>
      <c r="L220" s="104">
        <f t="shared" si="154"/>
        <v>10831.799351530392</v>
      </c>
      <c r="M220" s="104">
        <f t="shared" si="154"/>
        <v>10638.671447601178</v>
      </c>
      <c r="N220" s="104">
        <f t="shared" si="154"/>
        <v>10505.213748164097</v>
      </c>
    </row>
    <row r="221" spans="2:14" outlineLevel="1">
      <c r="E221" s="12"/>
      <c r="F221" s="12"/>
      <c r="G221" s="12"/>
      <c r="H221" s="12"/>
      <c r="I221" s="12"/>
      <c r="J221" s="103"/>
      <c r="K221" s="103"/>
      <c r="L221" s="103"/>
      <c r="M221" s="103"/>
      <c r="N221" s="103"/>
    </row>
    <row r="222" spans="2:14" outlineLevel="1">
      <c r="B222" s="10" t="s">
        <v>51</v>
      </c>
      <c r="E222" s="12"/>
      <c r="F222" s="12"/>
      <c r="G222" s="12"/>
      <c r="H222" s="12"/>
      <c r="I222" s="12"/>
      <c r="J222" s="103"/>
      <c r="K222" s="103"/>
      <c r="L222" s="103"/>
      <c r="M222" s="103"/>
      <c r="N222" s="103"/>
    </row>
    <row r="223" spans="2:14" outlineLevel="1">
      <c r="B223" s="9" t="s">
        <v>21</v>
      </c>
      <c r="E223" s="12"/>
      <c r="F223" s="12"/>
      <c r="G223" s="12"/>
      <c r="H223" s="12"/>
      <c r="I223" s="12"/>
      <c r="J223" s="103">
        <f t="shared" ref="J223:N223" si="155">I225</f>
        <v>10179</v>
      </c>
      <c r="K223" s="103">
        <f t="shared" si="155"/>
        <v>8333</v>
      </c>
      <c r="L223" s="103">
        <f t="shared" si="155"/>
        <v>7117.25</v>
      </c>
      <c r="M223" s="103">
        <f t="shared" si="155"/>
        <v>5901.5</v>
      </c>
      <c r="N223" s="103">
        <f t="shared" si="155"/>
        <v>4685.75</v>
      </c>
    </row>
    <row r="224" spans="2:14" outlineLevel="1">
      <c r="B224" s="9" t="s">
        <v>22</v>
      </c>
      <c r="E224" s="12"/>
      <c r="F224" s="12"/>
      <c r="G224" s="12"/>
      <c r="H224" s="12"/>
      <c r="I224" s="12"/>
      <c r="J224" s="107">
        <f>J101</f>
        <v>-1846</v>
      </c>
      <c r="K224" s="107">
        <f>K101</f>
        <v>-1215.75</v>
      </c>
      <c r="L224" s="107">
        <f>L101</f>
        <v>-1215.75</v>
      </c>
      <c r="M224" s="107">
        <f>M101</f>
        <v>-1215.75</v>
      </c>
      <c r="N224" s="107">
        <f>N101</f>
        <v>-1215.75</v>
      </c>
    </row>
    <row r="225" spans="2:14" outlineLevel="1">
      <c r="B225" s="6" t="s">
        <v>23</v>
      </c>
      <c r="C225" s="6"/>
      <c r="D225" s="87"/>
      <c r="E225" s="89"/>
      <c r="F225" s="89"/>
      <c r="G225" s="89"/>
      <c r="H225" s="89"/>
      <c r="I225" s="89">
        <f>I158</f>
        <v>10179</v>
      </c>
      <c r="J225" s="108">
        <f t="shared" ref="J225:N225" si="156">SUM(J223:J224)</f>
        <v>8333</v>
      </c>
      <c r="K225" s="108">
        <f t="shared" si="156"/>
        <v>7117.25</v>
      </c>
      <c r="L225" s="108">
        <f t="shared" si="156"/>
        <v>5901.5</v>
      </c>
      <c r="M225" s="108">
        <f t="shared" si="156"/>
        <v>4685.75</v>
      </c>
      <c r="N225" s="108">
        <f t="shared" si="156"/>
        <v>3470</v>
      </c>
    </row>
    <row r="226" spans="2:14" outlineLevel="1">
      <c r="B226" s="9" t="s">
        <v>24</v>
      </c>
      <c r="D226" s="79"/>
      <c r="E226" s="12"/>
      <c r="F226" s="12"/>
      <c r="G226" s="12"/>
      <c r="H226" s="12"/>
      <c r="I226" s="12"/>
      <c r="J226" s="103">
        <f>J225*J88</f>
        <v>255.18694930280526</v>
      </c>
      <c r="K226" s="103">
        <f>K225*K88</f>
        <v>217.95623604048851</v>
      </c>
      <c r="L226" s="103">
        <f>L225*L88</f>
        <v>180.72552277817175</v>
      </c>
      <c r="M226" s="103">
        <f>M225*M88</f>
        <v>143.494809515855</v>
      </c>
      <c r="N226" s="103">
        <f>N225*N88</f>
        <v>106.26409625353826</v>
      </c>
    </row>
    <row r="227" spans="2:14" outlineLevel="1">
      <c r="E227" s="12"/>
      <c r="F227" s="12"/>
      <c r="G227" s="12"/>
      <c r="H227" s="12"/>
      <c r="I227" s="12"/>
    </row>
    <row r="228" spans="2:14" outlineLevel="1">
      <c r="E228" s="12"/>
      <c r="F228" s="12"/>
      <c r="G228" s="12"/>
      <c r="H228" s="12"/>
      <c r="I228" s="12"/>
    </row>
    <row r="229" spans="2:14">
      <c r="E229" s="12"/>
      <c r="F229" s="12"/>
      <c r="G229" s="12"/>
      <c r="H229" s="12"/>
      <c r="I229" s="12"/>
    </row>
    <row r="230" spans="2:14" ht="18">
      <c r="B230" s="152" t="s">
        <v>71</v>
      </c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</row>
    <row r="231" spans="2:14" outlineLevel="1">
      <c r="B231" s="10"/>
      <c r="E231" s="12"/>
      <c r="F231" s="12"/>
      <c r="G231" s="12"/>
      <c r="H231" s="12"/>
      <c r="I231" s="12"/>
    </row>
    <row r="232" spans="2:14" outlineLevel="1">
      <c r="B232" s="167" t="s">
        <v>69</v>
      </c>
      <c r="C232" s="168"/>
      <c r="D232" s="168"/>
      <c r="E232" s="12"/>
    </row>
    <row r="233" spans="2:14" outlineLevel="1">
      <c r="B233" s="89" t="s">
        <v>80</v>
      </c>
      <c r="C233" s="90"/>
      <c r="D233" s="141">
        <f>J92</f>
        <v>0.32</v>
      </c>
      <c r="E233" s="12"/>
    </row>
    <row r="234" spans="2:14" outlineLevel="1">
      <c r="B234" s="35" t="s">
        <v>81</v>
      </c>
      <c r="D234" s="127">
        <f>WACC!B27</f>
        <v>6.9920374136615962E-2</v>
      </c>
    </row>
    <row r="235" spans="2:14" outlineLevel="1">
      <c r="B235" s="9" t="s">
        <v>82</v>
      </c>
      <c r="D235" s="91">
        <v>0.01</v>
      </c>
      <c r="K235" s="79"/>
      <c r="L235" s="79"/>
      <c r="M235" s="79"/>
      <c r="N235" s="79"/>
    </row>
    <row r="236" spans="2:14" outlineLevel="1">
      <c r="B236" s="9" t="s">
        <v>83</v>
      </c>
      <c r="D236" s="92">
        <v>8.5</v>
      </c>
      <c r="E236" s="115"/>
      <c r="K236" s="79"/>
      <c r="L236" s="79"/>
      <c r="M236" s="79"/>
      <c r="N236" s="79"/>
    </row>
    <row r="237" spans="2:14" outlineLevel="1">
      <c r="B237" s="9" t="s">
        <v>88</v>
      </c>
      <c r="D237" s="93">
        <v>44377</v>
      </c>
      <c r="K237" s="79"/>
      <c r="L237" s="79"/>
      <c r="M237" s="79"/>
      <c r="N237" s="79"/>
    </row>
    <row r="238" spans="2:14" outlineLevel="1">
      <c r="B238" s="9" t="s">
        <v>96</v>
      </c>
      <c r="D238" s="94">
        <v>55.54</v>
      </c>
      <c r="E238" s="9" t="s">
        <v>230</v>
      </c>
      <c r="K238" s="79"/>
      <c r="L238" s="79"/>
      <c r="M238" s="79"/>
      <c r="N238" s="79"/>
    </row>
    <row r="239" spans="2:14" outlineLevel="1">
      <c r="B239" s="9" t="s">
        <v>91</v>
      </c>
      <c r="D239" s="95">
        <f>532683713/1000000</f>
        <v>532.68371300000001</v>
      </c>
    </row>
    <row r="240" spans="2:14" outlineLevel="1">
      <c r="D240" s="95"/>
    </row>
    <row r="241" spans="2:14" outlineLevel="1">
      <c r="D241" s="93"/>
    </row>
    <row r="242" spans="2:14" outlineLevel="1">
      <c r="B242" s="169" t="s">
        <v>89</v>
      </c>
      <c r="C242" s="170"/>
      <c r="D242" s="171" t="s">
        <v>93</v>
      </c>
      <c r="E242" s="172">
        <f>J2</f>
        <v>2021</v>
      </c>
      <c r="F242" s="172">
        <f>+E242+1</f>
        <v>2022</v>
      </c>
      <c r="G242" s="172">
        <f t="shared" ref="G242:I242" si="157">+F242+1</f>
        <v>2023</v>
      </c>
      <c r="H242" s="172">
        <f t="shared" si="157"/>
        <v>2024</v>
      </c>
      <c r="I242" s="172">
        <f t="shared" si="157"/>
        <v>2025</v>
      </c>
      <c r="J242" s="171" t="s">
        <v>94</v>
      </c>
      <c r="L242" s="169" t="s">
        <v>78</v>
      </c>
      <c r="M242" s="170"/>
      <c r="N242" s="170"/>
    </row>
    <row r="243" spans="2:14" outlineLevel="1">
      <c r="B243" s="6" t="s">
        <v>95</v>
      </c>
      <c r="C243" s="6"/>
      <c r="D243" s="96">
        <f>D237</f>
        <v>44377</v>
      </c>
      <c r="E243" s="96">
        <f>DATE(E242,12,31)</f>
        <v>44561</v>
      </c>
      <c r="F243" s="96">
        <f t="shared" ref="F243:I243" si="158">DATE(F242,12,31)</f>
        <v>44926</v>
      </c>
      <c r="G243" s="96">
        <f t="shared" si="158"/>
        <v>45291</v>
      </c>
      <c r="H243" s="96">
        <f t="shared" si="158"/>
        <v>45657</v>
      </c>
      <c r="I243" s="96">
        <f t="shared" si="158"/>
        <v>46022</v>
      </c>
      <c r="J243" s="96">
        <f>I243</f>
        <v>46022</v>
      </c>
      <c r="L243" s="6" t="s">
        <v>79</v>
      </c>
      <c r="M243" s="6"/>
      <c r="N243" s="97">
        <f>I253*(1+D235)/(D234+$H$293-D235)</f>
        <v>36559.274258850033</v>
      </c>
    </row>
    <row r="244" spans="2:14" outlineLevel="1">
      <c r="B244" s="84" t="s">
        <v>181</v>
      </c>
      <c r="C244" s="84"/>
      <c r="D244" s="84"/>
      <c r="E244" s="121">
        <f>(E243-D243)/365</f>
        <v>0.50410958904109593</v>
      </c>
      <c r="F244" s="121">
        <f t="shared" ref="F244:I244" si="159">(F243-E243)/365</f>
        <v>1</v>
      </c>
      <c r="G244" s="121">
        <f t="shared" si="159"/>
        <v>1</v>
      </c>
      <c r="H244" s="121">
        <f t="shared" si="159"/>
        <v>1.0027397260273974</v>
      </c>
      <c r="I244" s="121">
        <f t="shared" si="159"/>
        <v>1</v>
      </c>
      <c r="J244" s="84">
        <v>1</v>
      </c>
      <c r="L244" s="9" t="s">
        <v>86</v>
      </c>
      <c r="N244" s="5">
        <f>+I250*(D236+$K$293)</f>
        <v>39886.376010221931</v>
      </c>
    </row>
    <row r="245" spans="2:14" outlineLevel="1">
      <c r="B245" s="9" t="s">
        <v>72</v>
      </c>
      <c r="D245" s="9"/>
      <c r="E245" s="9">
        <f>J122</f>
        <v>2312.3254566323112</v>
      </c>
      <c r="F245" s="9">
        <f t="shared" ref="F245:I245" si="160">K122</f>
        <v>2526.9983530232298</v>
      </c>
      <c r="G245" s="9">
        <f t="shared" si="160"/>
        <v>2658.5492610553279</v>
      </c>
      <c r="H245" s="9">
        <f t="shared" si="160"/>
        <v>2790.4973366453505</v>
      </c>
      <c r="I245" s="9">
        <f t="shared" si="160"/>
        <v>3045.5430290413719</v>
      </c>
      <c r="L245" s="9" t="s">
        <v>87</v>
      </c>
      <c r="N245" s="6">
        <f>AVERAGE(N243:N244)</f>
        <v>38222.825134535982</v>
      </c>
    </row>
    <row r="246" spans="2:14" outlineLevel="1">
      <c r="B246" s="9" t="s">
        <v>4</v>
      </c>
      <c r="D246" s="9"/>
      <c r="E246" s="9">
        <f>J117</f>
        <v>255.18694930280526</v>
      </c>
      <c r="F246" s="9">
        <f t="shared" ref="F246:I246" si="161">K117</f>
        <v>217.95623604048851</v>
      </c>
      <c r="G246" s="9">
        <f t="shared" si="161"/>
        <v>180.72552277817175</v>
      </c>
      <c r="H246" s="9">
        <f t="shared" si="161"/>
        <v>143.494809515855</v>
      </c>
      <c r="I246" s="9">
        <f t="shared" si="161"/>
        <v>106.26409625353826</v>
      </c>
    </row>
    <row r="247" spans="2:14" outlineLevel="1">
      <c r="B247" s="9" t="s">
        <v>73</v>
      </c>
      <c r="D247" s="9"/>
      <c r="E247" s="6">
        <f>SUM(E245:E246)</f>
        <v>2567.5124059351165</v>
      </c>
      <c r="F247" s="6">
        <f t="shared" ref="F247:I247" si="162">SUM(F245:F246)</f>
        <v>2744.9545890637182</v>
      </c>
      <c r="G247" s="6">
        <f t="shared" si="162"/>
        <v>2839.2747838334994</v>
      </c>
      <c r="H247" s="6">
        <f t="shared" si="162"/>
        <v>2933.9921461612057</v>
      </c>
      <c r="I247" s="6">
        <f t="shared" si="162"/>
        <v>3151.8071252949103</v>
      </c>
    </row>
    <row r="248" spans="2:14" outlineLevel="1">
      <c r="B248" s="9" t="s">
        <v>74</v>
      </c>
      <c r="D248" s="9"/>
      <c r="E248" s="5">
        <f>E247*$D$233</f>
        <v>821.60396989923731</v>
      </c>
      <c r="F248" s="5">
        <f t="shared" ref="F248:I248" si="163">F247*$D$233</f>
        <v>878.38546850038983</v>
      </c>
      <c r="G248" s="5">
        <f t="shared" si="163"/>
        <v>908.56793082671982</v>
      </c>
      <c r="H248" s="5">
        <f t="shared" si="163"/>
        <v>938.87748677158584</v>
      </c>
      <c r="I248" s="5">
        <f t="shared" si="163"/>
        <v>1008.5782800943713</v>
      </c>
    </row>
    <row r="249" spans="2:14" outlineLevel="1">
      <c r="B249" s="9" t="s">
        <v>77</v>
      </c>
      <c r="D249" s="9"/>
      <c r="E249" s="5">
        <f>+J183</f>
        <v>1429.4337326465848</v>
      </c>
      <c r="F249" s="5">
        <f t="shared" ref="F249:I249" si="164">+K183</f>
        <v>1488.1187402386192</v>
      </c>
      <c r="G249" s="5">
        <f t="shared" si="164"/>
        <v>1544.3981755844045</v>
      </c>
      <c r="H249" s="5">
        <f t="shared" si="164"/>
        <v>1600.3779039292126</v>
      </c>
      <c r="I249" s="5">
        <f t="shared" si="164"/>
        <v>1540.7076994370818</v>
      </c>
    </row>
    <row r="250" spans="2:14" outlineLevel="1">
      <c r="B250" s="9" t="s">
        <v>112</v>
      </c>
      <c r="D250" s="9"/>
      <c r="E250" s="98">
        <f>E247+E249</f>
        <v>3996.9461385817012</v>
      </c>
      <c r="F250" s="98">
        <f t="shared" ref="F250:I250" si="165">F247+F249</f>
        <v>4233.0733293023377</v>
      </c>
      <c r="G250" s="98">
        <f t="shared" si="165"/>
        <v>4383.6729594179042</v>
      </c>
      <c r="H250" s="98">
        <f t="shared" si="165"/>
        <v>4534.3700500904179</v>
      </c>
      <c r="I250" s="98">
        <f t="shared" si="165"/>
        <v>4692.5148247319921</v>
      </c>
    </row>
    <row r="251" spans="2:14" outlineLevel="1">
      <c r="B251" s="9" t="s">
        <v>75</v>
      </c>
      <c r="D251" s="9"/>
      <c r="E251" s="9">
        <f>J188</f>
        <v>1407.25</v>
      </c>
      <c r="F251" s="9">
        <f t="shared" ref="F251:I251" si="166">K188</f>
        <v>1407.25</v>
      </c>
      <c r="G251" s="9">
        <f t="shared" si="166"/>
        <v>1407.25</v>
      </c>
      <c r="H251" s="9">
        <f t="shared" si="166"/>
        <v>1407.25</v>
      </c>
      <c r="I251" s="9">
        <f t="shared" si="166"/>
        <v>1407.25</v>
      </c>
    </row>
    <row r="252" spans="2:14" outlineLevel="1">
      <c r="B252" s="9" t="s">
        <v>76</v>
      </c>
      <c r="D252" s="9"/>
      <c r="E252" s="9">
        <f>J214</f>
        <v>1330.7826602987611</v>
      </c>
      <c r="F252" s="9">
        <f t="shared" ref="F252:I252" si="167">K214</f>
        <v>160.85356125097451</v>
      </c>
      <c r="G252" s="9">
        <f t="shared" si="167"/>
        <v>102.59083993350578</v>
      </c>
      <c r="H252" s="9">
        <f t="shared" si="167"/>
        <v>102.65723159987192</v>
      </c>
      <c r="I252" s="9">
        <f t="shared" si="167"/>
        <v>107.7307112183662</v>
      </c>
    </row>
    <row r="253" spans="2:14" outlineLevel="1">
      <c r="B253" s="9" t="s">
        <v>84</v>
      </c>
      <c r="D253" s="9"/>
      <c r="E253" s="6">
        <f>E247-E248+E249-E251-E252</f>
        <v>437.30950838370291</v>
      </c>
      <c r="F253" s="6">
        <f t="shared" ref="F253:I253" si="168">F247-F248+F249-F251-F252</f>
        <v>1786.5842995509734</v>
      </c>
      <c r="G253" s="6">
        <f t="shared" si="168"/>
        <v>1965.2641886576785</v>
      </c>
      <c r="H253" s="6">
        <f t="shared" si="168"/>
        <v>2085.5853317189603</v>
      </c>
      <c r="I253" s="6">
        <f t="shared" si="168"/>
        <v>2168.9558334192548</v>
      </c>
    </row>
    <row r="254" spans="2:14" outlineLevel="1">
      <c r="B254" s="9" t="s">
        <v>85</v>
      </c>
      <c r="D254" s="7"/>
      <c r="J254" s="7">
        <f>N245</f>
        <v>38222.825134535982</v>
      </c>
    </row>
    <row r="255" spans="2:14" outlineLevel="1">
      <c r="B255" s="9" t="s">
        <v>90</v>
      </c>
      <c r="D255" s="6">
        <f t="shared" ref="D255" si="169">D254+D253</f>
        <v>0</v>
      </c>
      <c r="E255" s="6">
        <f>(E254+E253)*E244</f>
        <v>220.45191655507216</v>
      </c>
      <c r="F255" s="6">
        <f t="shared" ref="F255:J255" si="170">(F254+F253)*F244</f>
        <v>1786.5842995509734</v>
      </c>
      <c r="G255" s="6">
        <f t="shared" si="170"/>
        <v>1965.2641886576785</v>
      </c>
      <c r="H255" s="6">
        <f t="shared" si="170"/>
        <v>2091.2992641346291</v>
      </c>
      <c r="I255" s="6">
        <f t="shared" si="170"/>
        <v>2168.9558334192548</v>
      </c>
      <c r="J255" s="6">
        <f t="shared" si="170"/>
        <v>38222.825134535982</v>
      </c>
    </row>
    <row r="256" spans="2:14" outlineLevel="1">
      <c r="B256" s="9" t="s">
        <v>258</v>
      </c>
      <c r="D256" s="8">
        <f>-H271</f>
        <v>-36265.253420020003</v>
      </c>
      <c r="E256" s="8">
        <f>E255</f>
        <v>220.45191655507216</v>
      </c>
      <c r="F256" s="8">
        <f t="shared" ref="F256:J256" si="171">F255</f>
        <v>1786.5842995509734</v>
      </c>
      <c r="G256" s="8">
        <f t="shared" ref="G256" si="172">G255</f>
        <v>1965.2641886576785</v>
      </c>
      <c r="H256" s="8">
        <f t="shared" ref="H256" si="173">H255</f>
        <v>2091.2992641346291</v>
      </c>
      <c r="I256" s="8">
        <f t="shared" si="171"/>
        <v>2168.9558334192548</v>
      </c>
      <c r="J256" s="8">
        <f t="shared" si="171"/>
        <v>38222.825134535982</v>
      </c>
    </row>
    <row r="257" spans="2:12" outlineLevel="1">
      <c r="D257" s="8"/>
      <c r="E257" s="8"/>
      <c r="F257" s="8"/>
      <c r="G257" s="8"/>
      <c r="H257" s="8"/>
      <c r="I257" s="8"/>
      <c r="J257" s="8"/>
    </row>
    <row r="258" spans="2:12" outlineLevel="1">
      <c r="B258" s="10" t="s">
        <v>114</v>
      </c>
      <c r="D258" s="8"/>
      <c r="E258" s="8"/>
      <c r="F258" s="8"/>
      <c r="G258" s="8"/>
      <c r="H258" s="8"/>
      <c r="I258" s="8"/>
      <c r="J258" s="8"/>
    </row>
    <row r="259" spans="2:12" outlineLevel="1">
      <c r="B259" s="8">
        <f>XNPV($D$234,$D259:$I259,$D$243:$I$243)</f>
        <v>-36052.185764316571</v>
      </c>
      <c r="C259" s="30">
        <f>B259/$B$265</f>
        <v>26.842129672410962</v>
      </c>
      <c r="D259" s="8">
        <f>D256</f>
        <v>-36265.253420020003</v>
      </c>
      <c r="E259" s="8">
        <f>E256</f>
        <v>220.45191655507216</v>
      </c>
      <c r="F259" s="8">
        <v>0</v>
      </c>
      <c r="G259" s="8">
        <v>0</v>
      </c>
      <c r="H259" s="8">
        <v>0</v>
      </c>
      <c r="I259" s="8">
        <v>0</v>
      </c>
      <c r="J259" s="8"/>
    </row>
    <row r="260" spans="2:12" outlineLevel="1">
      <c r="B260" s="8">
        <f t="shared" ref="B260:B264" si="174">XNPV($D$234,$D260:$I260,$D$243:$I$243)</f>
        <v>1613.8965904345507</v>
      </c>
      <c r="C260" s="30">
        <f t="shared" ref="C260:C264" si="175">B260/$B$265</f>
        <v>-1.2016031938119951</v>
      </c>
      <c r="D260" s="8">
        <v>0</v>
      </c>
      <c r="E260" s="8">
        <v>0</v>
      </c>
      <c r="F260" s="8">
        <f>F256</f>
        <v>1786.5842995509734</v>
      </c>
      <c r="G260" s="8">
        <v>0</v>
      </c>
      <c r="H260" s="8">
        <v>0</v>
      </c>
      <c r="I260" s="8">
        <v>0</v>
      </c>
      <c r="J260" s="8"/>
    </row>
    <row r="261" spans="2:12" outlineLevel="1">
      <c r="B261" s="8">
        <f t="shared" si="174"/>
        <v>1659.287623028034</v>
      </c>
      <c r="C261" s="30">
        <f t="shared" si="175"/>
        <v>-1.2353984258349267</v>
      </c>
      <c r="D261" s="8">
        <v>0</v>
      </c>
      <c r="E261" s="8">
        <v>0</v>
      </c>
      <c r="F261" s="8">
        <v>0</v>
      </c>
      <c r="G261" s="8">
        <f>G256</f>
        <v>1965.2641886576785</v>
      </c>
      <c r="H261" s="8">
        <v>0</v>
      </c>
      <c r="I261" s="8">
        <v>0</v>
      </c>
      <c r="J261" s="8"/>
    </row>
    <row r="262" spans="2:12" outlineLevel="1">
      <c r="B262" s="8">
        <f t="shared" si="174"/>
        <v>1650.0041830568944</v>
      </c>
      <c r="C262" s="30">
        <f t="shared" si="175"/>
        <v>-1.2284865758533365</v>
      </c>
      <c r="D262" s="8">
        <v>0</v>
      </c>
      <c r="E262" s="8">
        <v>0</v>
      </c>
      <c r="F262" s="8">
        <v>0</v>
      </c>
      <c r="G262" s="8">
        <v>0</v>
      </c>
      <c r="H262" s="8">
        <f>H256</f>
        <v>2091.2992641346291</v>
      </c>
      <c r="I262" s="8">
        <v>0</v>
      </c>
      <c r="J262" s="8"/>
    </row>
    <row r="263" spans="2:12" outlineLevel="1">
      <c r="B263" s="8">
        <f t="shared" si="174"/>
        <v>1599.4405834535605</v>
      </c>
      <c r="C263" s="30">
        <f t="shared" si="175"/>
        <v>-1.1908401844215053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f>I256</f>
        <v>2168.9558334192548</v>
      </c>
      <c r="J263" s="8"/>
    </row>
    <row r="264" spans="2:12" outlineLevel="1">
      <c r="B264" s="8">
        <f t="shared" si="174"/>
        <v>28186.437359606829</v>
      </c>
      <c r="C264" s="30">
        <f t="shared" si="175"/>
        <v>-20.985801292489196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f>J254</f>
        <v>38222.825134535982</v>
      </c>
      <c r="J264" s="8"/>
    </row>
    <row r="265" spans="2:12" outlineLevel="1">
      <c r="B265" s="53">
        <f>SUM(B259:B264)</f>
        <v>-1343.1194247367021</v>
      </c>
      <c r="C265" s="99">
        <f>SUM(C259:C264)</f>
        <v>1.0000000000000036</v>
      </c>
      <c r="D265" s="6">
        <f>SUM(D259:D264)</f>
        <v>-36265.253420020003</v>
      </c>
      <c r="E265" s="6">
        <f t="shared" ref="E265:I265" si="176">SUM(E259:E264)</f>
        <v>220.45191655507216</v>
      </c>
      <c r="F265" s="6">
        <f t="shared" si="176"/>
        <v>1786.5842995509734</v>
      </c>
      <c r="G265" s="6">
        <f t="shared" si="176"/>
        <v>1965.2641886576785</v>
      </c>
      <c r="H265" s="6">
        <f t="shared" si="176"/>
        <v>2091.2992641346291</v>
      </c>
      <c r="I265" s="6">
        <f t="shared" si="176"/>
        <v>40391.780967955237</v>
      </c>
    </row>
    <row r="266" spans="2:12" outlineLevel="1">
      <c r="B266" s="8"/>
      <c r="C266" s="15"/>
      <c r="D266" s="8"/>
      <c r="E266" s="8"/>
      <c r="F266" s="8"/>
      <c r="G266" s="8"/>
      <c r="H266" s="8"/>
      <c r="I266" s="8"/>
    </row>
    <row r="267" spans="2:12" outlineLevel="1">
      <c r="B267" s="169" t="s">
        <v>106</v>
      </c>
      <c r="C267" s="170"/>
      <c r="D267" s="173"/>
      <c r="F267" s="169" t="s">
        <v>107</v>
      </c>
      <c r="G267" s="170"/>
      <c r="H267" s="170"/>
      <c r="J267" s="169" t="s">
        <v>108</v>
      </c>
      <c r="K267" s="170"/>
      <c r="L267" s="170"/>
    </row>
    <row r="268" spans="2:12" outlineLevel="1">
      <c r="B268" s="6" t="s">
        <v>101</v>
      </c>
      <c r="C268" s="6"/>
      <c r="D268" s="6">
        <f>XNPV((D234+H293),D255:J255,D243:J243)</f>
        <v>34922.133995283293</v>
      </c>
      <c r="F268" s="6" t="s">
        <v>97</v>
      </c>
      <c r="G268" s="6"/>
      <c r="H268" s="6">
        <f>D238*D239</f>
        <v>29585.253420019999</v>
      </c>
      <c r="J268" s="6" t="s">
        <v>96</v>
      </c>
      <c r="K268" s="6"/>
      <c r="L268" s="100">
        <f>D238</f>
        <v>55.54</v>
      </c>
    </row>
    <row r="269" spans="2:12" outlineLevel="1">
      <c r="B269" s="9" t="s">
        <v>102</v>
      </c>
      <c r="D269" s="9">
        <f>+I136</f>
        <v>8443</v>
      </c>
      <c r="F269" s="9" t="s">
        <v>98</v>
      </c>
      <c r="H269" s="9">
        <f>D270</f>
        <v>15123</v>
      </c>
      <c r="J269" s="9" t="s">
        <v>113</v>
      </c>
      <c r="L269" s="101">
        <f>D271/D239</f>
        <v>53.018579892798961</v>
      </c>
    </row>
    <row r="270" spans="2:12" outlineLevel="1">
      <c r="B270" s="9" t="s">
        <v>103</v>
      </c>
      <c r="D270" s="9">
        <f>I158+I149+I150+I159</f>
        <v>15123</v>
      </c>
      <c r="F270" s="9" t="s">
        <v>99</v>
      </c>
      <c r="H270" s="9">
        <f>+D269</f>
        <v>8443</v>
      </c>
      <c r="J270" s="8" t="s">
        <v>109</v>
      </c>
      <c r="K270" s="8"/>
      <c r="L270" s="15">
        <f>L269/L268-1</f>
        <v>-4.5398273446183635E-2</v>
      </c>
    </row>
    <row r="271" spans="2:12" outlineLevel="1">
      <c r="B271" s="9" t="s">
        <v>104</v>
      </c>
      <c r="D271" s="6">
        <f>D268+D269-D270</f>
        <v>28242.133995283293</v>
      </c>
      <c r="F271" s="9" t="s">
        <v>100</v>
      </c>
      <c r="H271" s="6">
        <f>H268+H269-H270</f>
        <v>36265.253420020003</v>
      </c>
      <c r="J271" s="9" t="s">
        <v>92</v>
      </c>
      <c r="L271" s="30">
        <f>XIRR(D256:J256,D243:J243)</f>
        <v>6.035912930965423E-2</v>
      </c>
    </row>
    <row r="272" spans="2:12" outlineLevel="1">
      <c r="D272" s="9"/>
      <c r="H272" s="23"/>
    </row>
    <row r="273" spans="2:16" outlineLevel="1">
      <c r="B273" s="10" t="s">
        <v>105</v>
      </c>
      <c r="D273" s="166">
        <f>D271/D239</f>
        <v>53.018579892798961</v>
      </c>
      <c r="F273" s="10" t="s">
        <v>105</v>
      </c>
      <c r="G273" s="10"/>
      <c r="H273" s="102">
        <f>H268/D239</f>
        <v>55.54</v>
      </c>
      <c r="J273" s="218">
        <f>(D273-H273)/D273</f>
        <v>-4.7557292411438204E-2</v>
      </c>
    </row>
    <row r="274" spans="2:16" outlineLevel="1">
      <c r="D274" s="9"/>
    </row>
    <row r="275" spans="2:16" outlineLevel="1">
      <c r="D275" s="9"/>
    </row>
    <row r="276" spans="2:16">
      <c r="D276" s="9"/>
    </row>
    <row r="277" spans="2:16" ht="18">
      <c r="B277" s="152" t="s">
        <v>110</v>
      </c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</row>
    <row r="278" spans="2:16" outlineLevel="1">
      <c r="B278" s="10"/>
      <c r="E278" s="12"/>
      <c r="F278" s="12"/>
      <c r="G278" s="12"/>
      <c r="H278" s="12"/>
      <c r="I278" s="12"/>
    </row>
    <row r="279" spans="2:16" outlineLevel="1">
      <c r="B279" s="10"/>
      <c r="E279" s="12"/>
      <c r="F279" s="12"/>
      <c r="G279" s="12"/>
      <c r="H279" s="12"/>
      <c r="I279" s="12"/>
    </row>
    <row r="280" spans="2:16" outlineLevel="1">
      <c r="B280" s="164" t="s">
        <v>116</v>
      </c>
      <c r="C280" s="164"/>
      <c r="D280" s="164"/>
      <c r="E280" s="165"/>
      <c r="F280" s="165"/>
      <c r="G280" s="165"/>
      <c r="H280" s="165"/>
      <c r="I280" s="13"/>
      <c r="J280" s="14"/>
    </row>
    <row r="281" spans="2:16" outlineLevel="1">
      <c r="B281" s="15"/>
      <c r="C281" s="15"/>
      <c r="D281" s="16" t="s">
        <v>117</v>
      </c>
      <c r="E281" s="17"/>
      <c r="F281" s="17"/>
      <c r="G281" s="17"/>
      <c r="H281" s="17"/>
      <c r="I281" s="13"/>
      <c r="J281" s="15"/>
      <c r="K281" s="15"/>
      <c r="L281" s="16" t="s">
        <v>117</v>
      </c>
      <c r="M281" s="17"/>
      <c r="N281" s="17"/>
      <c r="O281" s="17"/>
      <c r="P281" s="17"/>
    </row>
    <row r="282" spans="2:16" outlineLevel="1">
      <c r="B282" s="18"/>
      <c r="C282" s="19">
        <f>$D$273</f>
        <v>53.018579892798961</v>
      </c>
      <c r="D282" s="142">
        <v>-3.5999999999999997E-2</v>
      </c>
      <c r="E282" s="20">
        <f>D282+0.06</f>
        <v>2.4E-2</v>
      </c>
      <c r="F282" s="20">
        <f t="shared" ref="F282:H282" si="177">E282+0.05</f>
        <v>7.400000000000001E-2</v>
      </c>
      <c r="G282" s="20">
        <f t="shared" si="177"/>
        <v>0.12400000000000001</v>
      </c>
      <c r="H282" s="20">
        <f t="shared" si="177"/>
        <v>0.17400000000000002</v>
      </c>
      <c r="I282" s="13"/>
      <c r="J282" s="18"/>
      <c r="K282" s="19">
        <f>$D$273</f>
        <v>53.018579892798961</v>
      </c>
      <c r="L282" s="142">
        <v>-3.5999999999999997E-2</v>
      </c>
      <c r="M282" s="20">
        <f>L282+0.06</f>
        <v>2.4E-2</v>
      </c>
      <c r="N282" s="20">
        <f t="shared" ref="N282:P282" si="178">M282+0.05</f>
        <v>7.400000000000001E-2</v>
      </c>
      <c r="O282" s="20">
        <f t="shared" si="178"/>
        <v>0.12400000000000001</v>
      </c>
      <c r="P282" s="20">
        <f t="shared" si="178"/>
        <v>0.17400000000000002</v>
      </c>
    </row>
    <row r="283" spans="2:16" outlineLevel="1">
      <c r="B283" s="21"/>
      <c r="C283" s="22">
        <v>6.5</v>
      </c>
      <c r="D283" s="23">
        <f t="dataTable" ref="D283:H287" dt2D="1" dtr="1" r1="J13" r2="D236" ca="1"/>
        <v>38.841632035111296</v>
      </c>
      <c r="E283" s="23">
        <v>43.02825091451588</v>
      </c>
      <c r="F283" s="23">
        <v>46.517099980686382</v>
      </c>
      <c r="G283" s="23">
        <v>50.00594904685687</v>
      </c>
      <c r="H283" s="23">
        <v>53.494798113027414</v>
      </c>
      <c r="I283" s="13"/>
      <c r="J283" s="21"/>
      <c r="K283" s="128">
        <v>8.9899999999999994E-2</v>
      </c>
      <c r="L283" s="23">
        <f t="dataTable" ref="L283:P287" dt2D="1" dtr="1" r1="J82" r2="D234" ca="1"/>
        <v>35.42145833933656</v>
      </c>
      <c r="M283" s="23">
        <v>39.171321317000384</v>
      </c>
      <c r="N283" s="23">
        <v>42.296207131720237</v>
      </c>
      <c r="O283" s="23">
        <v>45.421092946440098</v>
      </c>
      <c r="P283" s="23">
        <v>48.545978761160022</v>
      </c>
    </row>
    <row r="284" spans="2:16" outlineLevel="1">
      <c r="B284" s="24"/>
      <c r="C284" s="25">
        <f>C283+1</f>
        <v>7.5</v>
      </c>
      <c r="D284" s="23">
        <v>41.756811522762739</v>
      </c>
      <c r="E284" s="26">
        <v>46.124873108867625</v>
      </c>
      <c r="F284" s="26">
        <v>49.76492443062169</v>
      </c>
      <c r="G284" s="26">
        <v>53.404975752375748</v>
      </c>
      <c r="H284" s="23">
        <v>57.045027074129905</v>
      </c>
      <c r="I284" s="13"/>
      <c r="J284" s="24"/>
      <c r="K284" s="129">
        <f>K283-0.01</f>
        <v>7.9899999999999999E-2</v>
      </c>
      <c r="L284" s="23">
        <v>39.522597530811353</v>
      </c>
      <c r="M284" s="26">
        <v>43.624302364502192</v>
      </c>
      <c r="N284" s="26">
        <v>47.042389725911235</v>
      </c>
      <c r="O284" s="26">
        <v>50.460477087320257</v>
      </c>
      <c r="P284" s="23">
        <v>53.878564448729378</v>
      </c>
    </row>
    <row r="285" spans="2:16" outlineLevel="1">
      <c r="B285" s="21" t="s">
        <v>118</v>
      </c>
      <c r="C285" s="25">
        <f t="shared" ref="C285:C287" si="179">C284+1</f>
        <v>8.5</v>
      </c>
      <c r="D285" s="23">
        <v>44.671991010414175</v>
      </c>
      <c r="E285" s="26">
        <v>49.221495303219349</v>
      </c>
      <c r="F285" s="27">
        <v>53.012748880557005</v>
      </c>
      <c r="G285" s="26">
        <v>56.80400245789464</v>
      </c>
      <c r="H285" s="23">
        <v>60.595256035232367</v>
      </c>
      <c r="I285" s="13"/>
      <c r="J285" s="21" t="s">
        <v>192</v>
      </c>
      <c r="K285" s="129">
        <f t="shared" ref="K285:K287" si="180">K284-0.01</f>
        <v>6.9900000000000004E-2</v>
      </c>
      <c r="L285" s="23">
        <v>44.683927282372636</v>
      </c>
      <c r="M285" s="26">
        <v>49.234476460680149</v>
      </c>
      <c r="N285" s="27">
        <v>53.026600775936416</v>
      </c>
      <c r="O285" s="26">
        <v>56.818725091192682</v>
      </c>
      <c r="P285" s="23">
        <v>60.610849406449042</v>
      </c>
    </row>
    <row r="286" spans="2:16" outlineLevel="1">
      <c r="B286" s="24"/>
      <c r="C286" s="25">
        <f t="shared" si="179"/>
        <v>9.5</v>
      </c>
      <c r="D286" s="23">
        <v>47.587170498065603</v>
      </c>
      <c r="E286" s="26">
        <v>52.318117497571087</v>
      </c>
      <c r="F286" s="26">
        <v>56.260573330492313</v>
      </c>
      <c r="G286" s="26">
        <v>60.203029163413532</v>
      </c>
      <c r="H286" s="23">
        <v>64.145484996334844</v>
      </c>
      <c r="I286" s="13"/>
      <c r="J286" s="24"/>
      <c r="K286" s="129">
        <f t="shared" si="180"/>
        <v>5.9900000000000002E-2</v>
      </c>
      <c r="L286" s="23">
        <v>51.512596949609055</v>
      </c>
      <c r="M286" s="26">
        <v>56.665330485513522</v>
      </c>
      <c r="N286" s="26">
        <v>60.959275098767243</v>
      </c>
      <c r="O286" s="26">
        <v>65.25321971202095</v>
      </c>
      <c r="P286" s="23">
        <v>69.547164325274778</v>
      </c>
    </row>
    <row r="287" spans="2:16" outlineLevel="1">
      <c r="B287" s="24"/>
      <c r="C287" s="25">
        <f t="shared" si="179"/>
        <v>10.5</v>
      </c>
      <c r="D287" s="23">
        <v>50.502349985717046</v>
      </c>
      <c r="E287" s="23">
        <v>55.414739691922819</v>
      </c>
      <c r="F287" s="23">
        <v>59.508397780427622</v>
      </c>
      <c r="G287" s="23">
        <v>63.602055868932418</v>
      </c>
      <c r="H287" s="23">
        <v>67.695713957437334</v>
      </c>
      <c r="I287" s="13"/>
      <c r="J287" s="24"/>
      <c r="K287" s="129">
        <f t="shared" si="180"/>
        <v>4.99E-2</v>
      </c>
      <c r="L287" s="23">
        <v>61.2212109091627</v>
      </c>
      <c r="M287" s="23">
        <v>67.242075782918931</v>
      </c>
      <c r="N287" s="23">
        <v>72.259463177715801</v>
      </c>
      <c r="O287" s="23">
        <v>77.276850572512643</v>
      </c>
      <c r="P287" s="23">
        <v>82.294237967309599</v>
      </c>
    </row>
    <row r="288" spans="2:16" outlineLevel="1">
      <c r="B288" s="28"/>
      <c r="C288" s="29"/>
      <c r="D288" s="23"/>
      <c r="E288" s="23"/>
      <c r="F288" s="23"/>
      <c r="G288" s="23"/>
      <c r="H288" s="23"/>
      <c r="I288" s="13"/>
      <c r="J288" s="14"/>
      <c r="K288" s="18"/>
      <c r="L288" s="18"/>
      <c r="M288" s="18"/>
      <c r="N288" s="18"/>
      <c r="O288" s="18"/>
    </row>
    <row r="289" spans="2:15" outlineLevel="1">
      <c r="B289" s="28"/>
      <c r="C289" s="29"/>
      <c r="D289" s="23"/>
      <c r="E289" s="23"/>
      <c r="F289" s="23"/>
      <c r="G289" s="23"/>
      <c r="H289" s="23"/>
      <c r="I289" s="13"/>
      <c r="J289" s="14"/>
      <c r="K289" s="18"/>
      <c r="L289" s="18"/>
      <c r="M289" s="18"/>
      <c r="N289" s="18"/>
      <c r="O289" s="18"/>
    </row>
    <row r="290" spans="2:15" outlineLevel="1">
      <c r="H290" s="18"/>
      <c r="I290" s="13"/>
      <c r="J290" s="14"/>
      <c r="K290" s="18"/>
      <c r="L290" s="18"/>
      <c r="M290" s="18"/>
      <c r="N290" s="18"/>
      <c r="O290" s="18"/>
    </row>
    <row r="291" spans="2:15" outlineLevel="1">
      <c r="B291" s="163" t="s">
        <v>127</v>
      </c>
      <c r="C291" s="155"/>
      <c r="E291" s="163" t="s">
        <v>128</v>
      </c>
      <c r="F291" s="155"/>
      <c r="G291" s="8"/>
      <c r="H291" s="163" t="s">
        <v>129</v>
      </c>
      <c r="I291" s="155"/>
      <c r="J291" s="8"/>
      <c r="K291" s="163" t="s">
        <v>130</v>
      </c>
      <c r="L291" s="155"/>
      <c r="N291" s="30"/>
      <c r="O291" s="30"/>
    </row>
    <row r="292" spans="2:15" outlineLevel="1">
      <c r="B292" s="31" t="s">
        <v>119</v>
      </c>
      <c r="C292" s="31" t="s">
        <v>111</v>
      </c>
      <c r="E292" s="31" t="s">
        <v>119</v>
      </c>
      <c r="F292" s="31" t="s">
        <v>111</v>
      </c>
      <c r="H292" s="31" t="s">
        <v>119</v>
      </c>
      <c r="I292" s="31" t="s">
        <v>111</v>
      </c>
      <c r="K292" s="31" t="s">
        <v>119</v>
      </c>
      <c r="L292" s="31" t="s">
        <v>111</v>
      </c>
    </row>
    <row r="293" spans="2:15" outlineLevel="1">
      <c r="B293" s="32">
        <v>0</v>
      </c>
      <c r="C293" s="33">
        <f>$D$273</f>
        <v>53.018579892798961</v>
      </c>
      <c r="E293" s="32">
        <v>0</v>
      </c>
      <c r="F293" s="33">
        <f>$D$273</f>
        <v>53.018579892798961</v>
      </c>
      <c r="H293" s="32">
        <v>0</v>
      </c>
      <c r="I293" s="33">
        <f>$D$273</f>
        <v>53.018579892798961</v>
      </c>
      <c r="K293" s="34">
        <v>0</v>
      </c>
      <c r="L293" s="33">
        <f>$D$273</f>
        <v>53.018579892798961</v>
      </c>
      <c r="M293" s="35"/>
    </row>
    <row r="294" spans="2:15" outlineLevel="1">
      <c r="B294" s="36">
        <v>-0.05</v>
      </c>
      <c r="C294" s="37">
        <f t="dataTable" ref="C294:C295" dt2D="0" dtr="0" r1="B293" ca="1"/>
        <v>38.669536107845474</v>
      </c>
      <c r="E294" s="36">
        <v>-0.05</v>
      </c>
      <c r="F294" s="37">
        <f t="dataTable" ref="F294:F295" dt2D="0" dtr="0" r1="E293"/>
        <v>81.626412004961807</v>
      </c>
      <c r="H294" s="36">
        <v>-0.01</v>
      </c>
      <c r="I294" s="37">
        <f t="dataTable" ref="I294:I295" dt2D="0" dtr="0" r1="H293" ca="1"/>
        <v>60.946965954467885</v>
      </c>
      <c r="K294" s="38">
        <v>-1</v>
      </c>
      <c r="L294" s="37">
        <f t="dataTable" ref="L294:L295" dt2D="0" dtr="0" r1="K293" ca="1"/>
        <v>49.770522891232559</v>
      </c>
    </row>
    <row r="295" spans="2:15" outlineLevel="1">
      <c r="B295" s="36">
        <v>0.05</v>
      </c>
      <c r="C295" s="37">
        <v>69.799631566306644</v>
      </c>
      <c r="E295" s="36">
        <v>0.05</v>
      </c>
      <c r="F295" s="37">
        <v>24.410747780635994</v>
      </c>
      <c r="H295" s="36">
        <v>0.01</v>
      </c>
      <c r="I295" s="37">
        <v>47.03688971571006</v>
      </c>
      <c r="J295" s="14"/>
      <c r="K295" s="38">
        <v>1</v>
      </c>
      <c r="L295" s="37">
        <v>56.266636894365377</v>
      </c>
    </row>
    <row r="296" spans="2:15" outlineLevel="1">
      <c r="B296" s="39"/>
      <c r="C296" s="23"/>
      <c r="D296" s="13"/>
      <c r="E296" s="14"/>
      <c r="G296" s="39"/>
      <c r="H296" s="23"/>
      <c r="I296" s="13"/>
      <c r="J296" s="14"/>
    </row>
    <row r="297" spans="2:15" outlineLevel="1">
      <c r="B297" s="154" t="s">
        <v>132</v>
      </c>
      <c r="C297" s="155"/>
      <c r="D297" s="156" t="s">
        <v>121</v>
      </c>
      <c r="E297" s="157" t="s">
        <v>122</v>
      </c>
      <c r="F297" s="158" t="s">
        <v>123</v>
      </c>
      <c r="G297" s="159" t="s">
        <v>126</v>
      </c>
      <c r="H297" s="160" t="s">
        <v>120</v>
      </c>
      <c r="I297" s="161"/>
      <c r="J297" s="162" t="s">
        <v>124</v>
      </c>
      <c r="K297" s="162" t="s">
        <v>125</v>
      </c>
      <c r="L297" s="18"/>
      <c r="M297" s="18"/>
      <c r="N297" s="18"/>
      <c r="O297" s="18"/>
    </row>
    <row r="298" spans="2:15" outlineLevel="1">
      <c r="B298" s="8" t="str">
        <f>B291</f>
        <v>Revenue Growth +/-5%</v>
      </c>
      <c r="C298" s="8"/>
      <c r="D298" s="40">
        <f>+C294/C293-1</f>
        <v>-0.27064179791247844</v>
      </c>
      <c r="E298" s="40">
        <f>ABS(D298)</f>
        <v>0.27064179791247844</v>
      </c>
      <c r="F298" s="41">
        <v>1</v>
      </c>
      <c r="G298" s="42">
        <f>SMALL($E$298:$E$301,F298)</f>
        <v>6.1262617899872418E-2</v>
      </c>
      <c r="H298" s="43" t="str">
        <f>INDEX($B$298:$G$301,MATCH(G298,$E$298:$E$301,0),MATCH($B$298,$B$298:$G$298,0))</f>
        <v>EV/EBITDA Exit +/-1x</v>
      </c>
      <c r="I298" s="43"/>
      <c r="J298" s="15">
        <f>G298</f>
        <v>6.1262617899872418E-2</v>
      </c>
      <c r="K298" s="15">
        <f>-J298</f>
        <v>-6.1262617899872418E-2</v>
      </c>
      <c r="O298" s="18"/>
    </row>
    <row r="299" spans="2:15" outlineLevel="1">
      <c r="B299" s="9" t="str">
        <f>E291</f>
        <v>COGS +/-5%</v>
      </c>
      <c r="D299" s="44">
        <f>F294/F293-1</f>
        <v>0.53958125943785218</v>
      </c>
      <c r="E299" s="44">
        <f t="shared" ref="E299:E301" si="181">ABS(D299)</f>
        <v>0.53958125943785218</v>
      </c>
      <c r="F299" s="45">
        <f>+F298+1</f>
        <v>2</v>
      </c>
      <c r="G299" s="42">
        <f t="shared" ref="G299:G301" si="182">SMALL($E$298:$E$301,F299)</f>
        <v>0.14953976658182366</v>
      </c>
      <c r="H299" s="46" t="str">
        <f t="shared" ref="H299:H301" si="183">INDEX($B$298:$G$301,MATCH(G299,$E$298:$E$301,0),MATCH($B$298,$B$298:$G$298,0))</f>
        <v>Discount Rate +/-1%</v>
      </c>
      <c r="I299" s="46"/>
      <c r="J299" s="30">
        <f t="shared" ref="J299:J301" si="184">G299</f>
        <v>0.14953976658182366</v>
      </c>
      <c r="K299" s="30">
        <f t="shared" ref="K299:K301" si="185">-J299</f>
        <v>-0.14953976658182366</v>
      </c>
      <c r="O299" s="18"/>
    </row>
    <row r="300" spans="2:15" outlineLevel="1">
      <c r="B300" s="9" t="str">
        <f>H291</f>
        <v>Discount Rate +/-1%</v>
      </c>
      <c r="D300" s="44">
        <f>I294/I293-1</f>
        <v>0.14953976658182366</v>
      </c>
      <c r="E300" s="44">
        <f t="shared" si="181"/>
        <v>0.14953976658182366</v>
      </c>
      <c r="F300" s="45">
        <f t="shared" ref="F300:F301" si="186">+F299+1</f>
        <v>3</v>
      </c>
      <c r="G300" s="42">
        <f t="shared" si="182"/>
        <v>0.27064179791247844</v>
      </c>
      <c r="H300" s="46" t="str">
        <f t="shared" si="183"/>
        <v>Revenue Growth +/-5%</v>
      </c>
      <c r="I300" s="46"/>
      <c r="J300" s="30">
        <f t="shared" si="184"/>
        <v>0.27064179791247844</v>
      </c>
      <c r="K300" s="30">
        <f t="shared" si="185"/>
        <v>-0.27064179791247844</v>
      </c>
      <c r="O300" s="18"/>
    </row>
    <row r="301" spans="2:15" outlineLevel="1">
      <c r="B301" s="9" t="str">
        <f>K291</f>
        <v>EV/EBITDA Exit +/-1x</v>
      </c>
      <c r="D301" s="44">
        <f>L294/L293-1</f>
        <v>-6.1262617899872418E-2</v>
      </c>
      <c r="E301" s="44">
        <f t="shared" si="181"/>
        <v>6.1262617899872418E-2</v>
      </c>
      <c r="F301" s="45">
        <f t="shared" si="186"/>
        <v>4</v>
      </c>
      <c r="G301" s="42">
        <f t="shared" si="182"/>
        <v>0.53958125943785218</v>
      </c>
      <c r="H301" s="46" t="str">
        <f t="shared" si="183"/>
        <v>COGS +/-5%</v>
      </c>
      <c r="I301" s="46"/>
      <c r="J301" s="30">
        <f t="shared" si="184"/>
        <v>0.53958125943785218</v>
      </c>
      <c r="K301" s="30">
        <f t="shared" si="185"/>
        <v>-0.53958125943785218</v>
      </c>
      <c r="O301" s="18"/>
    </row>
    <row r="302" spans="2:15" outlineLevel="1">
      <c r="D302" s="9"/>
      <c r="O302" s="18"/>
    </row>
    <row r="303" spans="2:15" outlineLevel="1">
      <c r="D303" s="9"/>
      <c r="O303" s="18"/>
    </row>
    <row r="304" spans="2:15" outlineLevel="1">
      <c r="C304" s="153" t="s">
        <v>131</v>
      </c>
      <c r="D304" s="153"/>
      <c r="E304" s="153"/>
      <c r="F304" s="153"/>
      <c r="G304" s="153"/>
      <c r="H304" s="153"/>
      <c r="I304" s="153"/>
      <c r="J304" s="153"/>
      <c r="O304" s="18"/>
    </row>
    <row r="305" spans="2:15" outlineLevel="1">
      <c r="D305" s="9"/>
      <c r="O305" s="18"/>
    </row>
    <row r="306" spans="2:15" outlineLevel="1">
      <c r="D306" s="9"/>
      <c r="I306" s="18"/>
      <c r="J306" s="18"/>
      <c r="K306" s="18"/>
      <c r="L306" s="18"/>
      <c r="M306" s="18"/>
      <c r="N306" s="18"/>
      <c r="O306" s="18"/>
    </row>
    <row r="307" spans="2:15" outlineLevel="1">
      <c r="D307" s="9"/>
      <c r="I307" s="18"/>
      <c r="J307" s="18"/>
      <c r="K307" s="18"/>
      <c r="L307" s="18"/>
      <c r="M307" s="18"/>
      <c r="N307" s="18"/>
      <c r="O307" s="18"/>
    </row>
    <row r="308" spans="2:15" ht="16.5" outlineLevel="1">
      <c r="D308" s="9"/>
      <c r="I308" s="18"/>
      <c r="J308" s="47"/>
      <c r="K308" s="47"/>
      <c r="L308" s="47"/>
      <c r="M308" s="47"/>
      <c r="N308" s="47"/>
      <c r="O308" s="47"/>
    </row>
    <row r="309" spans="2:15" ht="16.5" outlineLevel="1">
      <c r="D309" s="9"/>
      <c r="I309" s="18"/>
      <c r="J309" s="47"/>
      <c r="K309" s="47"/>
      <c r="L309" s="47"/>
      <c r="M309" s="47"/>
      <c r="N309" s="47"/>
      <c r="O309" s="47"/>
    </row>
    <row r="310" spans="2:15" ht="16.5" outlineLevel="1" collapsed="1">
      <c r="D310" s="9"/>
      <c r="I310" s="18"/>
      <c r="J310" s="47"/>
      <c r="K310" s="47"/>
      <c r="L310" s="47"/>
      <c r="M310" s="47"/>
      <c r="N310" s="47"/>
      <c r="O310" s="47"/>
    </row>
    <row r="311" spans="2:15" outlineLevel="1">
      <c r="D311" s="9"/>
      <c r="I311" s="18"/>
    </row>
    <row r="312" spans="2:15" outlineLevel="1">
      <c r="D312" s="9"/>
      <c r="I312" s="18"/>
    </row>
    <row r="313" spans="2:15" outlineLevel="1">
      <c r="D313" s="9"/>
      <c r="I313" s="18"/>
    </row>
    <row r="314" spans="2:15" outlineLevel="1">
      <c r="D314" s="9"/>
      <c r="I314" s="18"/>
    </row>
    <row r="315" spans="2:15" outlineLevel="1">
      <c r="D315" s="9"/>
      <c r="I315" s="18"/>
    </row>
    <row r="316" spans="2:15" outlineLevel="1">
      <c r="D316" s="9"/>
      <c r="I316" s="18"/>
    </row>
    <row r="317" spans="2:15" outlineLevel="1">
      <c r="D317" s="9"/>
      <c r="I317" s="18"/>
    </row>
    <row r="318" spans="2:15" outlineLevel="1">
      <c r="D318" s="9"/>
      <c r="I318" s="18"/>
    </row>
    <row r="320" spans="2:15" ht="18">
      <c r="B320" s="152" t="s">
        <v>231</v>
      </c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  <c r="N320" s="152"/>
    </row>
    <row r="321" spans="1:14" ht="18" outlineLevel="1">
      <c r="A321" s="7"/>
      <c r="B321" s="132"/>
      <c r="C321" s="132"/>
      <c r="D321" s="132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</row>
    <row r="322" spans="1:14" outlineLevel="1">
      <c r="B322" s="148" t="str">
        <f>B267</f>
        <v>Intrinsic Value</v>
      </c>
      <c r="C322" s="148">
        <v>2020</v>
      </c>
      <c r="D322" s="150">
        <f>C322+1</f>
        <v>2021</v>
      </c>
      <c r="E322" s="150">
        <f t="shared" ref="E322:H322" si="187">D322+1</f>
        <v>2022</v>
      </c>
      <c r="F322" s="150">
        <f t="shared" si="187"/>
        <v>2023</v>
      </c>
      <c r="G322" s="150">
        <f t="shared" si="187"/>
        <v>2024</v>
      </c>
      <c r="H322" s="150">
        <f t="shared" si="187"/>
        <v>2025</v>
      </c>
      <c r="I322" s="11"/>
    </row>
    <row r="323" spans="1:14" outlineLevel="1">
      <c r="B323" s="148" t="s">
        <v>236</v>
      </c>
      <c r="C323" s="143">
        <f>$D$271/I107</f>
        <v>0.74071899903701466</v>
      </c>
      <c r="D323" s="143">
        <f t="shared" ref="D323:H323" si="188">$D$271/J107</f>
        <v>0.68963311514543246</v>
      </c>
      <c r="E323" s="143">
        <f t="shared" si="188"/>
        <v>0.65116434377310872</v>
      </c>
      <c r="F323" s="143">
        <f t="shared" si="188"/>
        <v>0.62879380878463698</v>
      </c>
      <c r="G323" s="143">
        <f t="shared" si="188"/>
        <v>0.60789622068089499</v>
      </c>
      <c r="H323" s="143">
        <f t="shared" si="188"/>
        <v>0.58740920797752361</v>
      </c>
      <c r="I323" s="101"/>
    </row>
    <row r="324" spans="1:14" outlineLevel="1">
      <c r="B324" s="148" t="s">
        <v>86</v>
      </c>
      <c r="C324" s="143">
        <f>$D$271/I114</f>
        <v>5.9369632111169421</v>
      </c>
      <c r="D324" s="143">
        <f t="shared" ref="D324:H324" si="189">$D$271/J114</f>
        <v>5.5060537254292825</v>
      </c>
      <c r="E324" s="143">
        <f t="shared" si="189"/>
        <v>5.1989177754936389</v>
      </c>
      <c r="F324" s="143">
        <f t="shared" si="189"/>
        <v>5.0203106802018969</v>
      </c>
      <c r="G324" s="143">
        <f t="shared" si="189"/>
        <v>4.8534636418214516</v>
      </c>
      <c r="H324" s="143">
        <f t="shared" si="189"/>
        <v>4.6898946510914641</v>
      </c>
      <c r="I324" s="23"/>
    </row>
    <row r="325" spans="1:14" outlineLevel="1">
      <c r="B325" s="148" t="s">
        <v>235</v>
      </c>
      <c r="C325" s="143">
        <f>$D$271/I116</f>
        <v>9.8921660228663022</v>
      </c>
      <c r="D325" s="143">
        <f t="shared" ref="D325:H325" si="190">$D$271/J116</f>
        <v>7.6333103319609954</v>
      </c>
      <c r="E325" s="143">
        <f t="shared" si="190"/>
        <v>7.1604369041440465</v>
      </c>
      <c r="F325" s="143">
        <f t="shared" si="190"/>
        <v>6.9200957390564435</v>
      </c>
      <c r="G325" s="143">
        <f t="shared" si="190"/>
        <v>6.6946906206944856</v>
      </c>
      <c r="H325" s="143">
        <f t="shared" si="190"/>
        <v>6.3023532514475598</v>
      </c>
      <c r="I325" s="23"/>
    </row>
    <row r="326" spans="1:14" outlineLevel="1">
      <c r="B326" s="148" t="s">
        <v>232</v>
      </c>
      <c r="C326" s="151">
        <f>$D$273/C341</f>
        <v>19.349846676203999</v>
      </c>
      <c r="D326" s="151">
        <f t="shared" ref="D326:H326" si="191">$D$273/D341</f>
        <v>10.710824220767467</v>
      </c>
      <c r="E326" s="151">
        <f t="shared" si="191"/>
        <v>10.215525990905387</v>
      </c>
      <c r="F326" s="151">
        <f t="shared" si="191"/>
        <v>9.622246804500719</v>
      </c>
      <c r="G326" s="151">
        <f t="shared" si="191"/>
        <v>9.2852153927844068</v>
      </c>
      <c r="H326" s="151">
        <f t="shared" si="191"/>
        <v>9.5528972779817956</v>
      </c>
      <c r="I326" s="23"/>
    </row>
    <row r="327" spans="1:14" outlineLevel="1">
      <c r="B327" s="148" t="s">
        <v>233</v>
      </c>
      <c r="C327" s="143">
        <f>$H$268/I107</f>
        <v>0.77594558906892575</v>
      </c>
      <c r="D327" s="143">
        <f t="shared" ref="D327:H327" si="192">$H$268/J107</f>
        <v>0.72243019885901483</v>
      </c>
      <c r="E327" s="143">
        <f t="shared" si="192"/>
        <v>0.68213195687782868</v>
      </c>
      <c r="F327" s="143">
        <f t="shared" si="192"/>
        <v>0.65869753981550982</v>
      </c>
      <c r="G327" s="143">
        <f t="shared" si="192"/>
        <v>0.63680611900362449</v>
      </c>
      <c r="H327" s="143">
        <f t="shared" si="192"/>
        <v>0.61534479944648202</v>
      </c>
      <c r="I327" s="23"/>
    </row>
    <row r="328" spans="1:14" outlineLevel="1">
      <c r="B328" s="148" t="s">
        <v>234</v>
      </c>
      <c r="C328" s="143">
        <f>$C$4/(I173/$D$239)</f>
        <v>1.6252954688798551</v>
      </c>
      <c r="D328" s="143">
        <f t="shared" ref="D328:H328" si="193">$C$4/(J173/$D$239)</f>
        <v>1.4960648776110528</v>
      </c>
      <c r="E328" s="143">
        <f t="shared" si="193"/>
        <v>1.3764590600665134</v>
      </c>
      <c r="F328" s="143">
        <f t="shared" si="193"/>
        <v>1.2696687017548598</v>
      </c>
      <c r="G328" s="143">
        <f t="shared" si="193"/>
        <v>1.1740603020309939</v>
      </c>
      <c r="H328" s="143">
        <f t="shared" si="193"/>
        <v>1.0848986832724619</v>
      </c>
      <c r="I328" s="23"/>
    </row>
    <row r="329" spans="1:14" outlineLevel="1"/>
    <row r="330" spans="1:14" outlineLevel="1">
      <c r="B330" s="148" t="str">
        <f>F267</f>
        <v>Market Value</v>
      </c>
      <c r="C330" s="148">
        <v>2020</v>
      </c>
      <c r="D330" s="150">
        <f>C330+1</f>
        <v>2021</v>
      </c>
      <c r="E330" s="150">
        <f t="shared" ref="E330:H330" si="194">D330+1</f>
        <v>2022</v>
      </c>
      <c r="F330" s="150">
        <f t="shared" si="194"/>
        <v>2023</v>
      </c>
      <c r="G330" s="150">
        <f t="shared" si="194"/>
        <v>2024</v>
      </c>
      <c r="H330" s="150">
        <f t="shared" si="194"/>
        <v>2025</v>
      </c>
    </row>
    <row r="331" spans="1:14" outlineLevel="1">
      <c r="B331" s="148" t="s">
        <v>236</v>
      </c>
      <c r="C331" s="143">
        <f>$H$271/I107</f>
        <v>0.95114491764634923</v>
      </c>
      <c r="D331" s="143">
        <f t="shared" ref="D331:H331" si="195">$H$271/J107</f>
        <v>0.885546385827778</v>
      </c>
      <c r="E331" s="143">
        <f t="shared" si="195"/>
        <v>0.83614927784694615</v>
      </c>
      <c r="F331" s="143">
        <f t="shared" si="195"/>
        <v>0.80742364682225642</v>
      </c>
      <c r="G331" s="143">
        <f t="shared" si="195"/>
        <v>0.78058940233577512</v>
      </c>
      <c r="H331" s="143">
        <f t="shared" si="195"/>
        <v>0.75428237087593519</v>
      </c>
    </row>
    <row r="332" spans="1:14" outlineLevel="1">
      <c r="B332" s="148" t="s">
        <v>86</v>
      </c>
      <c r="C332" s="143">
        <f>$H$271/I114</f>
        <v>7.6235554803489602</v>
      </c>
      <c r="D332" s="143">
        <f t="shared" ref="D332:H332" si="196">$H$271/J114</f>
        <v>7.0702317937549042</v>
      </c>
      <c r="E332" s="143">
        <f t="shared" si="196"/>
        <v>6.6758436409094113</v>
      </c>
      <c r="F332" s="143">
        <f t="shared" si="196"/>
        <v>6.4464972475224798</v>
      </c>
      <c r="G332" s="143">
        <f t="shared" si="196"/>
        <v>6.2322517471556456</v>
      </c>
      <c r="H332" s="143">
        <f t="shared" si="196"/>
        <v>6.0222155331262597</v>
      </c>
    </row>
    <row r="333" spans="1:14" outlineLevel="1">
      <c r="B333" s="148" t="s">
        <v>235</v>
      </c>
      <c r="C333" s="143">
        <f>$H$271/I116</f>
        <v>12.702365471110333</v>
      </c>
      <c r="D333" s="143">
        <f t="shared" ref="D333:H333" si="197">$H$271/J116</f>
        <v>9.8018065372983063</v>
      </c>
      <c r="E333" s="143">
        <f t="shared" si="197"/>
        <v>9.1945976522247062</v>
      </c>
      <c r="F333" s="143">
        <f t="shared" si="197"/>
        <v>8.8859795690224779</v>
      </c>
      <c r="G333" s="143">
        <f t="shared" si="197"/>
        <v>8.5965406144119232</v>
      </c>
      <c r="H333" s="143">
        <f t="shared" si="197"/>
        <v>8.0927467394781107</v>
      </c>
    </row>
    <row r="334" spans="1:14" outlineLevel="1">
      <c r="B334" s="148" t="s">
        <v>232</v>
      </c>
      <c r="C334" s="151">
        <f>$H$273/C341</f>
        <v>20.270072992700729</v>
      </c>
      <c r="D334" s="151">
        <f t="shared" ref="D334:H334" si="198">$H$273/D341</f>
        <v>11.22020202020202</v>
      </c>
      <c r="E334" s="151">
        <f t="shared" si="198"/>
        <v>10.701348747591521</v>
      </c>
      <c r="F334" s="151">
        <f t="shared" si="198"/>
        <v>10.079854809437387</v>
      </c>
      <c r="G334" s="151">
        <f t="shared" si="198"/>
        <v>9.7267950963222418</v>
      </c>
      <c r="H334" s="151">
        <f t="shared" si="198"/>
        <v>10.007207207207207</v>
      </c>
    </row>
    <row r="335" spans="1:14" outlineLevel="1">
      <c r="B335" s="148" t="s">
        <v>233</v>
      </c>
      <c r="C335" s="143">
        <f>$H$268/I107</f>
        <v>0.77594558906892575</v>
      </c>
      <c r="D335" s="143">
        <f t="shared" ref="D335:H335" si="199">$H$268/J107</f>
        <v>0.72243019885901483</v>
      </c>
      <c r="E335" s="143">
        <f t="shared" si="199"/>
        <v>0.68213195687782868</v>
      </c>
      <c r="F335" s="143">
        <f t="shared" si="199"/>
        <v>0.65869753981550982</v>
      </c>
      <c r="G335" s="143">
        <f t="shared" si="199"/>
        <v>0.63680611900362449</v>
      </c>
      <c r="H335" s="143">
        <f t="shared" si="199"/>
        <v>0.61534479944648202</v>
      </c>
    </row>
    <row r="336" spans="1:14" outlineLevel="1">
      <c r="B336" s="148" t="s">
        <v>234</v>
      </c>
      <c r="C336" s="143">
        <f>$H$268/I173</f>
        <v>1.6252954688798549</v>
      </c>
      <c r="D336" s="143">
        <f t="shared" ref="D336:H336" si="200">$H$268/J173</f>
        <v>1.4960648776110526</v>
      </c>
      <c r="E336" s="143">
        <f t="shared" si="200"/>
        <v>1.3764590600665134</v>
      </c>
      <c r="F336" s="143">
        <f t="shared" si="200"/>
        <v>1.2696687017548596</v>
      </c>
      <c r="G336" s="143">
        <f t="shared" si="200"/>
        <v>1.1740603020309939</v>
      </c>
      <c r="H336" s="143">
        <f t="shared" si="200"/>
        <v>1.0848986832724616</v>
      </c>
    </row>
    <row r="337" spans="2:22" outlineLevel="1"/>
    <row r="339" spans="2:22">
      <c r="B339" s="18"/>
      <c r="C339" s="18"/>
      <c r="D339" s="9"/>
    </row>
    <row r="340" spans="2:22" ht="16.5">
      <c r="B340" s="47" t="s">
        <v>240</v>
      </c>
      <c r="C340" s="47">
        <v>2020</v>
      </c>
      <c r="D340" s="9">
        <v>2021</v>
      </c>
      <c r="E340" s="9">
        <v>2022</v>
      </c>
      <c r="F340" s="9">
        <v>2023</v>
      </c>
      <c r="G340" s="9">
        <v>2024</v>
      </c>
      <c r="H340" s="9">
        <v>2025</v>
      </c>
    </row>
    <row r="341" spans="2:22" ht="16.5">
      <c r="B341" s="47"/>
      <c r="C341" s="47">
        <v>2.74</v>
      </c>
      <c r="D341" s="23">
        <v>4.95</v>
      </c>
      <c r="E341" s="23">
        <v>5.19</v>
      </c>
      <c r="F341" s="23">
        <v>5.51</v>
      </c>
      <c r="G341" s="23">
        <v>5.71</v>
      </c>
      <c r="H341" s="23">
        <v>5.55</v>
      </c>
      <c r="I341" s="23"/>
    </row>
    <row r="343" spans="2:22" ht="18">
      <c r="B343" s="233" t="s">
        <v>241</v>
      </c>
      <c r="C343" s="233"/>
      <c r="D343" s="233"/>
      <c r="E343" s="233"/>
      <c r="F343" s="144"/>
      <c r="G343" s="145"/>
      <c r="H343" s="145"/>
      <c r="I343" s="145"/>
      <c r="J343" s="145"/>
      <c r="K343" s="145"/>
      <c r="L343" s="145"/>
      <c r="M343" s="145"/>
      <c r="N343" s="145"/>
    </row>
    <row r="344" spans="2:22">
      <c r="B344" s="146"/>
      <c r="C344" s="147" t="s">
        <v>242</v>
      </c>
      <c r="D344" s="147" t="s">
        <v>243</v>
      </c>
      <c r="E344" s="147" t="s">
        <v>244</v>
      </c>
      <c r="F344" s="147" t="s">
        <v>245</v>
      </c>
      <c r="G344" s="147" t="s">
        <v>246</v>
      </c>
      <c r="H344" s="147" t="s">
        <v>247</v>
      </c>
      <c r="I344" s="147" t="s">
        <v>248</v>
      </c>
      <c r="J344" s="147" t="s">
        <v>249</v>
      </c>
      <c r="K344" s="147" t="s">
        <v>250</v>
      </c>
      <c r="L344" s="147" t="s">
        <v>251</v>
      </c>
      <c r="M344" s="147" t="s">
        <v>252</v>
      </c>
      <c r="N344" s="147" t="s">
        <v>253</v>
      </c>
      <c r="O344" s="148" t="s">
        <v>254</v>
      </c>
      <c r="P344" s="148" t="s">
        <v>255</v>
      </c>
      <c r="Q344" s="145"/>
      <c r="R344" s="148" t="s">
        <v>256</v>
      </c>
      <c r="S344" s="148"/>
      <c r="T344" s="148"/>
      <c r="U344" s="148" t="s">
        <v>257</v>
      </c>
      <c r="V344" s="148"/>
    </row>
    <row r="345" spans="2:22">
      <c r="B345" s="147" t="s">
        <v>236</v>
      </c>
      <c r="C345" s="149">
        <v>1.7</v>
      </c>
      <c r="D345" s="149">
        <v>1.8</v>
      </c>
      <c r="E345" s="149">
        <v>1.2</v>
      </c>
      <c r="F345" s="149">
        <v>3.8</v>
      </c>
      <c r="G345" s="149">
        <v>5.2</v>
      </c>
      <c r="H345" s="149">
        <v>1.1000000000000001</v>
      </c>
      <c r="I345" s="149">
        <v>5</v>
      </c>
      <c r="J345" s="149">
        <v>1.5</v>
      </c>
      <c r="K345" s="149">
        <v>1.3</v>
      </c>
      <c r="L345" s="149">
        <v>5</v>
      </c>
      <c r="M345" s="149">
        <v>4.2</v>
      </c>
      <c r="N345" s="149">
        <v>3.6</v>
      </c>
      <c r="O345" s="149">
        <v>2.7</v>
      </c>
      <c r="P345" s="143">
        <f>AVERAGE(C345:N345)</f>
        <v>2.9499999999999997</v>
      </c>
      <c r="R345" s="143">
        <f>C323-O345</f>
        <v>-1.9592810009629855</v>
      </c>
      <c r="S345" s="14">
        <f>R345/O345</f>
        <v>-0.72565962998629086</v>
      </c>
      <c r="U345" s="143">
        <f>C323-P345</f>
        <v>-2.2092810009629851</v>
      </c>
      <c r="V345" s="14">
        <f>U345/P345</f>
        <v>-0.7489088138857577</v>
      </c>
    </row>
    <row r="346" spans="2:22">
      <c r="B346" s="147" t="s">
        <v>86</v>
      </c>
      <c r="C346" s="149">
        <v>6.8</v>
      </c>
      <c r="D346" s="149">
        <v>10.7</v>
      </c>
      <c r="E346" s="149">
        <v>5.9</v>
      </c>
      <c r="F346" s="149">
        <v>10.6</v>
      </c>
      <c r="G346" s="149">
        <v>25.6</v>
      </c>
      <c r="H346" s="149">
        <v>5.6</v>
      </c>
      <c r="I346" s="149">
        <v>16.5</v>
      </c>
      <c r="J346" s="149">
        <v>7.5</v>
      </c>
      <c r="K346" s="149">
        <v>6.4</v>
      </c>
      <c r="L346" s="149">
        <v>17.399999999999999</v>
      </c>
      <c r="M346" s="149">
        <v>16.399999999999999</v>
      </c>
      <c r="N346" s="149">
        <v>7.3</v>
      </c>
      <c r="O346" s="149">
        <v>11.3</v>
      </c>
      <c r="P346" s="143">
        <f t="shared" ref="P346:P350" si="201">AVERAGE(C346:N346)</f>
        <v>11.391666666666667</v>
      </c>
      <c r="R346" s="143">
        <f>C324-O346</f>
        <v>-5.3630367888830586</v>
      </c>
      <c r="S346" s="14">
        <f t="shared" ref="S346:S350" si="202">R346/O346</f>
        <v>-0.47460502556487238</v>
      </c>
      <c r="U346" s="143">
        <f t="shared" ref="U346:U350" si="203">C324-P346</f>
        <v>-5.4547034555497254</v>
      </c>
      <c r="V346" s="14">
        <f t="shared" ref="V346:V350" si="204">U346/P346</f>
        <v>-0.4788327832230922</v>
      </c>
    </row>
    <row r="347" spans="2:22">
      <c r="B347" s="147" t="s">
        <v>235</v>
      </c>
      <c r="C347" s="149">
        <v>10</v>
      </c>
      <c r="D347" s="149">
        <v>15.6</v>
      </c>
      <c r="E347" s="149">
        <v>8.9</v>
      </c>
      <c r="F347" s="149">
        <v>14.7</v>
      </c>
      <c r="G347" s="149">
        <v>31.5</v>
      </c>
      <c r="H347" s="149">
        <v>10.1</v>
      </c>
      <c r="I347" s="149">
        <v>22.5</v>
      </c>
      <c r="J347" s="149">
        <v>13.8</v>
      </c>
      <c r="K347" s="149">
        <v>10.199999999999999</v>
      </c>
      <c r="L347" s="149">
        <v>24</v>
      </c>
      <c r="M347" s="149">
        <v>20.9</v>
      </c>
      <c r="N347" s="149">
        <v>8.6999999999999993</v>
      </c>
      <c r="O347" s="149">
        <v>15.6</v>
      </c>
      <c r="P347" s="143">
        <f t="shared" si="201"/>
        <v>15.908333333333331</v>
      </c>
      <c r="R347" s="143">
        <f>C325-O347</f>
        <v>-5.7078339771336974</v>
      </c>
      <c r="S347" s="14">
        <f t="shared" si="202"/>
        <v>-0.36588679340600627</v>
      </c>
      <c r="U347" s="143">
        <f t="shared" si="203"/>
        <v>-6.0161673104670292</v>
      </c>
      <c r="V347" s="14">
        <f t="shared" si="204"/>
        <v>-0.37817709651966663</v>
      </c>
    </row>
    <row r="348" spans="2:22">
      <c r="B348" s="147" t="s">
        <v>232</v>
      </c>
      <c r="C348" s="216">
        <v>11.8</v>
      </c>
      <c r="D348" s="216">
        <v>19.899999999999999</v>
      </c>
      <c r="E348" s="216">
        <v>8.8000000000000007</v>
      </c>
      <c r="F348" s="216">
        <v>16.2</v>
      </c>
      <c r="G348" s="216">
        <v>42.4</v>
      </c>
      <c r="H348" s="216">
        <v>9</v>
      </c>
      <c r="I348" s="216">
        <v>28.7</v>
      </c>
      <c r="J348" s="216">
        <v>20.3</v>
      </c>
      <c r="K348" s="216">
        <v>10.8</v>
      </c>
      <c r="L348" s="216">
        <v>32.4</v>
      </c>
      <c r="M348" s="216">
        <v>29.2</v>
      </c>
      <c r="N348" s="216">
        <v>12.3</v>
      </c>
      <c r="O348" s="216">
        <v>20.2</v>
      </c>
      <c r="P348" s="213">
        <f t="shared" si="201"/>
        <v>20.150000000000002</v>
      </c>
      <c r="R348" s="213">
        <f>C326-O348</f>
        <v>-0.85015332379600039</v>
      </c>
      <c r="S348" s="214">
        <f t="shared" si="202"/>
        <v>-4.2086798207722792E-2</v>
      </c>
      <c r="T348" s="215"/>
      <c r="U348" s="213">
        <f t="shared" si="203"/>
        <v>-0.80015332379600324</v>
      </c>
      <c r="V348" s="214">
        <f t="shared" si="204"/>
        <v>-3.9709842372010085E-2</v>
      </c>
    </row>
    <row r="349" spans="2:22">
      <c r="B349" s="147" t="s">
        <v>233</v>
      </c>
      <c r="C349" s="149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3"/>
      <c r="R349" s="143"/>
      <c r="S349" s="14"/>
      <c r="U349" s="143"/>
      <c r="V349" s="14"/>
    </row>
    <row r="350" spans="2:22">
      <c r="B350" s="147" t="s">
        <v>234</v>
      </c>
      <c r="C350" s="149">
        <v>1.2</v>
      </c>
      <c r="D350" s="149">
        <v>2.1</v>
      </c>
      <c r="E350" s="149">
        <v>1.1000000000000001</v>
      </c>
      <c r="F350" s="149">
        <v>4.5999999999999996</v>
      </c>
      <c r="G350" s="149">
        <v>12.7</v>
      </c>
      <c r="H350" s="149">
        <v>0.9</v>
      </c>
      <c r="I350" s="149">
        <v>3.8</v>
      </c>
      <c r="J350" s="149">
        <v>0.9</v>
      </c>
      <c r="K350" s="149">
        <v>1.2</v>
      </c>
      <c r="L350" s="149">
        <v>3.9</v>
      </c>
      <c r="M350" s="149">
        <v>4.8</v>
      </c>
      <c r="N350" s="149">
        <v>5.4</v>
      </c>
      <c r="O350" s="149">
        <v>2.4</v>
      </c>
      <c r="P350" s="143">
        <f t="shared" si="201"/>
        <v>3.5499999999999994</v>
      </c>
      <c r="R350" s="143">
        <f>C328-O350</f>
        <v>-0.77470453112014481</v>
      </c>
      <c r="S350" s="14">
        <f t="shared" si="202"/>
        <v>-0.32279355463339371</v>
      </c>
      <c r="U350" s="143">
        <f t="shared" si="203"/>
        <v>-1.9247045311201443</v>
      </c>
      <c r="V350" s="14">
        <f t="shared" si="204"/>
        <v>-0.54217029045637877</v>
      </c>
    </row>
  </sheetData>
  <sheetProtection formatCells="0" formatColumns="0" formatRows="0" insertColumns="0" insertRows="0" insertHyperlinks="0" deleteColumns="0" deleteRows="0" selectLockedCells="1" sort="0" autoFilter="0" pivotTables="0"/>
  <sortState xmlns:xlrd2="http://schemas.microsoft.com/office/spreadsheetml/2017/richdata2" ref="L244:O246">
    <sortCondition ref="O244:O246"/>
  </sortState>
  <mergeCells count="1">
    <mergeCell ref="B343:E343"/>
  </mergeCells>
  <conditionalFormatting sqref="E3:N3 D4:F4 H4:N4">
    <cfRule type="containsText" dxfId="9" priority="9" operator="containsText" text="OK">
      <formula>NOT(ISERROR(SEARCH("OK",D3)))</formula>
    </cfRule>
    <cfRule type="containsText" dxfId="8" priority="10" operator="containsText" text="ERROR">
      <formula>NOT(ISERROR(SEARCH("ERROR",D3)))</formula>
    </cfRule>
  </conditionalFormatting>
  <conditionalFormatting sqref="D2">
    <cfRule type="containsText" dxfId="7" priority="7" operator="containsText" text="OK">
      <formula>NOT(ISERROR(SEARCH("OK",D2)))</formula>
    </cfRule>
    <cfRule type="containsText" dxfId="6" priority="8" operator="containsText" text="ERROR">
      <formula>NOT(ISERROR(SEARCH("ERROR",D2)))</formula>
    </cfRule>
  </conditionalFormatting>
  <conditionalFormatting sqref="A1:A2">
    <cfRule type="containsText" dxfId="5" priority="5" operator="containsText" text="OK">
      <formula>NOT(ISERROR(SEARCH("OK",A1)))</formula>
    </cfRule>
    <cfRule type="containsText" dxfId="4" priority="6" operator="containsText" text="ERROR">
      <formula>NOT(ISERROR(SEARCH("ERROR",A1)))</formula>
    </cfRule>
  </conditionalFormatting>
  <conditionalFormatting sqref="B4">
    <cfRule type="containsText" dxfId="3" priority="3" operator="containsText" text="OK">
      <formula>NOT(ISERROR(SEARCH("OK",B4)))</formula>
    </cfRule>
    <cfRule type="containsText" dxfId="2" priority="4" operator="containsText" text="ERROR">
      <formula>NOT(ISERROR(SEARCH("ERROR",B4)))</formula>
    </cfRule>
  </conditionalFormatting>
  <conditionalFormatting sqref="C4">
    <cfRule type="containsText" dxfId="1" priority="1" operator="containsText" text="OK">
      <formula>NOT(ISERROR(SEARCH("OK",C4)))</formula>
    </cfRule>
    <cfRule type="containsText" dxfId="0" priority="2" operator="containsText" text="ERROR">
      <formula>NOT(ISERROR(SEARCH("ERROR",C4)))</formula>
    </cfRule>
  </conditionalFormatting>
  <hyperlinks>
    <hyperlink ref="O8" r:id="rId1" xr:uid="{A94C5CBF-0096-4B58-BC9F-2DAE9D78E875}"/>
    <hyperlink ref="O9" r:id="rId2" xr:uid="{19A5FDC0-83BC-417F-AFCD-AE480D0C91A4}"/>
  </hyperlinks>
  <pageMargins left="0.70866141732283472" right="0.70866141732283472" top="0.74803149606299213" bottom="0.74803149606299213" header="0.31496062992125984" footer="0.31496062992125984"/>
  <pageSetup scale="78" orientation="landscape" r:id="rId3"/>
  <ignoredErrors>
    <ignoredError sqref="E3:N3 F2:N2" unlockedFormula="1"/>
  </ignoredError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D73E-2DEA-481F-A79B-62A50B3A9AFA}">
  <dimension ref="A1:D29"/>
  <sheetViews>
    <sheetView workbookViewId="0">
      <selection activeCell="H23" sqref="H23"/>
    </sheetView>
  </sheetViews>
  <sheetFormatPr defaultColWidth="8.85546875" defaultRowHeight="15"/>
  <cols>
    <col min="1" max="1" width="22.7109375" style="79" customWidth="1"/>
    <col min="2" max="2" width="10.28515625" style="79" bestFit="1" customWidth="1"/>
    <col min="3" max="16384" width="8.85546875" style="79"/>
  </cols>
  <sheetData>
    <row r="1" spans="1:4" ht="16.5">
      <c r="A1" s="197"/>
      <c r="B1" s="198"/>
      <c r="C1" s="198"/>
    </row>
    <row r="2" spans="1:4">
      <c r="A2" s="199" t="s">
        <v>182</v>
      </c>
      <c r="B2" s="199"/>
      <c r="C2" s="199"/>
    </row>
    <row r="3" spans="1:4">
      <c r="A3" s="219"/>
      <c r="B3" s="219"/>
      <c r="C3" s="220"/>
    </row>
    <row r="4" spans="1:4">
      <c r="A4" s="200" t="s">
        <v>183</v>
      </c>
      <c r="B4" s="201"/>
      <c r="C4" s="220"/>
    </row>
    <row r="5" spans="1:4" ht="15.75" thickBot="1">
      <c r="A5" s="219"/>
      <c r="B5" s="219"/>
      <c r="C5" s="220"/>
    </row>
    <row r="6" spans="1:4">
      <c r="A6" s="223" t="s">
        <v>184</v>
      </c>
      <c r="B6" s="224"/>
      <c r="C6" s="220"/>
    </row>
    <row r="7" spans="1:4">
      <c r="A7" s="225" t="s">
        <v>185</v>
      </c>
      <c r="B7" s="226">
        <v>-2.2000000000000001E-3</v>
      </c>
      <c r="C7" s="220"/>
      <c r="D7" s="79" t="s">
        <v>239</v>
      </c>
    </row>
    <row r="8" spans="1:4">
      <c r="A8" s="225" t="s">
        <v>186</v>
      </c>
      <c r="B8" s="227">
        <f>BETA!G21</f>
        <v>1.1730220769492761</v>
      </c>
      <c r="C8" s="220"/>
    </row>
    <row r="9" spans="1:4">
      <c r="A9" s="225" t="s">
        <v>187</v>
      </c>
      <c r="B9" s="226">
        <v>7.7499999999999999E-2</v>
      </c>
      <c r="C9" s="221"/>
    </row>
    <row r="10" spans="1:4" ht="15.75" thickBot="1">
      <c r="A10" s="202" t="s">
        <v>188</v>
      </c>
      <c r="B10" s="203">
        <f>B7+B8*B9</f>
        <v>8.8709210963568902E-2</v>
      </c>
      <c r="C10" s="220"/>
    </row>
    <row r="11" spans="1:4">
      <c r="A11" s="219"/>
      <c r="B11" s="219"/>
      <c r="C11" s="220"/>
    </row>
    <row r="12" spans="1:4">
      <c r="A12" s="200" t="s">
        <v>189</v>
      </c>
      <c r="B12" s="200"/>
      <c r="C12" s="222"/>
    </row>
    <row r="13" spans="1:4" ht="15.75" thickBot="1">
      <c r="A13" s="219"/>
      <c r="B13" s="219"/>
      <c r="C13" s="220"/>
    </row>
    <row r="14" spans="1:4">
      <c r="A14" s="223" t="s">
        <v>4</v>
      </c>
      <c r="B14" s="228">
        <f>'DCF &amp; Sensitivity Model'!I117</f>
        <v>419</v>
      </c>
      <c r="C14" s="220"/>
    </row>
    <row r="15" spans="1:4">
      <c r="A15" s="225" t="s">
        <v>20</v>
      </c>
      <c r="B15" s="229">
        <f>'DCF &amp; Sensitivity Model'!I158+'DCF &amp; Sensitivity Model'!I149</f>
        <v>12025</v>
      </c>
      <c r="C15" s="220"/>
    </row>
    <row r="16" spans="1:4">
      <c r="A16" s="225" t="s">
        <v>190</v>
      </c>
      <c r="B16" s="230">
        <f>B14/B15</f>
        <v>3.4844074844074847E-2</v>
      </c>
      <c r="C16" s="220"/>
    </row>
    <row r="17" spans="1:3">
      <c r="A17" s="225"/>
      <c r="B17" s="231"/>
      <c r="C17" s="220"/>
    </row>
    <row r="18" spans="1:3">
      <c r="A18" s="225" t="s">
        <v>80</v>
      </c>
      <c r="B18" s="231">
        <f>'DCF &amp; Sensitivity Model'!D233</f>
        <v>0.32</v>
      </c>
      <c r="C18" s="220"/>
    </row>
    <row r="19" spans="1:3" ht="15.75" thickBot="1">
      <c r="A19" s="204" t="s">
        <v>191</v>
      </c>
      <c r="B19" s="205">
        <f>(B16+B17)*(1-B18)</f>
        <v>2.3693970893970896E-2</v>
      </c>
      <c r="C19" s="220"/>
    </row>
    <row r="20" spans="1:3">
      <c r="A20" s="219"/>
      <c r="B20" s="219"/>
      <c r="C20" s="220"/>
    </row>
    <row r="21" spans="1:3">
      <c r="A21" s="200" t="s">
        <v>192</v>
      </c>
      <c r="B21" s="200"/>
      <c r="C21" s="222"/>
    </row>
    <row r="22" spans="1:3" ht="15.75" thickBot="1">
      <c r="A22" s="219"/>
      <c r="B22" s="219"/>
      <c r="C22" s="219"/>
    </row>
    <row r="23" spans="1:3">
      <c r="A23" s="223" t="s">
        <v>188</v>
      </c>
      <c r="B23" s="232">
        <f>B10</f>
        <v>8.8709210963568902E-2</v>
      </c>
      <c r="C23" s="219"/>
    </row>
    <row r="24" spans="1:3">
      <c r="A24" s="225" t="s">
        <v>193</v>
      </c>
      <c r="B24" s="229">
        <f>'DCF &amp; Sensitivity Model'!H268</f>
        <v>29585.253420019999</v>
      </c>
      <c r="C24" s="219"/>
    </row>
    <row r="25" spans="1:3">
      <c r="A25" s="225" t="s">
        <v>190</v>
      </c>
      <c r="B25" s="226">
        <f>B19</f>
        <v>2.3693970893970896E-2</v>
      </c>
      <c r="C25" s="219"/>
    </row>
    <row r="26" spans="1:3">
      <c r="A26" s="225" t="s">
        <v>194</v>
      </c>
      <c r="B26" s="229">
        <f>B15</f>
        <v>12025</v>
      </c>
      <c r="C26" s="219"/>
    </row>
    <row r="27" spans="1:3" ht="15.75" thickBot="1">
      <c r="A27" s="204" t="s">
        <v>192</v>
      </c>
      <c r="B27" s="205">
        <f>((B23*B24/(B24+B26))+(B25*B26/(B26+B24)))</f>
        <v>6.9920374136615962E-2</v>
      </c>
      <c r="C27" s="219"/>
    </row>
    <row r="28" spans="1:3">
      <c r="A28" s="219"/>
      <c r="B28" s="219"/>
      <c r="C28" s="219"/>
    </row>
    <row r="29" spans="1:3">
      <c r="A29" s="219"/>
      <c r="B29" s="219"/>
      <c r="C29" s="219"/>
    </row>
  </sheetData>
  <sheetProtection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A3CE-96E4-439E-B146-43A235F33A1A}">
  <dimension ref="A1:Y1282"/>
  <sheetViews>
    <sheetView workbookViewId="0">
      <selection activeCell="J39" sqref="J39"/>
    </sheetView>
  </sheetViews>
  <sheetFormatPr defaultColWidth="8.85546875" defaultRowHeight="15"/>
  <cols>
    <col min="1" max="1" width="13.7109375" style="79" customWidth="1"/>
    <col min="2" max="2" width="12" style="79" bestFit="1" customWidth="1"/>
    <col min="3" max="3" width="10" style="79" bestFit="1" customWidth="1"/>
    <col min="4" max="4" width="15.7109375" style="79" bestFit="1" customWidth="1"/>
    <col min="5" max="5" width="12.7109375" style="79" bestFit="1" customWidth="1"/>
    <col min="6" max="6" width="17.42578125" style="79" customWidth="1"/>
    <col min="7" max="7" width="12" style="79" bestFit="1" customWidth="1"/>
    <col min="8" max="8" width="14.140625" style="79" bestFit="1" customWidth="1"/>
    <col min="9" max="10" width="12" style="79" bestFit="1" customWidth="1"/>
    <col min="11" max="11" width="13" style="79" bestFit="1" customWidth="1"/>
    <col min="12" max="12" width="12" style="79" bestFit="1" customWidth="1"/>
    <col min="13" max="13" width="12.7109375" style="79" bestFit="1" customWidth="1"/>
    <col min="14" max="14" width="12.28515625" style="79" bestFit="1" customWidth="1"/>
    <col min="15" max="16384" width="8.85546875" style="79"/>
  </cols>
  <sheetData>
    <row r="1" spans="1:25">
      <c r="A1" s="140"/>
      <c r="B1" s="134"/>
      <c r="C1" s="134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2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25">
      <c r="A3" s="79" t="s">
        <v>95</v>
      </c>
      <c r="B3" s="79" t="s">
        <v>195</v>
      </c>
      <c r="C3" s="79" t="s">
        <v>196</v>
      </c>
      <c r="D3" s="79" t="s">
        <v>222</v>
      </c>
      <c r="E3" s="79" t="s">
        <v>223</v>
      </c>
      <c r="F3" s="206"/>
      <c r="G3" s="206"/>
      <c r="H3" s="207"/>
      <c r="I3" s="206"/>
      <c r="J3" s="206"/>
      <c r="K3" s="206"/>
      <c r="L3" s="206"/>
      <c r="M3" s="206"/>
      <c r="N3" s="206"/>
      <c r="P3" s="135"/>
      <c r="Q3" s="135"/>
      <c r="R3" s="135"/>
      <c r="S3" s="135"/>
      <c r="T3" s="135"/>
      <c r="U3" s="135"/>
      <c r="V3" s="135"/>
      <c r="W3" s="135"/>
      <c r="X3" s="135"/>
      <c r="Y3" s="135"/>
    </row>
    <row r="4" spans="1:25">
      <c r="A4" s="136">
        <v>44382</v>
      </c>
      <c r="B4" s="79">
        <v>6567.5400390000004</v>
      </c>
      <c r="C4" s="79">
        <v>56.650002000000001</v>
      </c>
      <c r="D4" s="79">
        <f>B4/B5-1</f>
        <v>2.2402700968611189E-3</v>
      </c>
      <c r="E4" s="79">
        <f>C4/C5-1</f>
        <v>4.2546002481829159E-3</v>
      </c>
      <c r="F4" s="196" t="s">
        <v>197</v>
      </c>
      <c r="G4" s="196"/>
      <c r="H4" s="207"/>
      <c r="I4" s="196"/>
      <c r="J4" s="196"/>
      <c r="K4" s="196"/>
      <c r="L4" s="196"/>
      <c r="M4" s="196"/>
      <c r="N4" s="196"/>
      <c r="P4" s="135"/>
      <c r="Q4" s="135"/>
      <c r="R4" s="135"/>
      <c r="S4" s="135"/>
      <c r="T4" s="135"/>
      <c r="U4" s="135"/>
      <c r="V4" s="135"/>
      <c r="W4" s="135"/>
      <c r="X4" s="135"/>
      <c r="Y4" s="135"/>
    </row>
    <row r="5" spans="1:25" ht="15.75" thickBot="1">
      <c r="A5" s="136">
        <v>44379</v>
      </c>
      <c r="B5" s="79">
        <v>6552.8598629999997</v>
      </c>
      <c r="C5" s="79">
        <v>56.41</v>
      </c>
      <c r="D5" s="79">
        <f t="shared" ref="D5:D68" si="0">B5/B6-1</f>
        <v>-1.4647351098751038E-4</v>
      </c>
      <c r="E5" s="79">
        <f t="shared" ref="E5:E68" si="1">C5/C6-1</f>
        <v>-2.4756675946183693E-3</v>
      </c>
      <c r="F5" s="196"/>
      <c r="G5" s="196"/>
      <c r="H5" s="196"/>
      <c r="I5" s="196"/>
      <c r="J5" s="196"/>
      <c r="K5" s="196"/>
      <c r="L5" s="196"/>
      <c r="M5" s="196"/>
      <c r="N5" s="196"/>
      <c r="P5" s="135"/>
      <c r="Q5" s="135"/>
      <c r="R5" s="135"/>
      <c r="S5" s="135"/>
      <c r="T5" s="135"/>
      <c r="U5" s="135"/>
      <c r="V5" s="135"/>
      <c r="W5" s="135"/>
      <c r="X5" s="135"/>
      <c r="Y5" s="135"/>
    </row>
    <row r="6" spans="1:25">
      <c r="A6" s="136">
        <v>44378</v>
      </c>
      <c r="B6" s="79">
        <v>6553.8198240000002</v>
      </c>
      <c r="C6" s="79">
        <v>56.549999</v>
      </c>
      <c r="D6" s="79">
        <f t="shared" si="0"/>
        <v>7.0668326383429569E-3</v>
      </c>
      <c r="E6" s="79">
        <f t="shared" si="1"/>
        <v>1.8185055488205704E-2</v>
      </c>
      <c r="F6" s="208" t="s">
        <v>198</v>
      </c>
      <c r="G6" s="208"/>
      <c r="H6" s="196"/>
      <c r="I6" s="196"/>
      <c r="J6" s="196"/>
      <c r="K6" s="196"/>
      <c r="L6" s="196"/>
      <c r="M6" s="196"/>
      <c r="N6" s="196"/>
      <c r="P6" s="135"/>
      <c r="Q6" s="135"/>
      <c r="R6" s="135"/>
      <c r="S6" s="135"/>
      <c r="T6" s="135"/>
      <c r="U6" s="135"/>
      <c r="V6" s="135"/>
      <c r="W6" s="135"/>
      <c r="X6" s="135"/>
      <c r="Y6" s="135"/>
    </row>
    <row r="7" spans="1:25">
      <c r="A7" s="136">
        <v>44377</v>
      </c>
      <c r="B7" s="79">
        <v>6507.830078</v>
      </c>
      <c r="C7" s="79">
        <v>55.540000999999997</v>
      </c>
      <c r="D7" s="79">
        <f t="shared" si="0"/>
        <v>-9.0751018895948166E-3</v>
      </c>
      <c r="E7" s="79">
        <f t="shared" si="1"/>
        <v>-1.768659324926436E-2</v>
      </c>
      <c r="F7" s="209" t="s">
        <v>199</v>
      </c>
      <c r="G7" s="209">
        <v>0.75190544752535626</v>
      </c>
      <c r="H7" s="196"/>
      <c r="I7" s="196"/>
      <c r="J7" s="196"/>
      <c r="K7" s="196"/>
      <c r="L7" s="196"/>
      <c r="M7" s="196"/>
      <c r="N7" s="196"/>
      <c r="P7" s="137"/>
      <c r="Q7" s="137"/>
      <c r="R7" s="135"/>
      <c r="S7" s="135"/>
      <c r="T7" s="135"/>
      <c r="U7" s="135"/>
      <c r="V7" s="135"/>
      <c r="W7" s="135"/>
      <c r="X7" s="135"/>
      <c r="Y7" s="135"/>
    </row>
    <row r="8" spans="1:25">
      <c r="A8" s="136">
        <v>44376</v>
      </c>
      <c r="B8" s="79">
        <v>6567.4301759999998</v>
      </c>
      <c r="C8" s="79">
        <v>56.540000999999997</v>
      </c>
      <c r="D8" s="79">
        <f t="shared" si="0"/>
        <v>1.4349080928850455E-3</v>
      </c>
      <c r="E8" s="79">
        <f t="shared" si="1"/>
        <v>2.2608066149248263E-2</v>
      </c>
      <c r="F8" s="209" t="s">
        <v>200</v>
      </c>
      <c r="G8" s="209">
        <v>0.56536180201830633</v>
      </c>
      <c r="H8" s="196"/>
      <c r="I8" s="196"/>
      <c r="J8" s="196"/>
      <c r="K8" s="196"/>
      <c r="L8" s="196"/>
      <c r="M8" s="196"/>
      <c r="N8" s="196"/>
      <c r="P8" s="138"/>
      <c r="Q8" s="138"/>
      <c r="R8" s="135"/>
      <c r="S8" s="135"/>
      <c r="T8" s="135"/>
      <c r="U8" s="135"/>
      <c r="V8" s="135"/>
      <c r="W8" s="135"/>
      <c r="X8" s="135"/>
      <c r="Y8" s="135"/>
    </row>
    <row r="9" spans="1:25">
      <c r="A9" s="136">
        <v>44375</v>
      </c>
      <c r="B9" s="79">
        <v>6558.0200199999999</v>
      </c>
      <c r="C9" s="79">
        <v>55.290000999999997</v>
      </c>
      <c r="D9" s="79">
        <f t="shared" si="0"/>
        <v>-9.7918418834063159E-3</v>
      </c>
      <c r="E9" s="79">
        <f t="shared" si="1"/>
        <v>-1.3735283379677443E-2</v>
      </c>
      <c r="F9" s="209" t="s">
        <v>201</v>
      </c>
      <c r="G9" s="209">
        <v>0.56502117647129879</v>
      </c>
      <c r="H9" s="196"/>
      <c r="I9" s="196"/>
      <c r="J9" s="196"/>
      <c r="K9" s="196"/>
      <c r="L9" s="196"/>
      <c r="M9" s="196"/>
      <c r="N9" s="196"/>
      <c r="P9" s="138"/>
      <c r="Q9" s="138"/>
      <c r="R9" s="135"/>
      <c r="S9" s="135"/>
      <c r="T9" s="135"/>
      <c r="U9" s="135"/>
      <c r="V9" s="135"/>
      <c r="W9" s="135"/>
      <c r="X9" s="135"/>
      <c r="Y9" s="135"/>
    </row>
    <row r="10" spans="1:25">
      <c r="A10" s="136">
        <v>44372</v>
      </c>
      <c r="B10" s="79">
        <v>6622.8701170000004</v>
      </c>
      <c r="C10" s="79">
        <v>56.060001</v>
      </c>
      <c r="D10" s="79">
        <f t="shared" si="0"/>
        <v>-1.248619790287453E-3</v>
      </c>
      <c r="E10" s="79">
        <f t="shared" si="1"/>
        <v>-2.313543376286642E-3</v>
      </c>
      <c r="F10" s="209" t="s">
        <v>202</v>
      </c>
      <c r="G10" s="209">
        <v>1.1879680538496673E-2</v>
      </c>
      <c r="H10" s="196"/>
      <c r="I10" s="196"/>
      <c r="J10" s="196"/>
      <c r="K10" s="196"/>
      <c r="L10" s="196"/>
      <c r="M10" s="196"/>
      <c r="N10" s="196"/>
      <c r="P10" s="138"/>
      <c r="Q10" s="138"/>
      <c r="R10" s="135"/>
      <c r="S10" s="135"/>
      <c r="T10" s="135"/>
      <c r="U10" s="135"/>
      <c r="V10" s="135"/>
      <c r="W10" s="135"/>
      <c r="X10" s="135"/>
      <c r="Y10" s="135"/>
    </row>
    <row r="11" spans="1:25" ht="15.75" thickBot="1">
      <c r="A11" s="136">
        <v>44371</v>
      </c>
      <c r="B11" s="79">
        <v>6631.1499020000001</v>
      </c>
      <c r="C11" s="79">
        <v>56.189999</v>
      </c>
      <c r="D11" s="79">
        <f t="shared" si="0"/>
        <v>1.2223969542596747E-2</v>
      </c>
      <c r="E11" s="79">
        <f t="shared" si="1"/>
        <v>4.6486500983371482E-3</v>
      </c>
      <c r="F11" s="210" t="s">
        <v>203</v>
      </c>
      <c r="G11" s="210">
        <v>1278</v>
      </c>
      <c r="H11" s="196"/>
      <c r="I11" s="196"/>
      <c r="J11" s="196"/>
      <c r="K11" s="196"/>
      <c r="L11" s="196"/>
      <c r="M11" s="196"/>
      <c r="N11" s="196"/>
      <c r="P11" s="138"/>
      <c r="Q11" s="138"/>
      <c r="R11" s="135"/>
      <c r="S11" s="135"/>
      <c r="T11" s="135"/>
      <c r="U11" s="135"/>
      <c r="V11" s="135"/>
      <c r="W11" s="135"/>
      <c r="X11" s="135"/>
      <c r="Y11" s="135"/>
    </row>
    <row r="12" spans="1:25">
      <c r="A12" s="136">
        <v>44370</v>
      </c>
      <c r="B12" s="79">
        <v>6551.0698240000002</v>
      </c>
      <c r="C12" s="79">
        <v>55.93</v>
      </c>
      <c r="D12" s="79">
        <f t="shared" si="0"/>
        <v>-9.1401612342131289E-3</v>
      </c>
      <c r="E12" s="79">
        <f t="shared" si="1"/>
        <v>-1.479654747225656E-2</v>
      </c>
      <c r="F12" s="196"/>
      <c r="G12" s="196"/>
      <c r="H12" s="196"/>
      <c r="I12" s="196"/>
      <c r="J12" s="196"/>
      <c r="K12" s="196"/>
      <c r="L12" s="196"/>
      <c r="M12" s="196"/>
      <c r="N12" s="196"/>
      <c r="P12" s="138"/>
      <c r="Q12" s="138"/>
      <c r="R12" s="135"/>
      <c r="S12" s="135"/>
      <c r="T12" s="135"/>
      <c r="U12" s="135"/>
      <c r="V12" s="135"/>
      <c r="W12" s="135"/>
      <c r="X12" s="135"/>
      <c r="Y12" s="135"/>
    </row>
    <row r="13" spans="1:25" ht="15.75" thickBot="1">
      <c r="A13" s="136">
        <v>44369</v>
      </c>
      <c r="B13" s="79">
        <v>6611.5</v>
      </c>
      <c r="C13" s="79">
        <v>56.77</v>
      </c>
      <c r="D13" s="79">
        <f t="shared" si="0"/>
        <v>1.357047582759785E-3</v>
      </c>
      <c r="E13" s="79">
        <f t="shared" si="1"/>
        <v>8.1690462054866408E-3</v>
      </c>
      <c r="F13" s="196" t="s">
        <v>204</v>
      </c>
      <c r="G13" s="196"/>
      <c r="H13" s="196"/>
      <c r="I13" s="196"/>
      <c r="J13" s="196"/>
      <c r="K13" s="196"/>
      <c r="L13" s="196"/>
      <c r="M13" s="196"/>
      <c r="N13" s="196"/>
      <c r="P13" s="135"/>
      <c r="Q13" s="135"/>
      <c r="R13" s="135"/>
      <c r="S13" s="135"/>
      <c r="T13" s="135"/>
      <c r="U13" s="135"/>
      <c r="V13" s="135"/>
      <c r="W13" s="135"/>
      <c r="X13" s="135"/>
      <c r="Y13" s="135"/>
    </row>
    <row r="14" spans="1:25">
      <c r="A14" s="136">
        <v>44368</v>
      </c>
      <c r="B14" s="79">
        <v>6602.5400390000004</v>
      </c>
      <c r="C14" s="79">
        <v>56.310001</v>
      </c>
      <c r="D14" s="79">
        <f t="shared" si="0"/>
        <v>5.0813014460475703E-3</v>
      </c>
      <c r="E14" s="79">
        <f t="shared" si="1"/>
        <v>1.4777418822223165E-2</v>
      </c>
      <c r="F14" s="211"/>
      <c r="G14" s="211" t="s">
        <v>209</v>
      </c>
      <c r="H14" s="211" t="s">
        <v>210</v>
      </c>
      <c r="I14" s="211" t="s">
        <v>211</v>
      </c>
      <c r="J14" s="211" t="s">
        <v>212</v>
      </c>
      <c r="K14" s="211" t="s">
        <v>213</v>
      </c>
      <c r="L14" s="196"/>
      <c r="M14" s="196"/>
      <c r="N14" s="196"/>
      <c r="P14" s="135"/>
      <c r="Q14" s="135"/>
      <c r="R14" s="135"/>
      <c r="S14" s="135"/>
      <c r="T14" s="135"/>
      <c r="U14" s="135"/>
      <c r="V14" s="135"/>
      <c r="W14" s="135"/>
      <c r="X14" s="135"/>
      <c r="Y14" s="135"/>
    </row>
    <row r="15" spans="1:25">
      <c r="A15" s="136">
        <v>44365</v>
      </c>
      <c r="B15" s="79">
        <v>6569.1601559999999</v>
      </c>
      <c r="C15" s="79">
        <v>55.490001999999997</v>
      </c>
      <c r="D15" s="79">
        <f t="shared" si="0"/>
        <v>-1.4565830526922841E-2</v>
      </c>
      <c r="E15" s="79">
        <f t="shared" si="1"/>
        <v>-1.5785721607206149E-2</v>
      </c>
      <c r="F15" s="209" t="s">
        <v>205</v>
      </c>
      <c r="G15" s="209">
        <v>1</v>
      </c>
      <c r="H15" s="209">
        <v>0.23423876495517842</v>
      </c>
      <c r="I15" s="209">
        <v>0.23423876495517842</v>
      </c>
      <c r="J15" s="209">
        <v>1659.7751019705431</v>
      </c>
      <c r="K15" s="209">
        <v>3.9636954859507524E-233</v>
      </c>
      <c r="L15" s="196"/>
      <c r="M15" s="196"/>
      <c r="N15" s="196"/>
      <c r="P15" s="139"/>
      <c r="Q15" s="139"/>
      <c r="R15" s="139"/>
      <c r="S15" s="139"/>
      <c r="T15" s="139"/>
      <c r="U15" s="139"/>
      <c r="V15" s="135"/>
      <c r="W15" s="135"/>
      <c r="X15" s="135"/>
      <c r="Y15" s="135"/>
    </row>
    <row r="16" spans="1:25">
      <c r="A16" s="136">
        <v>44364</v>
      </c>
      <c r="B16" s="79">
        <v>6666.2597660000001</v>
      </c>
      <c r="C16" s="79">
        <v>56.380001</v>
      </c>
      <c r="D16" s="79">
        <f t="shared" si="0"/>
        <v>2.0457808843823422E-3</v>
      </c>
      <c r="E16" s="79">
        <f t="shared" si="1"/>
        <v>-5.3180287183118846E-4</v>
      </c>
      <c r="F16" s="209" t="s">
        <v>206</v>
      </c>
      <c r="G16" s="209">
        <v>1276</v>
      </c>
      <c r="H16" s="209">
        <v>0.1800778091730359</v>
      </c>
      <c r="I16" s="209">
        <v>1.411268096967366E-4</v>
      </c>
      <c r="J16" s="209"/>
      <c r="K16" s="209"/>
      <c r="L16" s="196"/>
      <c r="M16" s="196"/>
      <c r="N16" s="196"/>
      <c r="P16" s="138"/>
      <c r="Q16" s="138"/>
      <c r="R16" s="138"/>
      <c r="S16" s="138"/>
      <c r="T16" s="138"/>
      <c r="U16" s="138"/>
      <c r="V16" s="135"/>
      <c r="W16" s="135"/>
      <c r="X16" s="135"/>
      <c r="Y16" s="135"/>
    </row>
    <row r="17" spans="1:25" ht="15.75" thickBot="1">
      <c r="A17" s="136">
        <v>44363</v>
      </c>
      <c r="B17" s="79">
        <v>6652.6499020000001</v>
      </c>
      <c r="C17" s="79">
        <v>56.41</v>
      </c>
      <c r="D17" s="79">
        <f t="shared" si="0"/>
        <v>1.9775348158375117E-3</v>
      </c>
      <c r="E17" s="79">
        <f t="shared" si="1"/>
        <v>-3.8848842683227858E-3</v>
      </c>
      <c r="F17" s="210" t="s">
        <v>207</v>
      </c>
      <c r="G17" s="210">
        <v>1277</v>
      </c>
      <c r="H17" s="210">
        <v>0.41431657412821432</v>
      </c>
      <c r="I17" s="210"/>
      <c r="J17" s="210"/>
      <c r="K17" s="210"/>
      <c r="L17" s="196"/>
      <c r="M17" s="196"/>
      <c r="N17" s="196"/>
      <c r="P17" s="138"/>
      <c r="Q17" s="138"/>
      <c r="R17" s="138"/>
      <c r="S17" s="138"/>
      <c r="T17" s="138"/>
      <c r="U17" s="138"/>
      <c r="V17" s="135"/>
      <c r="W17" s="135"/>
      <c r="X17" s="135"/>
      <c r="Y17" s="135"/>
    </row>
    <row r="18" spans="1:25" ht="15.75" thickBot="1">
      <c r="A18" s="136">
        <v>44362</v>
      </c>
      <c r="B18" s="79">
        <v>6639.5200199999999</v>
      </c>
      <c r="C18" s="79">
        <v>56.630001</v>
      </c>
      <c r="D18" s="79">
        <f t="shared" si="0"/>
        <v>3.5019189820386654E-3</v>
      </c>
      <c r="E18" s="79">
        <f t="shared" si="1"/>
        <v>-1.9386851625419199E-3</v>
      </c>
      <c r="F18" s="196"/>
      <c r="G18" s="196"/>
      <c r="H18" s="196"/>
      <c r="I18" s="196"/>
      <c r="J18" s="196"/>
      <c r="K18" s="196"/>
      <c r="L18" s="196"/>
      <c r="M18" s="196"/>
      <c r="N18" s="196"/>
      <c r="P18" s="138"/>
      <c r="Q18" s="138"/>
      <c r="R18" s="138"/>
      <c r="S18" s="138"/>
      <c r="T18" s="138"/>
      <c r="U18" s="138"/>
      <c r="V18" s="135"/>
      <c r="W18" s="135"/>
      <c r="X18" s="135"/>
      <c r="Y18" s="135"/>
    </row>
    <row r="19" spans="1:25">
      <c r="A19" s="136">
        <v>44361</v>
      </c>
      <c r="B19" s="79">
        <v>6616.3500979999999</v>
      </c>
      <c r="C19" s="79">
        <v>56.740001999999997</v>
      </c>
      <c r="D19" s="79">
        <f t="shared" si="0"/>
        <v>2.377026180591546E-3</v>
      </c>
      <c r="E19" s="79">
        <f t="shared" si="1"/>
        <v>-3.5229035772699202E-4</v>
      </c>
      <c r="F19" s="211"/>
      <c r="G19" s="211" t="s">
        <v>214</v>
      </c>
      <c r="H19" s="211" t="s">
        <v>202</v>
      </c>
      <c r="I19" s="211" t="s">
        <v>215</v>
      </c>
      <c r="J19" s="211" t="s">
        <v>216</v>
      </c>
      <c r="K19" s="211" t="s">
        <v>217</v>
      </c>
      <c r="L19" s="211" t="s">
        <v>218</v>
      </c>
      <c r="M19" s="211" t="s">
        <v>219</v>
      </c>
      <c r="N19" s="211" t="s">
        <v>220</v>
      </c>
      <c r="P19" s="135"/>
      <c r="Q19" s="135"/>
      <c r="R19" s="135"/>
      <c r="S19" s="135"/>
      <c r="T19" s="135"/>
      <c r="U19" s="135"/>
      <c r="V19" s="135"/>
      <c r="W19" s="135"/>
      <c r="X19" s="135"/>
      <c r="Y19" s="135"/>
    </row>
    <row r="20" spans="1:25">
      <c r="A20" s="136">
        <v>44358</v>
      </c>
      <c r="B20" s="79">
        <v>6600.6601559999999</v>
      </c>
      <c r="C20" s="79">
        <v>56.759998000000003</v>
      </c>
      <c r="D20" s="79">
        <f t="shared" si="0"/>
        <v>8.2746510059179545E-3</v>
      </c>
      <c r="E20" s="79">
        <f t="shared" si="1"/>
        <v>2.1186264498345153E-3</v>
      </c>
      <c r="F20" s="209" t="s">
        <v>208</v>
      </c>
      <c r="G20" s="209">
        <v>2.1064765588356058E-4</v>
      </c>
      <c r="H20" s="209">
        <v>3.3254691185524791E-4</v>
      </c>
      <c r="I20" s="209">
        <v>0.63343741401288955</v>
      </c>
      <c r="J20" s="209">
        <v>0.52656155524104364</v>
      </c>
      <c r="K20" s="209">
        <v>-4.4175114491793854E-4</v>
      </c>
      <c r="L20" s="209">
        <v>8.6304645668505969E-4</v>
      </c>
      <c r="M20" s="209">
        <v>-4.4175114491793854E-4</v>
      </c>
      <c r="N20" s="209">
        <v>8.6304645668505969E-4</v>
      </c>
      <c r="P20" s="139"/>
      <c r="Q20" s="139"/>
      <c r="R20" s="139"/>
      <c r="S20" s="139"/>
      <c r="T20" s="139"/>
      <c r="U20" s="139"/>
      <c r="V20" s="139"/>
      <c r="W20" s="139"/>
      <c r="X20" s="139"/>
      <c r="Y20" s="135"/>
    </row>
    <row r="21" spans="1:25" ht="15.75" thickBot="1">
      <c r="A21" s="136">
        <v>44357</v>
      </c>
      <c r="B21" s="79">
        <v>6546.4902339999999</v>
      </c>
      <c r="C21" s="79">
        <v>56.639999000000003</v>
      </c>
      <c r="D21" s="79">
        <f t="shared" si="0"/>
        <v>-2.5840008678545967E-3</v>
      </c>
      <c r="E21" s="79">
        <f t="shared" si="1"/>
        <v>-5.6179776267201165E-3</v>
      </c>
      <c r="F21" s="210" t="s">
        <v>221</v>
      </c>
      <c r="G21" s="212">
        <v>1.1730220769492761</v>
      </c>
      <c r="H21" s="210">
        <v>2.8792645031880584E-2</v>
      </c>
      <c r="I21" s="210">
        <v>40.740337528922765</v>
      </c>
      <c r="J21" s="210">
        <v>3.9636954859421854E-233</v>
      </c>
      <c r="K21" s="210">
        <v>1.1165359499667509</v>
      </c>
      <c r="L21" s="210">
        <v>1.2295082039318013</v>
      </c>
      <c r="M21" s="210">
        <v>1.1165359499667509</v>
      </c>
      <c r="N21" s="210">
        <v>1.2295082039318013</v>
      </c>
      <c r="P21" s="138"/>
      <c r="Q21" s="138"/>
      <c r="R21" s="138"/>
      <c r="S21" s="138"/>
      <c r="T21" s="138"/>
      <c r="U21" s="138"/>
      <c r="V21" s="138"/>
      <c r="W21" s="138"/>
      <c r="X21" s="138"/>
      <c r="Y21" s="135"/>
    </row>
    <row r="22" spans="1:25">
      <c r="A22" s="136">
        <v>44356</v>
      </c>
      <c r="B22" s="79">
        <v>6563.4501950000003</v>
      </c>
      <c r="C22" s="79">
        <v>56.959999000000003</v>
      </c>
      <c r="D22" s="79">
        <f t="shared" si="0"/>
        <v>1.8990093808997077E-3</v>
      </c>
      <c r="E22" s="79">
        <f t="shared" si="1"/>
        <v>-1.2824991112218465E-2</v>
      </c>
      <c r="F22" s="206"/>
      <c r="G22" s="206"/>
      <c r="H22" s="206"/>
      <c r="I22" s="206"/>
      <c r="J22" s="206"/>
      <c r="K22" s="206"/>
      <c r="L22" s="206"/>
      <c r="M22" s="206"/>
      <c r="N22" s="206"/>
      <c r="P22" s="138"/>
      <c r="Q22" s="138"/>
      <c r="R22" s="138"/>
      <c r="S22" s="138"/>
      <c r="T22" s="138"/>
      <c r="U22" s="138"/>
      <c r="V22" s="138"/>
      <c r="W22" s="138"/>
      <c r="X22" s="138"/>
      <c r="Y22" s="135"/>
    </row>
    <row r="23" spans="1:25">
      <c r="A23" s="136">
        <v>44355</v>
      </c>
      <c r="B23" s="79">
        <v>6551.0097660000001</v>
      </c>
      <c r="C23" s="79">
        <v>57.700001</v>
      </c>
      <c r="D23" s="79">
        <f t="shared" si="0"/>
        <v>1.1384791967721242E-3</v>
      </c>
      <c r="E23" s="79">
        <f t="shared" si="1"/>
        <v>4.0020879762991957E-3</v>
      </c>
      <c r="P23" s="135"/>
      <c r="Q23" s="135"/>
      <c r="R23" s="135"/>
      <c r="S23" s="135"/>
      <c r="T23" s="135"/>
      <c r="U23" s="135"/>
      <c r="V23" s="135"/>
      <c r="W23" s="135"/>
      <c r="X23" s="135"/>
      <c r="Y23" s="135"/>
    </row>
    <row r="24" spans="1:25">
      <c r="A24" s="136">
        <v>44354</v>
      </c>
      <c r="B24" s="79">
        <v>6543.5600590000004</v>
      </c>
      <c r="C24" s="79">
        <v>57.470001000000003</v>
      </c>
      <c r="D24" s="79">
        <f t="shared" si="0"/>
        <v>4.2819763971742031E-3</v>
      </c>
      <c r="E24" s="79">
        <f t="shared" si="1"/>
        <v>9.4853504303531455E-3</v>
      </c>
      <c r="P24" s="135"/>
      <c r="Q24" s="135"/>
      <c r="R24" s="135"/>
      <c r="S24" s="135"/>
      <c r="T24" s="135"/>
      <c r="U24" s="135"/>
      <c r="V24" s="135"/>
      <c r="W24" s="135"/>
      <c r="X24" s="135"/>
      <c r="Y24" s="135"/>
    </row>
    <row r="25" spans="1:25">
      <c r="A25" s="136">
        <v>44351</v>
      </c>
      <c r="B25" s="79">
        <v>6515.6601559999999</v>
      </c>
      <c r="C25" s="79">
        <v>56.93</v>
      </c>
      <c r="D25" s="79">
        <f t="shared" si="0"/>
        <v>1.1893560604263609E-3</v>
      </c>
      <c r="E25" s="79">
        <f t="shared" si="1"/>
        <v>9.7053380796046085E-3</v>
      </c>
      <c r="P25" s="135"/>
      <c r="Q25" s="135"/>
      <c r="R25" s="135"/>
      <c r="S25" s="135"/>
      <c r="T25" s="135"/>
      <c r="U25" s="135"/>
      <c r="V25" s="135"/>
      <c r="W25" s="135"/>
      <c r="X25" s="135"/>
      <c r="Y25" s="135"/>
    </row>
    <row r="26" spans="1:25">
      <c r="A26" s="136">
        <v>44350</v>
      </c>
      <c r="B26" s="79">
        <v>6507.919922</v>
      </c>
      <c r="C26" s="79">
        <v>56.382786000000003</v>
      </c>
      <c r="D26" s="79">
        <f t="shared" si="0"/>
        <v>-2.0854184236637208E-3</v>
      </c>
      <c r="E26" s="79">
        <f t="shared" si="1"/>
        <v>4.1892370370776977E-2</v>
      </c>
    </row>
    <row r="27" spans="1:25">
      <c r="A27" s="136">
        <v>44349</v>
      </c>
      <c r="B27" s="79">
        <v>6521.5200199999999</v>
      </c>
      <c r="C27" s="79">
        <v>54.115749000000001</v>
      </c>
      <c r="D27" s="79">
        <f t="shared" si="0"/>
        <v>4.9496283916947714E-3</v>
      </c>
      <c r="E27" s="79">
        <f t="shared" si="1"/>
        <v>-7.7046818912837045E-3</v>
      </c>
    </row>
    <row r="28" spans="1:25">
      <c r="A28" s="136">
        <v>44348</v>
      </c>
      <c r="B28" s="79">
        <v>6489.3999020000001</v>
      </c>
      <c r="C28" s="79">
        <v>54.535930999999998</v>
      </c>
      <c r="D28" s="79">
        <f t="shared" si="0"/>
        <v>6.5501577453226378E-3</v>
      </c>
      <c r="E28" s="79">
        <f t="shared" si="1"/>
        <v>1.8059110114481136E-2</v>
      </c>
    </row>
    <row r="29" spans="1:25">
      <c r="A29" s="136">
        <v>44347</v>
      </c>
      <c r="B29" s="79">
        <v>6447.169922</v>
      </c>
      <c r="C29" s="79">
        <v>53.568531</v>
      </c>
      <c r="D29" s="79">
        <f t="shared" si="0"/>
        <v>-5.6969949276751697E-3</v>
      </c>
      <c r="E29" s="79">
        <f t="shared" si="1"/>
        <v>-5.8034128622092007E-3</v>
      </c>
    </row>
    <row r="30" spans="1:25">
      <c r="A30" s="136">
        <v>44344</v>
      </c>
      <c r="B30" s="79">
        <v>6484.1098629999997</v>
      </c>
      <c r="C30" s="79">
        <v>53.881225999999998</v>
      </c>
      <c r="D30" s="79">
        <f t="shared" si="0"/>
        <v>7.5205225675645249E-3</v>
      </c>
      <c r="E30" s="79">
        <f t="shared" si="1"/>
        <v>9.8901760051579579E-3</v>
      </c>
    </row>
    <row r="31" spans="1:25">
      <c r="A31" s="136">
        <v>44343</v>
      </c>
      <c r="B31" s="79">
        <v>6435.7099609999996</v>
      </c>
      <c r="C31" s="79">
        <v>53.353549999999998</v>
      </c>
      <c r="D31" s="79">
        <f t="shared" si="0"/>
        <v>6.9012238443706408E-3</v>
      </c>
      <c r="E31" s="79">
        <f t="shared" si="1"/>
        <v>-6.188620746968243E-3</v>
      </c>
    </row>
    <row r="32" spans="1:25">
      <c r="A32" s="136">
        <v>44342</v>
      </c>
      <c r="B32" s="79">
        <v>6391.6000979999999</v>
      </c>
      <c r="C32" s="79">
        <v>53.685791000000002</v>
      </c>
      <c r="D32" s="79">
        <f t="shared" si="0"/>
        <v>2.0814112640588078E-4</v>
      </c>
      <c r="E32" s="79">
        <f t="shared" si="1"/>
        <v>-1.6354452596606395E-3</v>
      </c>
    </row>
    <row r="33" spans="1:5">
      <c r="A33" s="136">
        <v>44341</v>
      </c>
      <c r="B33" s="79">
        <v>6390.2700199999999</v>
      </c>
      <c r="C33" s="79">
        <v>53.773735000000002</v>
      </c>
      <c r="D33" s="79">
        <f t="shared" si="0"/>
        <v>-2.8431367349728287E-3</v>
      </c>
      <c r="E33" s="79">
        <f t="shared" si="1"/>
        <v>-1.9949620300027116E-3</v>
      </c>
    </row>
    <row r="34" spans="1:5">
      <c r="A34" s="136">
        <v>44340</v>
      </c>
      <c r="B34" s="79">
        <v>6408.4902339999999</v>
      </c>
      <c r="C34" s="79">
        <v>53.881225999999998</v>
      </c>
      <c r="D34" s="79">
        <f t="shared" si="0"/>
        <v>3.4573535774642394E-3</v>
      </c>
      <c r="E34" s="79">
        <f t="shared" si="1"/>
        <v>1.0892822379180434E-3</v>
      </c>
    </row>
    <row r="35" spans="1:5">
      <c r="A35" s="136">
        <v>44337</v>
      </c>
      <c r="B35" s="79">
        <v>6386.4101559999999</v>
      </c>
      <c r="C35" s="79">
        <v>53.822597999999999</v>
      </c>
      <c r="D35" s="79">
        <f t="shared" si="0"/>
        <v>6.7517202389448805E-3</v>
      </c>
      <c r="E35" s="79">
        <f t="shared" si="1"/>
        <v>1.1198872081081612E-2</v>
      </c>
    </row>
    <row r="36" spans="1:5">
      <c r="A36" s="136">
        <v>44336</v>
      </c>
      <c r="B36" s="79">
        <v>6343.580078</v>
      </c>
      <c r="C36" s="79">
        <v>53.226520999999998</v>
      </c>
      <c r="D36" s="79">
        <f t="shared" si="0"/>
        <v>1.2938862847095667E-2</v>
      </c>
      <c r="E36" s="79">
        <f t="shared" si="1"/>
        <v>1.8130857360853625E-2</v>
      </c>
    </row>
    <row r="37" spans="1:5">
      <c r="A37" s="136">
        <v>44335</v>
      </c>
      <c r="B37" s="79">
        <v>6262.5498049999997</v>
      </c>
      <c r="C37" s="79">
        <v>52.278663999999999</v>
      </c>
      <c r="D37" s="79">
        <f t="shared" si="0"/>
        <v>-1.434133628574108E-2</v>
      </c>
      <c r="E37" s="79">
        <f t="shared" si="1"/>
        <v>-1.9428197239068412E-2</v>
      </c>
    </row>
    <row r="38" spans="1:5">
      <c r="A38" s="136">
        <v>44334</v>
      </c>
      <c r="B38" s="79">
        <v>6353.669922</v>
      </c>
      <c r="C38" s="79">
        <v>53.314467999999998</v>
      </c>
      <c r="D38" s="79">
        <f t="shared" si="0"/>
        <v>-2.1484881134927747E-3</v>
      </c>
      <c r="E38" s="79">
        <f t="shared" si="1"/>
        <v>-2.5593965763694992E-3</v>
      </c>
    </row>
    <row r="39" spans="1:5">
      <c r="A39" s="136">
        <v>44333</v>
      </c>
      <c r="B39" s="79">
        <v>6367.3500979999999</v>
      </c>
      <c r="C39" s="79">
        <v>53.451270999999998</v>
      </c>
      <c r="D39" s="79">
        <f t="shared" si="0"/>
        <v>-2.78616265552456E-3</v>
      </c>
      <c r="E39" s="79">
        <f t="shared" si="1"/>
        <v>-1.6363947064450879E-2</v>
      </c>
    </row>
    <row r="40" spans="1:5">
      <c r="A40" s="136">
        <v>44330</v>
      </c>
      <c r="B40" s="79">
        <v>6385.1401370000003</v>
      </c>
      <c r="C40" s="79">
        <v>54.340496000000002</v>
      </c>
      <c r="D40" s="79">
        <f t="shared" si="0"/>
        <v>1.5395193604530233E-2</v>
      </c>
      <c r="E40" s="79">
        <f t="shared" si="1"/>
        <v>1.5893256280196999E-2</v>
      </c>
    </row>
    <row r="41" spans="1:5">
      <c r="A41" s="136">
        <v>44329</v>
      </c>
      <c r="B41" s="79">
        <v>6288.330078</v>
      </c>
      <c r="C41" s="79">
        <v>53.490360000000003</v>
      </c>
      <c r="D41" s="79">
        <f t="shared" si="0"/>
        <v>1.4300811166525484E-3</v>
      </c>
      <c r="E41" s="79">
        <f t="shared" si="1"/>
        <v>-4.3651287347782342E-3</v>
      </c>
    </row>
    <row r="42" spans="1:5">
      <c r="A42" s="136">
        <v>44328</v>
      </c>
      <c r="B42" s="79">
        <v>6279.3500979999999</v>
      </c>
      <c r="C42" s="79">
        <v>53.724876000000002</v>
      </c>
      <c r="D42" s="79">
        <f t="shared" si="0"/>
        <v>1.9082841084669955E-3</v>
      </c>
      <c r="E42" s="79">
        <f t="shared" si="1"/>
        <v>1.8220803513324668E-3</v>
      </c>
    </row>
    <row r="43" spans="1:5">
      <c r="A43" s="136">
        <v>44327</v>
      </c>
      <c r="B43" s="79">
        <v>6267.3901370000003</v>
      </c>
      <c r="C43" s="79">
        <v>53.627163000000003</v>
      </c>
      <c r="D43" s="79">
        <f t="shared" si="0"/>
        <v>-1.8571919569897566E-2</v>
      </c>
      <c r="E43" s="79">
        <f t="shared" si="1"/>
        <v>-2.0349869233628248E-2</v>
      </c>
    </row>
    <row r="44" spans="1:5">
      <c r="A44" s="136">
        <v>44326</v>
      </c>
      <c r="B44" s="79">
        <v>6385.9902339999999</v>
      </c>
      <c r="C44" s="79">
        <v>54.741137999999999</v>
      </c>
      <c r="D44" s="79">
        <f t="shared" si="0"/>
        <v>7.5243483700804248E-5</v>
      </c>
      <c r="E44" s="79">
        <f t="shared" si="1"/>
        <v>-6.3852127055603614E-3</v>
      </c>
    </row>
    <row r="45" spans="1:5">
      <c r="A45" s="136">
        <v>44323</v>
      </c>
      <c r="B45" s="79">
        <v>6385.5097660000001</v>
      </c>
      <c r="C45" s="79">
        <v>55.092917999999997</v>
      </c>
      <c r="D45" s="79">
        <f t="shared" si="0"/>
        <v>4.4705868089662815E-3</v>
      </c>
      <c r="E45" s="79">
        <f t="shared" si="1"/>
        <v>3.3814294078780005E-3</v>
      </c>
    </row>
    <row r="46" spans="1:5">
      <c r="A46" s="136">
        <v>44322</v>
      </c>
      <c r="B46" s="79">
        <v>6357.0898440000001</v>
      </c>
      <c r="C46" s="79">
        <v>54.907252999999997</v>
      </c>
      <c r="D46" s="79">
        <f t="shared" si="0"/>
        <v>2.7793535425577609E-3</v>
      </c>
      <c r="E46" s="79">
        <f t="shared" si="1"/>
        <v>8.7970363437175347E-3</v>
      </c>
    </row>
    <row r="47" spans="1:5">
      <c r="A47" s="136">
        <v>44321</v>
      </c>
      <c r="B47" s="79">
        <v>6339.4702150000003</v>
      </c>
      <c r="C47" s="79">
        <v>54.428443999999999</v>
      </c>
      <c r="D47" s="79">
        <f t="shared" si="0"/>
        <v>1.4031305634422342E-2</v>
      </c>
      <c r="E47" s="79">
        <f t="shared" si="1"/>
        <v>4.9359438651648491E-2</v>
      </c>
    </row>
    <row r="48" spans="1:5">
      <c r="A48" s="136">
        <v>44320</v>
      </c>
      <c r="B48" s="79">
        <v>6251.75</v>
      </c>
      <c r="C48" s="79">
        <v>51.868256000000002</v>
      </c>
      <c r="D48" s="79">
        <f t="shared" si="0"/>
        <v>-8.9015207711519162E-3</v>
      </c>
      <c r="E48" s="79">
        <f t="shared" si="1"/>
        <v>5.8745865511848905E-3</v>
      </c>
    </row>
    <row r="49" spans="1:5">
      <c r="A49" s="136">
        <v>44319</v>
      </c>
      <c r="B49" s="79">
        <v>6307.8999020000001</v>
      </c>
      <c r="C49" s="79">
        <v>51.565331</v>
      </c>
      <c r="D49" s="79">
        <f t="shared" si="0"/>
        <v>6.1280875164386739E-3</v>
      </c>
      <c r="E49" s="79">
        <f t="shared" si="1"/>
        <v>5.1428520747787143E-3</v>
      </c>
    </row>
    <row r="50" spans="1:5">
      <c r="A50" s="136">
        <v>44316</v>
      </c>
      <c r="B50" s="79">
        <v>6269.4799800000001</v>
      </c>
      <c r="C50" s="79">
        <v>51.301495000000003</v>
      </c>
      <c r="D50" s="79">
        <f t="shared" si="0"/>
        <v>-5.2502145829459446E-3</v>
      </c>
      <c r="E50" s="79">
        <f t="shared" si="1"/>
        <v>1.2536194646969978E-2</v>
      </c>
    </row>
    <row r="51" spans="1:5">
      <c r="A51" s="136">
        <v>44315</v>
      </c>
      <c r="B51" s="79">
        <v>6302.5698240000002</v>
      </c>
      <c r="C51" s="79">
        <v>50.666331999999997</v>
      </c>
      <c r="D51" s="79">
        <f t="shared" si="0"/>
        <v>-6.9925003947768349E-4</v>
      </c>
      <c r="E51" s="79">
        <f t="shared" si="1"/>
        <v>-1.6688758646298374E-2</v>
      </c>
    </row>
    <row r="52" spans="1:5">
      <c r="A52" s="136">
        <v>44314</v>
      </c>
      <c r="B52" s="79">
        <v>6306.9799800000001</v>
      </c>
      <c r="C52" s="79">
        <v>51.526240999999999</v>
      </c>
      <c r="D52" s="79">
        <f t="shared" si="0"/>
        <v>5.295104568720177E-3</v>
      </c>
      <c r="E52" s="79">
        <f t="shared" si="1"/>
        <v>9.4911584763335277E-4</v>
      </c>
    </row>
    <row r="53" spans="1:5">
      <c r="A53" s="136">
        <v>44313</v>
      </c>
      <c r="B53" s="79">
        <v>6273.7597660000001</v>
      </c>
      <c r="C53" s="79">
        <v>51.477383000000003</v>
      </c>
      <c r="D53" s="79">
        <f t="shared" si="0"/>
        <v>-2.8049532060925308E-4</v>
      </c>
      <c r="E53" s="79">
        <f t="shared" si="1"/>
        <v>-1.1376898272013047E-3</v>
      </c>
    </row>
    <row r="54" spans="1:5">
      <c r="A54" s="136">
        <v>44312</v>
      </c>
      <c r="B54" s="79">
        <v>6275.5200199999999</v>
      </c>
      <c r="C54" s="79">
        <v>51.536014999999999</v>
      </c>
      <c r="D54" s="79">
        <f t="shared" si="0"/>
        <v>2.8092438031916966E-3</v>
      </c>
      <c r="E54" s="79">
        <f t="shared" si="1"/>
        <v>-4.342091930055525E-3</v>
      </c>
    </row>
    <row r="55" spans="1:5">
      <c r="A55" s="136">
        <v>44309</v>
      </c>
      <c r="B55" s="79">
        <v>6257.9399409999996</v>
      </c>
      <c r="C55" s="79">
        <v>51.760764999999999</v>
      </c>
      <c r="D55" s="79">
        <f t="shared" si="0"/>
        <v>-1.4902548346977795E-3</v>
      </c>
      <c r="E55" s="79">
        <f t="shared" si="1"/>
        <v>1.8915068186844408E-3</v>
      </c>
    </row>
    <row r="56" spans="1:5">
      <c r="A56" s="136">
        <v>44308</v>
      </c>
      <c r="B56" s="79">
        <v>6267.2797849999997</v>
      </c>
      <c r="C56" s="79">
        <v>51.663043999999999</v>
      </c>
      <c r="D56" s="79">
        <f t="shared" si="0"/>
        <v>9.1344537571098616E-3</v>
      </c>
      <c r="E56" s="79">
        <f t="shared" si="1"/>
        <v>1.3223374544998112E-2</v>
      </c>
    </row>
    <row r="57" spans="1:5">
      <c r="A57" s="136">
        <v>44307</v>
      </c>
      <c r="B57" s="79">
        <v>6210.5498049999997</v>
      </c>
      <c r="C57" s="79">
        <v>50.988799999999998</v>
      </c>
      <c r="D57" s="79">
        <f t="shared" si="0"/>
        <v>7.3704999602210997E-3</v>
      </c>
      <c r="E57" s="79">
        <f t="shared" si="1"/>
        <v>-3.4376834272887846E-3</v>
      </c>
    </row>
    <row r="58" spans="1:5">
      <c r="A58" s="136">
        <v>44306</v>
      </c>
      <c r="B58" s="79">
        <v>6165.1098629999997</v>
      </c>
      <c r="C58" s="79">
        <v>51.164687999999998</v>
      </c>
      <c r="D58" s="79">
        <f t="shared" si="0"/>
        <v>-2.0896705925320336E-2</v>
      </c>
      <c r="E58" s="79">
        <f t="shared" si="1"/>
        <v>-1.3564520079487608E-2</v>
      </c>
    </row>
    <row r="59" spans="1:5">
      <c r="A59" s="136">
        <v>44305</v>
      </c>
      <c r="B59" s="79">
        <v>6296.6899409999996</v>
      </c>
      <c r="C59" s="79">
        <v>51.868256000000002</v>
      </c>
      <c r="D59" s="79">
        <f t="shared" si="0"/>
        <v>1.5301431778722563E-3</v>
      </c>
      <c r="E59" s="79">
        <f t="shared" si="1"/>
        <v>-2.6305518205554934E-3</v>
      </c>
    </row>
    <row r="60" spans="1:5">
      <c r="A60" s="136">
        <v>44302</v>
      </c>
      <c r="B60" s="79">
        <v>6287.0698240000002</v>
      </c>
      <c r="C60" s="79">
        <v>52.005057999999998</v>
      </c>
      <c r="D60" s="79">
        <f t="shared" si="0"/>
        <v>8.4902947057379219E-3</v>
      </c>
      <c r="E60" s="79">
        <f t="shared" si="1"/>
        <v>1.4487283614570856E-2</v>
      </c>
    </row>
    <row r="61" spans="1:5">
      <c r="A61" s="136">
        <v>44301</v>
      </c>
      <c r="B61" s="79">
        <v>6234.1401370000003</v>
      </c>
      <c r="C61" s="79">
        <v>51.262405000000001</v>
      </c>
      <c r="D61" s="79">
        <f t="shared" si="0"/>
        <v>4.1168928609895961E-3</v>
      </c>
      <c r="E61" s="79">
        <f t="shared" si="1"/>
        <v>-2.4719865106914707E-3</v>
      </c>
    </row>
    <row r="62" spans="1:5">
      <c r="A62" s="136">
        <v>44300</v>
      </c>
      <c r="B62" s="79">
        <v>6208.580078</v>
      </c>
      <c r="C62" s="79">
        <v>51.389439000000003</v>
      </c>
      <c r="D62" s="79">
        <f t="shared" si="0"/>
        <v>3.9585355366282826E-3</v>
      </c>
      <c r="E62" s="79">
        <f t="shared" si="1"/>
        <v>-2.2765970694412774E-3</v>
      </c>
    </row>
    <row r="63" spans="1:5">
      <c r="A63" s="136">
        <v>44299</v>
      </c>
      <c r="B63" s="79">
        <v>6184.1000979999999</v>
      </c>
      <c r="C63" s="79">
        <v>51.506698999999998</v>
      </c>
      <c r="D63" s="79">
        <f t="shared" si="0"/>
        <v>3.6386052764190158E-3</v>
      </c>
      <c r="E63" s="79">
        <f t="shared" si="1"/>
        <v>1.6586300346352223E-2</v>
      </c>
    </row>
    <row r="64" spans="1:5">
      <c r="A64" s="136">
        <v>44298</v>
      </c>
      <c r="B64" s="79">
        <v>6161.6801759999998</v>
      </c>
      <c r="C64" s="79">
        <v>50.666331999999997</v>
      </c>
      <c r="D64" s="79">
        <f t="shared" si="0"/>
        <v>-1.2529528438763871E-3</v>
      </c>
      <c r="E64" s="79">
        <f t="shared" si="1"/>
        <v>-1.9285223282261565E-4</v>
      </c>
    </row>
    <row r="65" spans="1:5">
      <c r="A65" s="136">
        <v>44295</v>
      </c>
      <c r="B65" s="79">
        <v>6169.4101559999999</v>
      </c>
      <c r="C65" s="79">
        <v>50.676105</v>
      </c>
      <c r="D65" s="79">
        <f t="shared" si="0"/>
        <v>5.9846066174440438E-4</v>
      </c>
      <c r="E65" s="79">
        <f t="shared" si="1"/>
        <v>1.2495105964118514E-2</v>
      </c>
    </row>
    <row r="66" spans="1:5">
      <c r="A66" s="136">
        <v>44294</v>
      </c>
      <c r="B66" s="79">
        <v>6165.7202150000003</v>
      </c>
      <c r="C66" s="79">
        <v>50.050716000000001</v>
      </c>
      <c r="D66" s="79">
        <f t="shared" si="0"/>
        <v>5.7188064756268364E-3</v>
      </c>
      <c r="E66" s="79">
        <f t="shared" si="1"/>
        <v>2.3483855602777215E-3</v>
      </c>
    </row>
    <row r="67" spans="1:5">
      <c r="A67" s="136">
        <v>44293</v>
      </c>
      <c r="B67" s="79">
        <v>6130.6601559999999</v>
      </c>
      <c r="C67" s="79">
        <v>49.933453</v>
      </c>
      <c r="D67" s="79">
        <f t="shared" si="0"/>
        <v>-1.1085472625782522E-4</v>
      </c>
      <c r="E67" s="79">
        <f t="shared" si="1"/>
        <v>1.1755028714386384E-3</v>
      </c>
    </row>
    <row r="68" spans="1:5">
      <c r="A68" s="136">
        <v>44292</v>
      </c>
      <c r="B68" s="79">
        <v>6131.3398440000001</v>
      </c>
      <c r="C68" s="79">
        <v>49.874825000000001</v>
      </c>
      <c r="D68" s="79">
        <f t="shared" si="0"/>
        <v>4.6501833833676454E-3</v>
      </c>
      <c r="E68" s="79">
        <f t="shared" si="1"/>
        <v>8.8950568864061275E-3</v>
      </c>
    </row>
    <row r="69" spans="1:5">
      <c r="A69" s="136">
        <v>44287</v>
      </c>
      <c r="B69" s="79">
        <v>6102.9599609999996</v>
      </c>
      <c r="C69" s="79">
        <v>49.435096999999999</v>
      </c>
      <c r="D69" s="79">
        <f t="shared" ref="D69:D132" si="2">B69/B70-1</f>
        <v>5.8890104904181229E-3</v>
      </c>
      <c r="E69" s="79">
        <f t="shared" ref="E69:E132" si="3">C69/C70-1</f>
        <v>5.3656545436164826E-3</v>
      </c>
    </row>
    <row r="70" spans="1:5">
      <c r="A70" s="136">
        <v>44286</v>
      </c>
      <c r="B70" s="79">
        <v>6067.2299800000001</v>
      </c>
      <c r="C70" s="79">
        <v>49.171261000000001</v>
      </c>
      <c r="D70" s="79">
        <f t="shared" si="2"/>
        <v>-3.4181869479653626E-3</v>
      </c>
      <c r="E70" s="79">
        <f t="shared" si="3"/>
        <v>-1.986755455312772E-2</v>
      </c>
    </row>
    <row r="71" spans="1:5">
      <c r="A71" s="136">
        <v>44285</v>
      </c>
      <c r="B71" s="79">
        <v>6088.0400390000004</v>
      </c>
      <c r="C71" s="79">
        <v>50.167976000000003</v>
      </c>
      <c r="D71" s="79">
        <f t="shared" si="2"/>
        <v>1.2057211412064506E-2</v>
      </c>
      <c r="E71" s="79">
        <f t="shared" si="3"/>
        <v>1.824681796702321E-2</v>
      </c>
    </row>
    <row r="72" spans="1:5">
      <c r="A72" s="136">
        <v>44284</v>
      </c>
      <c r="B72" s="79">
        <v>6015.5097660000001</v>
      </c>
      <c r="C72" s="79">
        <v>49.268974</v>
      </c>
      <c r="D72" s="79">
        <f t="shared" si="2"/>
        <v>4.4582657885225974E-3</v>
      </c>
      <c r="E72" s="79">
        <f t="shared" si="3"/>
        <v>-6.3067456396641575E-3</v>
      </c>
    </row>
    <row r="73" spans="1:5">
      <c r="A73" s="136">
        <v>44281</v>
      </c>
      <c r="B73" s="79">
        <v>5988.8100590000004</v>
      </c>
      <c r="C73" s="79">
        <v>49.581673000000002</v>
      </c>
      <c r="D73" s="79">
        <f t="shared" si="2"/>
        <v>6.1151537017840596E-3</v>
      </c>
      <c r="E73" s="79">
        <f t="shared" si="3"/>
        <v>2.7333526043383349E-2</v>
      </c>
    </row>
    <row r="74" spans="1:5">
      <c r="A74" s="136">
        <v>44280</v>
      </c>
      <c r="B74" s="79">
        <v>5952.4101559999999</v>
      </c>
      <c r="C74" s="79">
        <v>48.262489000000002</v>
      </c>
      <c r="D74" s="79">
        <f t="shared" si="2"/>
        <v>8.6091597457382818E-4</v>
      </c>
      <c r="E74" s="79">
        <f t="shared" si="3"/>
        <v>1.6223120222991216E-3</v>
      </c>
    </row>
    <row r="75" spans="1:5">
      <c r="A75" s="136">
        <v>44279</v>
      </c>
      <c r="B75" s="79">
        <v>5947.2900390000004</v>
      </c>
      <c r="C75" s="79">
        <v>48.184319000000002</v>
      </c>
      <c r="D75" s="79">
        <f t="shared" si="2"/>
        <v>3.3475755054901413E-4</v>
      </c>
      <c r="E75" s="79">
        <f t="shared" si="3"/>
        <v>1.2110014437133776E-2</v>
      </c>
    </row>
    <row r="76" spans="1:5">
      <c r="A76" s="136">
        <v>44278</v>
      </c>
      <c r="B76" s="79">
        <v>5945.2998049999997</v>
      </c>
      <c r="C76" s="79">
        <v>47.607787999999999</v>
      </c>
      <c r="D76" s="79">
        <f t="shared" si="2"/>
        <v>-3.8837652262679878E-3</v>
      </c>
      <c r="E76" s="79">
        <f t="shared" si="3"/>
        <v>4.1073170973615625E-4</v>
      </c>
    </row>
    <row r="77" spans="1:5">
      <c r="A77" s="136">
        <v>44277</v>
      </c>
      <c r="B77" s="79">
        <v>5968.4799800000001</v>
      </c>
      <c r="C77" s="79">
        <v>47.588242000000001</v>
      </c>
      <c r="D77" s="79">
        <f t="shared" si="2"/>
        <v>-4.9150012990557546E-3</v>
      </c>
      <c r="E77" s="79">
        <f t="shared" si="3"/>
        <v>2.4700772482391109E-3</v>
      </c>
    </row>
    <row r="78" spans="1:5">
      <c r="A78" s="136">
        <v>44274</v>
      </c>
      <c r="B78" s="79">
        <v>5997.9599609999996</v>
      </c>
      <c r="C78" s="79">
        <v>47.470984999999999</v>
      </c>
      <c r="D78" s="79">
        <f t="shared" si="2"/>
        <v>-1.0693109539167578E-2</v>
      </c>
      <c r="E78" s="79">
        <f t="shared" si="3"/>
        <v>-1.4004378294680042E-2</v>
      </c>
    </row>
    <row r="79" spans="1:5">
      <c r="A79" s="136">
        <v>44273</v>
      </c>
      <c r="B79" s="79">
        <v>6062.7900390000004</v>
      </c>
      <c r="C79" s="79">
        <v>48.145229</v>
      </c>
      <c r="D79" s="79">
        <f t="shared" si="2"/>
        <v>1.3163422251489809E-3</v>
      </c>
      <c r="E79" s="79">
        <f t="shared" si="3"/>
        <v>1.9027930503070056E-2</v>
      </c>
    </row>
    <row r="80" spans="1:5">
      <c r="A80" s="136">
        <v>44272</v>
      </c>
      <c r="B80" s="79">
        <v>6054.8198240000002</v>
      </c>
      <c r="C80" s="79">
        <v>47.246231000000002</v>
      </c>
      <c r="D80" s="79">
        <f t="shared" si="2"/>
        <v>-1.0079416032549027E-4</v>
      </c>
      <c r="E80" s="79">
        <f t="shared" si="3"/>
        <v>5.4064966740841047E-3</v>
      </c>
    </row>
    <row r="81" spans="1:5">
      <c r="A81" s="136">
        <v>44271</v>
      </c>
      <c r="B81" s="79">
        <v>6055.4301759999998</v>
      </c>
      <c r="C81" s="79">
        <v>46.992167999999999</v>
      </c>
      <c r="D81" s="79">
        <f t="shared" si="2"/>
        <v>3.2239988447324563E-3</v>
      </c>
      <c r="E81" s="79">
        <f t="shared" si="3"/>
        <v>-5.7886706774334939E-3</v>
      </c>
    </row>
    <row r="82" spans="1:5">
      <c r="A82" s="136">
        <v>44270</v>
      </c>
      <c r="B82" s="79">
        <v>6035.9702150000003</v>
      </c>
      <c r="C82" s="79">
        <v>47.265774</v>
      </c>
      <c r="D82" s="79">
        <f t="shared" si="2"/>
        <v>-1.7496903757000526E-3</v>
      </c>
      <c r="E82" s="79">
        <f t="shared" si="3"/>
        <v>-1.8465891775846455E-2</v>
      </c>
    </row>
    <row r="83" spans="1:5">
      <c r="A83" s="136">
        <v>44267</v>
      </c>
      <c r="B83" s="79">
        <v>6046.5498049999997</v>
      </c>
      <c r="C83" s="79">
        <v>48.154998999999997</v>
      </c>
      <c r="D83" s="79">
        <f t="shared" si="2"/>
        <v>2.1197461443644983E-3</v>
      </c>
      <c r="E83" s="79">
        <f t="shared" si="3"/>
        <v>1.3574638823388607E-2</v>
      </c>
    </row>
    <row r="84" spans="1:5">
      <c r="A84" s="136">
        <v>44266</v>
      </c>
      <c r="B84" s="79">
        <v>6033.7597660000001</v>
      </c>
      <c r="C84" s="79">
        <v>47.510066999999999</v>
      </c>
      <c r="D84" s="79">
        <f t="shared" si="2"/>
        <v>7.2130209090215391E-3</v>
      </c>
      <c r="E84" s="79">
        <f t="shared" si="3"/>
        <v>-8.5645213550956667E-3</v>
      </c>
    </row>
    <row r="85" spans="1:5">
      <c r="A85" s="136">
        <v>44265</v>
      </c>
      <c r="B85" s="79">
        <v>5990.5498049999997</v>
      </c>
      <c r="C85" s="79">
        <v>47.920482999999997</v>
      </c>
      <c r="D85" s="79">
        <f t="shared" si="2"/>
        <v>1.1068340872663729E-2</v>
      </c>
      <c r="E85" s="79">
        <f t="shared" si="3"/>
        <v>2.9171057029204084E-2</v>
      </c>
    </row>
    <row r="86" spans="1:5">
      <c r="A86" s="136">
        <v>44264</v>
      </c>
      <c r="B86" s="79">
        <v>5924.9702150000003</v>
      </c>
      <c r="C86" s="79">
        <v>46.562213999999997</v>
      </c>
      <c r="D86" s="79">
        <f t="shared" si="2"/>
        <v>3.7235333498266687E-3</v>
      </c>
      <c r="E86" s="79">
        <f t="shared" si="3"/>
        <v>-1.7120416275306694E-2</v>
      </c>
    </row>
    <row r="87" spans="1:5">
      <c r="A87" s="136">
        <v>44263</v>
      </c>
      <c r="B87" s="79">
        <v>5902.9902339999999</v>
      </c>
      <c r="C87" s="79">
        <v>47.373263999999999</v>
      </c>
      <c r="D87" s="79">
        <f t="shared" si="2"/>
        <v>2.0810585810906224E-2</v>
      </c>
      <c r="E87" s="79">
        <f t="shared" si="3"/>
        <v>4.6406210095673028E-2</v>
      </c>
    </row>
    <row r="88" spans="1:5">
      <c r="A88" s="136">
        <v>44260</v>
      </c>
      <c r="B88" s="79">
        <v>5782.6499020000001</v>
      </c>
      <c r="C88" s="79">
        <v>45.272345999999999</v>
      </c>
      <c r="D88" s="79">
        <f t="shared" si="2"/>
        <v>-8.2323584517628445E-3</v>
      </c>
      <c r="E88" s="79">
        <f t="shared" si="3"/>
        <v>1.7297363031674173E-3</v>
      </c>
    </row>
    <row r="89" spans="1:5">
      <c r="A89" s="136">
        <v>44259</v>
      </c>
      <c r="B89" s="79">
        <v>5830.6499020000001</v>
      </c>
      <c r="C89" s="79">
        <v>45.194172000000002</v>
      </c>
      <c r="D89" s="79">
        <f t="shared" si="2"/>
        <v>1.011727141797536E-4</v>
      </c>
      <c r="E89" s="79">
        <f t="shared" si="3"/>
        <v>-4.3230242644498595E-4</v>
      </c>
    </row>
    <row r="90" spans="1:5">
      <c r="A90" s="136">
        <v>44258</v>
      </c>
      <c r="B90" s="79">
        <v>5830.0600590000004</v>
      </c>
      <c r="C90" s="79">
        <v>45.213718</v>
      </c>
      <c r="D90" s="79">
        <f t="shared" si="2"/>
        <v>3.499315642893297E-3</v>
      </c>
      <c r="E90" s="79">
        <f t="shared" si="3"/>
        <v>3.954175819579997E-2</v>
      </c>
    </row>
    <row r="91" spans="1:5">
      <c r="A91" s="136">
        <v>44257</v>
      </c>
      <c r="B91" s="79">
        <v>5809.7299800000001</v>
      </c>
      <c r="C91" s="79">
        <v>43.493893</v>
      </c>
      <c r="D91" s="79">
        <f t="shared" si="2"/>
        <v>2.9243146887685256E-3</v>
      </c>
      <c r="E91" s="79">
        <f t="shared" si="3"/>
        <v>4.2869910802867395E-3</v>
      </c>
    </row>
    <row r="92" spans="1:5">
      <c r="A92" s="136">
        <v>44256</v>
      </c>
      <c r="B92" s="79">
        <v>5792.7900390000004</v>
      </c>
      <c r="C92" s="79">
        <v>43.308230999999999</v>
      </c>
      <c r="D92" s="79">
        <f t="shared" si="2"/>
        <v>1.5705131596430943E-2</v>
      </c>
      <c r="E92" s="79">
        <f t="shared" si="3"/>
        <v>-2.2512582319073049E-3</v>
      </c>
    </row>
    <row r="93" spans="1:5">
      <c r="A93" s="136">
        <v>44253</v>
      </c>
      <c r="B93" s="79">
        <v>5703.2202150000003</v>
      </c>
      <c r="C93" s="79">
        <v>43.405949</v>
      </c>
      <c r="D93" s="79">
        <f t="shared" si="2"/>
        <v>-1.3947346870222921E-2</v>
      </c>
      <c r="E93" s="79">
        <f t="shared" si="3"/>
        <v>3.086560988765763E-2</v>
      </c>
    </row>
    <row r="94" spans="1:5">
      <c r="A94" s="136">
        <v>44252</v>
      </c>
      <c r="B94" s="79">
        <v>5783.8901370000003</v>
      </c>
      <c r="C94" s="79">
        <v>42.106312000000003</v>
      </c>
      <c r="D94" s="79">
        <f t="shared" si="2"/>
        <v>-2.4301296397369887E-3</v>
      </c>
      <c r="E94" s="79">
        <f t="shared" si="3"/>
        <v>-7.3715541566438114E-3</v>
      </c>
    </row>
    <row r="95" spans="1:5">
      <c r="A95" s="136">
        <v>44251</v>
      </c>
      <c r="B95" s="79">
        <v>5797.9799800000001</v>
      </c>
      <c r="C95" s="79">
        <v>42.419006000000003</v>
      </c>
      <c r="D95" s="79">
        <f t="shared" si="2"/>
        <v>3.1385187980306206E-3</v>
      </c>
      <c r="E95" s="79">
        <f t="shared" si="3"/>
        <v>1.2832496859417564E-2</v>
      </c>
    </row>
    <row r="96" spans="1:5">
      <c r="A96" s="136">
        <v>44250</v>
      </c>
      <c r="B96" s="79">
        <v>5779.8398440000001</v>
      </c>
      <c r="C96" s="79">
        <v>41.881560999999998</v>
      </c>
      <c r="D96" s="79">
        <f t="shared" si="2"/>
        <v>2.1499838969889495E-3</v>
      </c>
      <c r="E96" s="79">
        <f t="shared" si="3"/>
        <v>-4.6446994457495228E-3</v>
      </c>
    </row>
    <row r="97" spans="1:5">
      <c r="A97" s="136">
        <v>44249</v>
      </c>
      <c r="B97" s="79">
        <v>5767.4399409999996</v>
      </c>
      <c r="C97" s="79">
        <v>42.076996000000001</v>
      </c>
      <c r="D97" s="79">
        <f t="shared" si="2"/>
        <v>-1.0582508519644263E-3</v>
      </c>
      <c r="E97" s="79">
        <f t="shared" si="3"/>
        <v>-4.3930271587041547E-3</v>
      </c>
    </row>
    <row r="98" spans="1:5">
      <c r="A98" s="136">
        <v>44246</v>
      </c>
      <c r="B98" s="79">
        <v>5773.5498049999997</v>
      </c>
      <c r="C98" s="79">
        <v>42.262656999999997</v>
      </c>
      <c r="D98" s="79">
        <f t="shared" si="2"/>
        <v>7.8940505145939088E-3</v>
      </c>
      <c r="E98" s="79">
        <f t="shared" si="3"/>
        <v>2.7071873621234754E-2</v>
      </c>
    </row>
    <row r="99" spans="1:5">
      <c r="A99" s="136">
        <v>44245</v>
      </c>
      <c r="B99" s="79">
        <v>5728.330078</v>
      </c>
      <c r="C99" s="79">
        <v>41.148685</v>
      </c>
      <c r="D99" s="79">
        <f t="shared" si="2"/>
        <v>-6.505516458115479E-3</v>
      </c>
      <c r="E99" s="79">
        <f t="shared" si="3"/>
        <v>-4.2562810205859503E-3</v>
      </c>
    </row>
    <row r="100" spans="1:5">
      <c r="A100" s="136">
        <v>44244</v>
      </c>
      <c r="B100" s="79">
        <v>5765.8398440000001</v>
      </c>
      <c r="C100" s="79">
        <v>41.324573999999998</v>
      </c>
      <c r="D100" s="79">
        <f t="shared" si="2"/>
        <v>-3.5755352117313732E-3</v>
      </c>
      <c r="E100" s="79">
        <f t="shared" si="3"/>
        <v>-6.8107647489341616E-3</v>
      </c>
    </row>
    <row r="101" spans="1:5">
      <c r="A101" s="136">
        <v>44243</v>
      </c>
      <c r="B101" s="79">
        <v>5786.5297849999997</v>
      </c>
      <c r="C101" s="79">
        <v>41.607956000000001</v>
      </c>
      <c r="D101" s="79">
        <f t="shared" si="2"/>
        <v>4.8353424065616935E-5</v>
      </c>
      <c r="E101" s="79">
        <f t="shared" si="3"/>
        <v>-5.3725905276125197E-3</v>
      </c>
    </row>
    <row r="102" spans="1:5">
      <c r="A102" s="136">
        <v>44242</v>
      </c>
      <c r="B102" s="79">
        <v>5786.25</v>
      </c>
      <c r="C102" s="79">
        <v>41.832706000000002</v>
      </c>
      <c r="D102" s="79">
        <f t="shared" si="2"/>
        <v>1.4478411115880885E-2</v>
      </c>
      <c r="E102" s="79">
        <f t="shared" si="3"/>
        <v>1.4695517892511667E-2</v>
      </c>
    </row>
    <row r="103" spans="1:5">
      <c r="A103" s="136">
        <v>44239</v>
      </c>
      <c r="B103" s="79">
        <v>5703.669922</v>
      </c>
      <c r="C103" s="79">
        <v>41.226855999999998</v>
      </c>
      <c r="D103" s="79">
        <f t="shared" si="2"/>
        <v>5.9702246368948941E-3</v>
      </c>
      <c r="E103" s="79">
        <f t="shared" si="3"/>
        <v>-4.7181118012039613E-3</v>
      </c>
    </row>
    <row r="104" spans="1:5">
      <c r="A104" s="136">
        <v>44238</v>
      </c>
      <c r="B104" s="79">
        <v>5669.8198240000002</v>
      </c>
      <c r="C104" s="79">
        <v>41.422291000000001</v>
      </c>
      <c r="D104" s="79">
        <f t="shared" si="2"/>
        <v>-1.7281177853178953E-4</v>
      </c>
      <c r="E104" s="79">
        <f t="shared" si="3"/>
        <v>1.1453059001347743E-2</v>
      </c>
    </row>
    <row r="105" spans="1:5">
      <c r="A105" s="136">
        <v>44237</v>
      </c>
      <c r="B105" s="79">
        <v>5670.7998049999997</v>
      </c>
      <c r="C105" s="79">
        <v>40.953251000000002</v>
      </c>
      <c r="D105" s="79">
        <f t="shared" si="2"/>
        <v>-3.644046050433225E-3</v>
      </c>
      <c r="E105" s="79">
        <f t="shared" si="3"/>
        <v>-1.1090124168002147E-2</v>
      </c>
    </row>
    <row r="106" spans="1:5">
      <c r="A106" s="136">
        <v>44236</v>
      </c>
      <c r="B106" s="79">
        <v>5691.5400390000004</v>
      </c>
      <c r="C106" s="79">
        <v>41.412520999999998</v>
      </c>
      <c r="D106" s="79">
        <f t="shared" si="2"/>
        <v>9.6908637632120431E-4</v>
      </c>
      <c r="E106" s="79">
        <f t="shared" si="3"/>
        <v>-1.5563233161361767E-2</v>
      </c>
    </row>
    <row r="107" spans="1:5">
      <c r="A107" s="136">
        <v>44235</v>
      </c>
      <c r="B107" s="79">
        <v>5686.0297849999997</v>
      </c>
      <c r="C107" s="79">
        <v>42.067222999999998</v>
      </c>
      <c r="D107" s="79">
        <f t="shared" si="2"/>
        <v>4.7303039808899161E-3</v>
      </c>
      <c r="E107" s="79">
        <f t="shared" si="3"/>
        <v>1.2941122901659385E-2</v>
      </c>
    </row>
    <row r="108" spans="1:5">
      <c r="A108" s="136">
        <v>44232</v>
      </c>
      <c r="B108" s="79">
        <v>5659.2597660000001</v>
      </c>
      <c r="C108" s="79">
        <v>41.529781</v>
      </c>
      <c r="D108" s="79">
        <f t="shared" si="2"/>
        <v>9.0433030070768972E-3</v>
      </c>
      <c r="E108" s="79">
        <f t="shared" si="3"/>
        <v>-1.5291912004238073E-2</v>
      </c>
    </row>
    <row r="109" spans="1:5">
      <c r="A109" s="136">
        <v>44231</v>
      </c>
      <c r="B109" s="79">
        <v>5608.5400390000004</v>
      </c>
      <c r="C109" s="79">
        <v>42.174712999999997</v>
      </c>
      <c r="D109" s="79">
        <f t="shared" si="2"/>
        <v>8.1772113489104736E-3</v>
      </c>
      <c r="E109" s="79">
        <f t="shared" si="3"/>
        <v>1.3145590432477317E-2</v>
      </c>
    </row>
    <row r="110" spans="1:5">
      <c r="A110" s="136">
        <v>44230</v>
      </c>
      <c r="B110" s="79">
        <v>5563.0498049999997</v>
      </c>
      <c r="C110" s="79">
        <v>41.627495000000003</v>
      </c>
      <c r="D110" s="79">
        <f t="shared" si="2"/>
        <v>-1.0795760191473214E-5</v>
      </c>
      <c r="E110" s="79">
        <f t="shared" si="3"/>
        <v>1.3079588554446797E-2</v>
      </c>
    </row>
    <row r="111" spans="1:5">
      <c r="A111" s="136">
        <v>44229</v>
      </c>
      <c r="B111" s="79">
        <v>5563.1098629999997</v>
      </c>
      <c r="C111" s="79">
        <v>41.090054000000002</v>
      </c>
      <c r="D111" s="79">
        <f t="shared" si="2"/>
        <v>1.8571150951992355E-2</v>
      </c>
      <c r="E111" s="79">
        <f t="shared" si="3"/>
        <v>9.8463701035143014E-3</v>
      </c>
    </row>
    <row r="112" spans="1:5">
      <c r="A112" s="136">
        <v>44228</v>
      </c>
      <c r="B112" s="79">
        <v>5461.6801759999998</v>
      </c>
      <c r="C112" s="79">
        <v>40.689411</v>
      </c>
      <c r="D112" s="79">
        <f t="shared" si="2"/>
        <v>1.1570251101779672E-2</v>
      </c>
      <c r="E112" s="79">
        <f t="shared" si="3"/>
        <v>1.3631813901579859E-2</v>
      </c>
    </row>
    <row r="113" spans="1:5">
      <c r="A113" s="136">
        <v>44225</v>
      </c>
      <c r="B113" s="79">
        <v>5399.2099609999996</v>
      </c>
      <c r="C113" s="79">
        <v>40.142200000000003</v>
      </c>
      <c r="D113" s="79">
        <f t="shared" si="2"/>
        <v>-2.019955622990377E-2</v>
      </c>
      <c r="E113" s="79">
        <f t="shared" si="3"/>
        <v>-1.2737278381934058E-2</v>
      </c>
    </row>
    <row r="114" spans="1:5">
      <c r="A114" s="136">
        <v>44224</v>
      </c>
      <c r="B114" s="79">
        <v>5510.5200199999999</v>
      </c>
      <c r="C114" s="79">
        <v>40.660099000000002</v>
      </c>
      <c r="D114" s="79">
        <f t="shared" si="2"/>
        <v>9.322975208752915E-3</v>
      </c>
      <c r="E114" s="79">
        <f t="shared" si="3"/>
        <v>1.9353249264555838E-2</v>
      </c>
    </row>
    <row r="115" spans="1:5">
      <c r="A115" s="136">
        <v>44223</v>
      </c>
      <c r="B115" s="79">
        <v>5459.6201170000004</v>
      </c>
      <c r="C115" s="79">
        <v>39.888134000000001</v>
      </c>
      <c r="D115" s="79">
        <f t="shared" si="2"/>
        <v>-1.1568692205084052E-2</v>
      </c>
      <c r="E115" s="79">
        <f t="shared" si="3"/>
        <v>-2.6704747577646626E-2</v>
      </c>
    </row>
    <row r="116" spans="1:5">
      <c r="A116" s="136">
        <v>44222</v>
      </c>
      <c r="B116" s="79">
        <v>5523.5200199999999</v>
      </c>
      <c r="C116" s="79">
        <v>40.982562999999999</v>
      </c>
      <c r="D116" s="79">
        <f t="shared" si="2"/>
        <v>9.3488290757168802E-3</v>
      </c>
      <c r="E116" s="79">
        <f t="shared" si="3"/>
        <v>-2.1412932642881355E-3</v>
      </c>
    </row>
    <row r="117" spans="1:5">
      <c r="A117" s="136">
        <v>44221</v>
      </c>
      <c r="B117" s="79">
        <v>5472.3598629999997</v>
      </c>
      <c r="C117" s="79">
        <v>41.070506999999999</v>
      </c>
      <c r="D117" s="79">
        <f t="shared" si="2"/>
        <v>-1.5686458442076834E-2</v>
      </c>
      <c r="E117" s="79">
        <f t="shared" si="3"/>
        <v>-1.338029107924954E-2</v>
      </c>
    </row>
    <row r="118" spans="1:5">
      <c r="A118" s="136">
        <v>44218</v>
      </c>
      <c r="B118" s="79">
        <v>5559.5698240000002</v>
      </c>
      <c r="C118" s="79">
        <v>41.627495000000003</v>
      </c>
      <c r="D118" s="79">
        <f t="shared" si="2"/>
        <v>-5.5842224054588607E-3</v>
      </c>
      <c r="E118" s="79">
        <f t="shared" si="3"/>
        <v>-1.6620584666645066E-2</v>
      </c>
    </row>
    <row r="119" spans="1:5">
      <c r="A119" s="136">
        <v>44217</v>
      </c>
      <c r="B119" s="79">
        <v>5590.7900390000004</v>
      </c>
      <c r="C119" s="79">
        <v>42.331062000000003</v>
      </c>
      <c r="D119" s="79">
        <f t="shared" si="2"/>
        <v>-6.6892251484715892E-3</v>
      </c>
      <c r="E119" s="79">
        <f t="shared" si="3"/>
        <v>1.6185683734935008E-3</v>
      </c>
    </row>
    <row r="120" spans="1:5">
      <c r="A120" s="136">
        <v>44216</v>
      </c>
      <c r="B120" s="79">
        <v>5628.4399409999996</v>
      </c>
      <c r="C120" s="79">
        <v>42.262656999999997</v>
      </c>
      <c r="D120" s="79">
        <f t="shared" si="2"/>
        <v>5.3281222892740399E-3</v>
      </c>
      <c r="E120" s="79">
        <f t="shared" si="3"/>
        <v>1.2643397379919818E-2</v>
      </c>
    </row>
    <row r="121" spans="1:5">
      <c r="A121" s="136">
        <v>44215</v>
      </c>
      <c r="B121" s="79">
        <v>5598.6098629999997</v>
      </c>
      <c r="C121" s="79">
        <v>41.734985000000002</v>
      </c>
      <c r="D121" s="79">
        <f t="shared" si="2"/>
        <v>-3.3219262975718866E-3</v>
      </c>
      <c r="E121" s="79">
        <f t="shared" si="3"/>
        <v>1.4067448361669843E-3</v>
      </c>
    </row>
    <row r="122" spans="1:5">
      <c r="A122" s="136">
        <v>44214</v>
      </c>
      <c r="B122" s="79">
        <v>5617.2700199999999</v>
      </c>
      <c r="C122" s="79">
        <v>41.676357000000003</v>
      </c>
      <c r="D122" s="79">
        <f t="shared" si="2"/>
        <v>9.9436694804388992E-4</v>
      </c>
      <c r="E122" s="79">
        <f t="shared" si="3"/>
        <v>-1.0899731780405042E-2</v>
      </c>
    </row>
    <row r="123" spans="1:5">
      <c r="A123" s="136">
        <v>44211</v>
      </c>
      <c r="B123" s="79">
        <v>5611.6899409999996</v>
      </c>
      <c r="C123" s="79">
        <v>42.135624</v>
      </c>
      <c r="D123" s="79">
        <f t="shared" si="2"/>
        <v>-1.2224693340635473E-2</v>
      </c>
      <c r="E123" s="79">
        <f t="shared" si="3"/>
        <v>-9.1912813792304204E-3</v>
      </c>
    </row>
    <row r="124" spans="1:5">
      <c r="A124" s="136">
        <v>44210</v>
      </c>
      <c r="B124" s="79">
        <v>5681.1401370000003</v>
      </c>
      <c r="C124" s="79">
        <v>42.526496999999999</v>
      </c>
      <c r="D124" s="79">
        <f t="shared" si="2"/>
        <v>3.2617502440397406E-3</v>
      </c>
      <c r="E124" s="79">
        <f t="shared" si="3"/>
        <v>4.5985421207572763E-4</v>
      </c>
    </row>
    <row r="125" spans="1:5">
      <c r="A125" s="136">
        <v>44209</v>
      </c>
      <c r="B125" s="79">
        <v>5662.669922</v>
      </c>
      <c r="C125" s="79">
        <v>42.506950000000003</v>
      </c>
      <c r="D125" s="79">
        <f t="shared" si="2"/>
        <v>2.070389075657042E-3</v>
      </c>
      <c r="E125" s="79">
        <f t="shared" si="3"/>
        <v>1.1627819528830852E-2</v>
      </c>
    </row>
    <row r="126" spans="1:5">
      <c r="A126" s="136">
        <v>44208</v>
      </c>
      <c r="B126" s="79">
        <v>5650.9702150000003</v>
      </c>
      <c r="C126" s="79">
        <v>42.018368000000002</v>
      </c>
      <c r="D126" s="79">
        <f t="shared" si="2"/>
        <v>-2.0238591282895069E-3</v>
      </c>
      <c r="E126" s="79">
        <f t="shared" si="3"/>
        <v>1.6306331426325649E-3</v>
      </c>
    </row>
    <row r="127" spans="1:5">
      <c r="A127" s="136">
        <v>44207</v>
      </c>
      <c r="B127" s="79">
        <v>5662.4301759999998</v>
      </c>
      <c r="C127" s="79">
        <v>41.949962999999997</v>
      </c>
      <c r="D127" s="79">
        <f t="shared" si="2"/>
        <v>-7.7887931604113669E-3</v>
      </c>
      <c r="E127" s="79">
        <f t="shared" si="3"/>
        <v>-1.2422418591165552E-2</v>
      </c>
    </row>
    <row r="128" spans="1:5">
      <c r="A128" s="136">
        <v>44204</v>
      </c>
      <c r="B128" s="79">
        <v>5706.8798829999996</v>
      </c>
      <c r="C128" s="79">
        <v>42.477637999999999</v>
      </c>
      <c r="D128" s="79">
        <f t="shared" si="2"/>
        <v>6.5309989435278215E-3</v>
      </c>
      <c r="E128" s="79">
        <f t="shared" si="3"/>
        <v>2.3305167990496756E-2</v>
      </c>
    </row>
    <row r="129" spans="1:5">
      <c r="A129" s="136">
        <v>44203</v>
      </c>
      <c r="B129" s="79">
        <v>5669.8500979999999</v>
      </c>
      <c r="C129" s="79">
        <v>41.510235000000002</v>
      </c>
      <c r="D129" s="79">
        <f t="shared" si="2"/>
        <v>6.970837800031493E-3</v>
      </c>
      <c r="E129" s="79">
        <f t="shared" si="3"/>
        <v>6.1999926164431951E-2</v>
      </c>
    </row>
    <row r="130" spans="1:5">
      <c r="A130" s="136">
        <v>44202</v>
      </c>
      <c r="B130" s="79">
        <v>5630.6000979999999</v>
      </c>
      <c r="C130" s="79">
        <v>39.086852999999998</v>
      </c>
      <c r="D130" s="79">
        <f t="shared" si="2"/>
        <v>1.1860690586502631E-2</v>
      </c>
      <c r="E130" s="79">
        <f t="shared" si="3"/>
        <v>4.5205110541946869E-2</v>
      </c>
    </row>
    <row r="131" spans="1:5">
      <c r="A131" s="136">
        <v>44201</v>
      </c>
      <c r="B131" s="79">
        <v>5564.6000979999999</v>
      </c>
      <c r="C131" s="79">
        <v>37.396346999999999</v>
      </c>
      <c r="D131" s="79">
        <f t="shared" si="2"/>
        <v>-4.3585681718931735E-3</v>
      </c>
      <c r="E131" s="79">
        <f t="shared" si="3"/>
        <v>-2.606119406484253E-3</v>
      </c>
    </row>
    <row r="132" spans="1:5">
      <c r="A132" s="136">
        <v>44200</v>
      </c>
      <c r="B132" s="79">
        <v>5588.9599609999996</v>
      </c>
      <c r="C132" s="79">
        <v>37.494061000000002</v>
      </c>
      <c r="D132" s="79">
        <f t="shared" si="2"/>
        <v>6.7640120158327655E-3</v>
      </c>
      <c r="E132" s="79">
        <f t="shared" si="3"/>
        <v>2.3199916493661599E-2</v>
      </c>
    </row>
    <row r="133" spans="1:5">
      <c r="A133" s="136">
        <v>44196</v>
      </c>
      <c r="B133" s="79">
        <v>5551.4101559999999</v>
      </c>
      <c r="C133" s="79">
        <v>36.643925000000003</v>
      </c>
      <c r="D133" s="79">
        <f t="shared" ref="D133:D196" si="4">B133/B134-1</f>
        <v>-8.5723314889811775E-3</v>
      </c>
      <c r="E133" s="79">
        <f t="shared" ref="E133:E196" si="5">C133/C134-1</f>
        <v>-1.3936291553834579E-2</v>
      </c>
    </row>
    <row r="134" spans="1:5">
      <c r="A134" s="136">
        <v>44195</v>
      </c>
      <c r="B134" s="79">
        <v>5599.4101559999999</v>
      </c>
      <c r="C134" s="79">
        <v>37.161822999999998</v>
      </c>
      <c r="D134" s="79">
        <f t="shared" si="4"/>
        <v>-2.2060488567755554E-3</v>
      </c>
      <c r="E134" s="79">
        <f t="shared" si="5"/>
        <v>-2.6227105731621014E-3</v>
      </c>
    </row>
    <row r="135" spans="1:5">
      <c r="A135" s="136">
        <v>44194</v>
      </c>
      <c r="B135" s="79">
        <v>5611.7900390000004</v>
      </c>
      <c r="C135" s="79">
        <v>37.259543999999998</v>
      </c>
      <c r="D135" s="79">
        <f t="shared" si="4"/>
        <v>4.1890774231749806E-3</v>
      </c>
      <c r="E135" s="79">
        <f t="shared" si="5"/>
        <v>-5.7365380923646292E-3</v>
      </c>
    </row>
    <row r="136" spans="1:5">
      <c r="A136" s="136">
        <v>44193</v>
      </c>
      <c r="B136" s="79">
        <v>5588.3798829999996</v>
      </c>
      <c r="C136" s="79">
        <v>37.474518000000003</v>
      </c>
      <c r="D136" s="79">
        <f t="shared" si="4"/>
        <v>1.2019195874779509E-2</v>
      </c>
      <c r="E136" s="79">
        <f t="shared" si="5"/>
        <v>2.62242204573222E-2</v>
      </c>
    </row>
    <row r="137" spans="1:5">
      <c r="A137" s="136">
        <v>44189</v>
      </c>
      <c r="B137" s="79">
        <v>5522.0097660000001</v>
      </c>
      <c r="C137" s="79">
        <v>36.516891000000001</v>
      </c>
      <c r="D137" s="79">
        <f t="shared" si="4"/>
        <v>-1.0094956676384159E-3</v>
      </c>
      <c r="E137" s="79">
        <f t="shared" si="5"/>
        <v>-8.490320798066997E-3</v>
      </c>
    </row>
    <row r="138" spans="1:5">
      <c r="A138" s="136">
        <v>44188</v>
      </c>
      <c r="B138" s="79">
        <v>5527.5898440000001</v>
      </c>
      <c r="C138" s="79">
        <v>36.829585999999999</v>
      </c>
      <c r="D138" s="79">
        <f t="shared" si="4"/>
        <v>1.1108750273813417E-2</v>
      </c>
      <c r="E138" s="79">
        <f t="shared" si="5"/>
        <v>1.5944104583840435E-3</v>
      </c>
    </row>
    <row r="139" spans="1:5">
      <c r="A139" s="136">
        <v>44187</v>
      </c>
      <c r="B139" s="79">
        <v>5466.8598629999997</v>
      </c>
      <c r="C139" s="79">
        <v>36.770958</v>
      </c>
      <c r="D139" s="79">
        <f t="shared" si="4"/>
        <v>1.363163107212495E-2</v>
      </c>
      <c r="E139" s="79">
        <f t="shared" si="5"/>
        <v>2.658510600244135E-4</v>
      </c>
    </row>
    <row r="140" spans="1:5">
      <c r="A140" s="136">
        <v>44186</v>
      </c>
      <c r="B140" s="79">
        <v>5393.3398440000001</v>
      </c>
      <c r="C140" s="79">
        <v>36.761184999999998</v>
      </c>
      <c r="D140" s="79">
        <f t="shared" si="4"/>
        <v>-2.4331385097198233E-2</v>
      </c>
      <c r="E140" s="79">
        <f t="shared" si="5"/>
        <v>5.3447556798369433E-3</v>
      </c>
    </row>
    <row r="141" spans="1:5">
      <c r="A141" s="136">
        <v>44183</v>
      </c>
      <c r="B141" s="79">
        <v>5527.8398440000001</v>
      </c>
      <c r="C141" s="79">
        <v>36.565750000000001</v>
      </c>
      <c r="D141" s="79">
        <f t="shared" si="4"/>
        <v>-3.8958956640716691E-3</v>
      </c>
      <c r="E141" s="79">
        <f t="shared" si="5"/>
        <v>-4.2966732331961799E-2</v>
      </c>
    </row>
    <row r="142" spans="1:5">
      <c r="A142" s="136">
        <v>44182</v>
      </c>
      <c r="B142" s="79">
        <v>5549.4599609999996</v>
      </c>
      <c r="C142" s="79">
        <v>38.207397</v>
      </c>
      <c r="D142" s="79">
        <f t="shared" si="4"/>
        <v>3.2081607870959594E-4</v>
      </c>
      <c r="E142" s="79">
        <f t="shared" si="5"/>
        <v>2.5640991999933416E-3</v>
      </c>
    </row>
    <row r="143" spans="1:5">
      <c r="A143" s="136">
        <v>44181</v>
      </c>
      <c r="B143" s="79">
        <v>5547.6801759999998</v>
      </c>
      <c r="C143" s="79">
        <v>38.109679999999997</v>
      </c>
      <c r="D143" s="79">
        <f t="shared" si="4"/>
        <v>3.1408938765975503E-3</v>
      </c>
      <c r="E143" s="79">
        <f t="shared" si="5"/>
        <v>4.8956045507728696E-3</v>
      </c>
    </row>
    <row r="144" spans="1:5">
      <c r="A144" s="136">
        <v>44180</v>
      </c>
      <c r="B144" s="79">
        <v>5530.3100590000004</v>
      </c>
      <c r="C144" s="79">
        <v>37.924019000000001</v>
      </c>
      <c r="D144" s="79">
        <f t="shared" si="4"/>
        <v>4.4686804786531198E-4</v>
      </c>
      <c r="E144" s="79">
        <f t="shared" si="5"/>
        <v>7.0057014858371236E-3</v>
      </c>
    </row>
    <row r="145" spans="1:5">
      <c r="A145" s="136">
        <v>44179</v>
      </c>
      <c r="B145" s="79">
        <v>5527.8398440000001</v>
      </c>
      <c r="C145" s="79">
        <v>37.660183000000004</v>
      </c>
      <c r="D145" s="79">
        <f t="shared" si="4"/>
        <v>3.6840409471341484E-3</v>
      </c>
      <c r="E145" s="79">
        <f t="shared" si="5"/>
        <v>-6.4449644416664231E-3</v>
      </c>
    </row>
    <row r="146" spans="1:5">
      <c r="A146" s="136">
        <v>44176</v>
      </c>
      <c r="B146" s="79">
        <v>5507.5498049999997</v>
      </c>
      <c r="C146" s="79">
        <v>37.904476000000003</v>
      </c>
      <c r="D146" s="79">
        <f t="shared" si="4"/>
        <v>-7.5860815985577812E-3</v>
      </c>
      <c r="E146" s="79">
        <f t="shared" si="5"/>
        <v>-7.1665726947729436E-3</v>
      </c>
    </row>
    <row r="147" spans="1:5">
      <c r="A147" s="136">
        <v>44175</v>
      </c>
      <c r="B147" s="79">
        <v>5549.6499020000001</v>
      </c>
      <c r="C147" s="79">
        <v>38.178082000000003</v>
      </c>
      <c r="D147" s="79">
        <f t="shared" si="4"/>
        <v>5.1021632030567865E-4</v>
      </c>
      <c r="E147" s="79">
        <f t="shared" si="5"/>
        <v>-5.5994750926747772E-3</v>
      </c>
    </row>
    <row r="148" spans="1:5">
      <c r="A148" s="136">
        <v>44174</v>
      </c>
      <c r="B148" s="79">
        <v>5546.8198240000002</v>
      </c>
      <c r="C148" s="79">
        <v>38.393062999999998</v>
      </c>
      <c r="D148" s="79">
        <f t="shared" si="4"/>
        <v>-2.4907247137981869E-3</v>
      </c>
      <c r="E148" s="79">
        <f t="shared" si="5"/>
        <v>1.5294866382651318E-3</v>
      </c>
    </row>
    <row r="149" spans="1:5">
      <c r="A149" s="136">
        <v>44173</v>
      </c>
      <c r="B149" s="79">
        <v>5560.669922</v>
      </c>
      <c r="C149" s="79">
        <v>38.334431000000002</v>
      </c>
      <c r="D149" s="79">
        <f t="shared" si="4"/>
        <v>-2.2804763477127787E-3</v>
      </c>
      <c r="E149" s="79">
        <f t="shared" si="5"/>
        <v>-7.338013402054977E-3</v>
      </c>
    </row>
    <row r="150" spans="1:5">
      <c r="A150" s="136">
        <v>44172</v>
      </c>
      <c r="B150" s="79">
        <v>5573.3798829999996</v>
      </c>
      <c r="C150" s="79">
        <v>38.617809000000001</v>
      </c>
      <c r="D150" s="79">
        <f t="shared" si="4"/>
        <v>-6.3770838050247747E-3</v>
      </c>
      <c r="E150" s="79">
        <f t="shared" si="5"/>
        <v>-1.1258467219784074E-2</v>
      </c>
    </row>
    <row r="151" spans="1:5">
      <c r="A151" s="136">
        <v>44169</v>
      </c>
      <c r="B151" s="79">
        <v>5609.1499020000001</v>
      </c>
      <c r="C151" s="79">
        <v>39.057537000000004</v>
      </c>
      <c r="D151" s="79">
        <f t="shared" si="4"/>
        <v>6.2410823583387565E-3</v>
      </c>
      <c r="E151" s="79">
        <f t="shared" si="5"/>
        <v>6.0407463953664475E-3</v>
      </c>
    </row>
    <row r="152" spans="1:5">
      <c r="A152" s="136">
        <v>44168</v>
      </c>
      <c r="B152" s="79">
        <v>5574.3598629999997</v>
      </c>
      <c r="C152" s="79">
        <v>38.823017</v>
      </c>
      <c r="D152" s="79">
        <f t="shared" si="4"/>
        <v>-1.5493261453127793E-3</v>
      </c>
      <c r="E152" s="79">
        <f t="shared" si="5"/>
        <v>1.2229345835958139E-2</v>
      </c>
    </row>
    <row r="153" spans="1:5">
      <c r="A153" s="136">
        <v>44167</v>
      </c>
      <c r="B153" s="79">
        <v>5583.0097660000001</v>
      </c>
      <c r="C153" s="79">
        <v>38.353973000000003</v>
      </c>
      <c r="D153" s="79">
        <f t="shared" si="4"/>
        <v>2.4538110060534635E-4</v>
      </c>
      <c r="E153" s="79">
        <f t="shared" si="5"/>
        <v>-2.0708653648862319E-2</v>
      </c>
    </row>
    <row r="154" spans="1:5">
      <c r="A154" s="136">
        <v>44166</v>
      </c>
      <c r="B154" s="79">
        <v>5581.6401370000003</v>
      </c>
      <c r="C154" s="79">
        <v>39.165028</v>
      </c>
      <c r="D154" s="79">
        <f t="shared" si="4"/>
        <v>1.1432411453972779E-2</v>
      </c>
      <c r="E154" s="79">
        <f t="shared" si="5"/>
        <v>6.5294455205051616E-3</v>
      </c>
    </row>
    <row r="155" spans="1:5">
      <c r="A155" s="136">
        <v>44165</v>
      </c>
      <c r="B155" s="79">
        <v>5518.5498049999997</v>
      </c>
      <c r="C155" s="79">
        <v>38.910961</v>
      </c>
      <c r="D155" s="79">
        <f t="shared" si="4"/>
        <v>-1.4224331567852078E-2</v>
      </c>
      <c r="E155" s="79">
        <f t="shared" si="5"/>
        <v>-1.1910614222686244E-2</v>
      </c>
    </row>
    <row r="156" spans="1:5">
      <c r="A156" s="136">
        <v>44162</v>
      </c>
      <c r="B156" s="79">
        <v>5598.1801759999998</v>
      </c>
      <c r="C156" s="79">
        <v>39.380001</v>
      </c>
      <c r="D156" s="79">
        <f t="shared" si="4"/>
        <v>5.6388217949816521E-3</v>
      </c>
      <c r="E156" s="79">
        <f t="shared" si="5"/>
        <v>1.5113278312889111E-2</v>
      </c>
    </row>
    <row r="157" spans="1:5">
      <c r="A157" s="136">
        <v>44161</v>
      </c>
      <c r="B157" s="79">
        <v>5566.7900390000004</v>
      </c>
      <c r="C157" s="79">
        <v>38.793700999999999</v>
      </c>
      <c r="D157" s="79">
        <f t="shared" si="4"/>
        <v>-8.0771239129517891E-4</v>
      </c>
      <c r="E157" s="79">
        <f t="shared" si="5"/>
        <v>-7.5000154143900488E-3</v>
      </c>
    </row>
    <row r="158" spans="1:5">
      <c r="A158" s="136">
        <v>44160</v>
      </c>
      <c r="B158" s="79">
        <v>5571.2900390000004</v>
      </c>
      <c r="C158" s="79">
        <v>39.086852999999998</v>
      </c>
      <c r="D158" s="79">
        <f t="shared" si="4"/>
        <v>2.3154272582144309E-3</v>
      </c>
      <c r="E158" s="79">
        <f t="shared" si="5"/>
        <v>-1.4535573024620829E-2</v>
      </c>
    </row>
    <row r="159" spans="1:5">
      <c r="A159" s="136">
        <v>44159</v>
      </c>
      <c r="B159" s="79">
        <v>5558.419922</v>
      </c>
      <c r="C159" s="79">
        <v>39.663383000000003</v>
      </c>
      <c r="D159" s="79">
        <f t="shared" si="4"/>
        <v>1.2066316685177769E-2</v>
      </c>
      <c r="E159" s="79">
        <f t="shared" si="5"/>
        <v>2.3449363910545751E-2</v>
      </c>
    </row>
    <row r="160" spans="1:5">
      <c r="A160" s="136">
        <v>44158</v>
      </c>
      <c r="B160" s="79">
        <v>5492.1499020000001</v>
      </c>
      <c r="C160" s="79">
        <v>38.754612000000002</v>
      </c>
      <c r="D160" s="79">
        <f t="shared" si="4"/>
        <v>-6.8055126772270658E-4</v>
      </c>
      <c r="E160" s="79">
        <f t="shared" si="5"/>
        <v>3.0347832289561172E-3</v>
      </c>
    </row>
    <row r="161" spans="1:5">
      <c r="A161" s="136">
        <v>44155</v>
      </c>
      <c r="B161" s="79">
        <v>5495.8901370000003</v>
      </c>
      <c r="C161" s="79">
        <v>38.637355999999997</v>
      </c>
      <c r="D161" s="79">
        <f t="shared" si="4"/>
        <v>3.8778628070152976E-3</v>
      </c>
      <c r="E161" s="79">
        <f t="shared" si="5"/>
        <v>3.2986739685356703E-3</v>
      </c>
    </row>
    <row r="162" spans="1:5">
      <c r="A162" s="136">
        <v>44154</v>
      </c>
      <c r="B162" s="79">
        <v>5474.6601559999999</v>
      </c>
      <c r="C162" s="79">
        <v>38.510323</v>
      </c>
      <c r="D162" s="79">
        <f t="shared" si="4"/>
        <v>-6.675201208091508E-3</v>
      </c>
      <c r="E162" s="79">
        <f t="shared" si="5"/>
        <v>-9.5500589031147776E-3</v>
      </c>
    </row>
    <row r="163" spans="1:5">
      <c r="A163" s="136">
        <v>44153</v>
      </c>
      <c r="B163" s="79">
        <v>5511.4501950000003</v>
      </c>
      <c r="C163" s="79">
        <v>38.881644999999999</v>
      </c>
      <c r="D163" s="79">
        <f t="shared" si="4"/>
        <v>5.1888008389568974E-3</v>
      </c>
      <c r="E163" s="79">
        <f t="shared" si="5"/>
        <v>3.2778808364795076E-3</v>
      </c>
    </row>
    <row r="164" spans="1:5">
      <c r="A164" s="136">
        <v>44152</v>
      </c>
      <c r="B164" s="79">
        <v>5483</v>
      </c>
      <c r="C164" s="79">
        <v>38.754612000000002</v>
      </c>
      <c r="D164" s="79">
        <f t="shared" si="4"/>
        <v>2.1054669014799465E-3</v>
      </c>
      <c r="E164" s="79">
        <f t="shared" si="5"/>
        <v>3.0347832289561172E-3</v>
      </c>
    </row>
    <row r="165" spans="1:5">
      <c r="A165" s="136">
        <v>44151</v>
      </c>
      <c r="B165" s="79">
        <v>5471.4799800000001</v>
      </c>
      <c r="C165" s="79">
        <v>38.637355999999997</v>
      </c>
      <c r="D165" s="79">
        <f t="shared" si="4"/>
        <v>1.6973439702935078E-2</v>
      </c>
      <c r="E165" s="79">
        <f t="shared" si="5"/>
        <v>3.0442294893791022E-3</v>
      </c>
    </row>
    <row r="166" spans="1:5">
      <c r="A166" s="136">
        <v>44148</v>
      </c>
      <c r="B166" s="79">
        <v>5380.1601559999999</v>
      </c>
      <c r="C166" s="79">
        <v>38.520091999999998</v>
      </c>
      <c r="D166" s="79">
        <f t="shared" si="4"/>
        <v>3.280205680730619E-3</v>
      </c>
      <c r="E166" s="79">
        <f t="shared" si="5"/>
        <v>7.9263062145547014E-3</v>
      </c>
    </row>
    <row r="167" spans="1:5">
      <c r="A167" s="136">
        <v>44147</v>
      </c>
      <c r="B167" s="79">
        <v>5362.5698240000002</v>
      </c>
      <c r="C167" s="79">
        <v>38.217171</v>
      </c>
      <c r="D167" s="79">
        <f t="shared" si="4"/>
        <v>-1.5176666757001023E-2</v>
      </c>
      <c r="E167" s="79">
        <f t="shared" si="5"/>
        <v>-4.8345653258071719E-3</v>
      </c>
    </row>
    <row r="168" spans="1:5">
      <c r="A168" s="136">
        <v>44146</v>
      </c>
      <c r="B168" s="79">
        <v>5445.2099609999996</v>
      </c>
      <c r="C168" s="79">
        <v>38.402831999999997</v>
      </c>
      <c r="D168" s="79">
        <f t="shared" si="4"/>
        <v>4.8422015547098241E-3</v>
      </c>
      <c r="E168" s="79">
        <f t="shared" si="5"/>
        <v>1.0282682819334088E-2</v>
      </c>
    </row>
    <row r="169" spans="1:5">
      <c r="A169" s="136">
        <v>44145</v>
      </c>
      <c r="B169" s="79">
        <v>5418.9702150000003</v>
      </c>
      <c r="C169" s="79">
        <v>38.011966999999999</v>
      </c>
      <c r="D169" s="79">
        <f t="shared" si="4"/>
        <v>1.5488275389395012E-2</v>
      </c>
      <c r="E169" s="79">
        <f t="shared" si="5"/>
        <v>-1.5399811849539091E-3</v>
      </c>
    </row>
    <row r="170" spans="1:5">
      <c r="A170" s="136">
        <v>44144</v>
      </c>
      <c r="B170" s="79">
        <v>5336.3198240000002</v>
      </c>
      <c r="C170" s="79">
        <v>38.070594999999997</v>
      </c>
      <c r="D170" s="79">
        <f t="shared" si="4"/>
        <v>7.5680111160635555E-2</v>
      </c>
      <c r="E170" s="79">
        <f t="shared" si="5"/>
        <v>4.3385151153916057E-2</v>
      </c>
    </row>
    <row r="171" spans="1:5">
      <c r="A171" s="136">
        <v>44141</v>
      </c>
      <c r="B171" s="79">
        <v>4960.8798829999996</v>
      </c>
      <c r="C171" s="79">
        <v>36.487575999999997</v>
      </c>
      <c r="D171" s="79">
        <f t="shared" si="4"/>
        <v>-4.6369173924830642E-3</v>
      </c>
      <c r="E171" s="79">
        <f t="shared" si="5"/>
        <v>5.3850501682994878E-3</v>
      </c>
    </row>
    <row r="172" spans="1:5">
      <c r="A172" s="136">
        <v>44140</v>
      </c>
      <c r="B172" s="79">
        <v>4983.9902339999999</v>
      </c>
      <c r="C172" s="79">
        <v>36.292141000000001</v>
      </c>
      <c r="D172" s="79">
        <f t="shared" si="4"/>
        <v>1.2419662346582427E-2</v>
      </c>
      <c r="E172" s="79">
        <f t="shared" si="5"/>
        <v>2.4834375045622803E-2</v>
      </c>
    </row>
    <row r="173" spans="1:5">
      <c r="A173" s="136">
        <v>44139</v>
      </c>
      <c r="B173" s="79">
        <v>4922.8500979999999</v>
      </c>
      <c r="C173" s="79">
        <v>35.412689</v>
      </c>
      <c r="D173" s="79">
        <f t="shared" si="4"/>
        <v>2.4396536202963892E-2</v>
      </c>
      <c r="E173" s="79">
        <f t="shared" si="5"/>
        <v>9.4707160557681025E-3</v>
      </c>
    </row>
    <row r="174" spans="1:5">
      <c r="A174" s="136">
        <v>44138</v>
      </c>
      <c r="B174" s="79">
        <v>4805.6098629999997</v>
      </c>
      <c r="C174" s="79">
        <v>35.080452000000001</v>
      </c>
      <c r="D174" s="79">
        <f t="shared" si="4"/>
        <v>2.4401259109092299E-2</v>
      </c>
      <c r="E174" s="79">
        <f t="shared" si="5"/>
        <v>2.7181724318401379E-2</v>
      </c>
    </row>
    <row r="175" spans="1:5">
      <c r="A175" s="136">
        <v>44137</v>
      </c>
      <c r="B175" s="79">
        <v>4691.1401370000003</v>
      </c>
      <c r="C175" s="79">
        <v>34.152138000000001</v>
      </c>
      <c r="D175" s="79">
        <f t="shared" si="4"/>
        <v>2.1091605589730777E-2</v>
      </c>
      <c r="E175" s="79">
        <f t="shared" si="5"/>
        <v>4.3283664022350177E-2</v>
      </c>
    </row>
    <row r="176" spans="1:5">
      <c r="A176" s="136">
        <v>44134</v>
      </c>
      <c r="B176" s="79">
        <v>4594.2402339999999</v>
      </c>
      <c r="C176" s="79">
        <v>32.735236999999998</v>
      </c>
      <c r="D176" s="79">
        <f t="shared" si="4"/>
        <v>5.3768242388163578E-3</v>
      </c>
      <c r="E176" s="79">
        <f t="shared" si="5"/>
        <v>4.6874937039251163E-2</v>
      </c>
    </row>
    <row r="177" spans="1:5">
      <c r="A177" s="136">
        <v>44133</v>
      </c>
      <c r="B177" s="79">
        <v>4569.669922</v>
      </c>
      <c r="C177" s="79">
        <v>31.269482</v>
      </c>
      <c r="D177" s="79">
        <f t="shared" si="4"/>
        <v>-3.1725156261086518E-4</v>
      </c>
      <c r="E177" s="79">
        <f t="shared" si="5"/>
        <v>1.0101015974300021E-2</v>
      </c>
    </row>
    <row r="178" spans="1:5">
      <c r="A178" s="136">
        <v>44132</v>
      </c>
      <c r="B178" s="79">
        <v>4571.1201170000004</v>
      </c>
      <c r="C178" s="79">
        <v>30.956786999999998</v>
      </c>
      <c r="D178" s="79">
        <f t="shared" si="4"/>
        <v>-3.3724688254693436E-2</v>
      </c>
      <c r="E178" s="79">
        <f t="shared" si="5"/>
        <v>-4.4343926184576388E-2</v>
      </c>
    </row>
    <row r="179" spans="1:5">
      <c r="A179" s="136">
        <v>44131</v>
      </c>
      <c r="B179" s="79">
        <v>4730.6601559999999</v>
      </c>
      <c r="C179" s="79">
        <v>32.393230000000003</v>
      </c>
      <c r="D179" s="79">
        <f t="shared" si="4"/>
        <v>-1.7744565941854917E-2</v>
      </c>
      <c r="E179" s="79">
        <f t="shared" si="5"/>
        <v>-2.7859185744140702E-2</v>
      </c>
    </row>
    <row r="180" spans="1:5">
      <c r="A180" s="136">
        <v>44130</v>
      </c>
      <c r="B180" s="79">
        <v>4816.1201170000004</v>
      </c>
      <c r="C180" s="79">
        <v>33.321541000000003</v>
      </c>
      <c r="D180" s="79">
        <f t="shared" si="4"/>
        <v>-1.9048243331566184E-2</v>
      </c>
      <c r="E180" s="79">
        <f t="shared" si="5"/>
        <v>-3.5906175904266258E-2</v>
      </c>
    </row>
    <row r="181" spans="1:5">
      <c r="A181" s="136">
        <v>44127</v>
      </c>
      <c r="B181" s="79">
        <v>4909.6401370000003</v>
      </c>
      <c r="C181" s="79">
        <v>34.562550000000002</v>
      </c>
      <c r="D181" s="79">
        <f t="shared" si="4"/>
        <v>1.2009006799107658E-2</v>
      </c>
      <c r="E181" s="79">
        <f t="shared" si="5"/>
        <v>-3.381218063190139E-3</v>
      </c>
    </row>
    <row r="182" spans="1:5">
      <c r="A182" s="136">
        <v>44126</v>
      </c>
      <c r="B182" s="79">
        <v>4851.3798829999996</v>
      </c>
      <c r="C182" s="79">
        <v>34.679810000000003</v>
      </c>
      <c r="D182" s="79">
        <f t="shared" si="4"/>
        <v>-5.2952994916355411E-4</v>
      </c>
      <c r="E182" s="79">
        <f t="shared" si="5"/>
        <v>7.9523457981411916E-3</v>
      </c>
    </row>
    <row r="183" spans="1:5">
      <c r="A183" s="136">
        <v>44125</v>
      </c>
      <c r="B183" s="79">
        <v>4853.9501950000003</v>
      </c>
      <c r="C183" s="79">
        <v>34.406199999999998</v>
      </c>
      <c r="D183" s="79">
        <f t="shared" si="4"/>
        <v>-1.5282068230176415E-2</v>
      </c>
      <c r="E183" s="79">
        <f t="shared" si="5"/>
        <v>-3.771532134236899E-2</v>
      </c>
    </row>
    <row r="184" spans="1:5">
      <c r="A184" s="136">
        <v>44124</v>
      </c>
      <c r="B184" s="79">
        <v>4929.2797849999997</v>
      </c>
      <c r="C184" s="79">
        <v>35.7547</v>
      </c>
      <c r="D184" s="79">
        <f t="shared" si="4"/>
        <v>-2.6990405259180728E-3</v>
      </c>
      <c r="E184" s="79">
        <f t="shared" si="5"/>
        <v>8.2544474088639408E-2</v>
      </c>
    </row>
    <row r="185" spans="1:5">
      <c r="A185" s="136">
        <v>44123</v>
      </c>
      <c r="B185" s="79">
        <v>4942.6201170000004</v>
      </c>
      <c r="C185" s="79">
        <v>33.028388999999997</v>
      </c>
      <c r="D185" s="79">
        <f t="shared" si="4"/>
        <v>1.3696203270836538E-3</v>
      </c>
      <c r="E185" s="79">
        <f t="shared" si="5"/>
        <v>-7.9771334172640818E-2</v>
      </c>
    </row>
    <row r="186" spans="1:5">
      <c r="A186" s="136">
        <v>44120</v>
      </c>
      <c r="B186" s="79">
        <v>4935.8598629999997</v>
      </c>
      <c r="C186" s="79">
        <v>35.891502000000003</v>
      </c>
      <c r="D186" s="79">
        <f t="shared" si="4"/>
        <v>2.0349678669058013E-2</v>
      </c>
      <c r="E186" s="79">
        <f t="shared" si="5"/>
        <v>6.5771130041236692E-3</v>
      </c>
    </row>
    <row r="187" spans="1:5">
      <c r="A187" s="136">
        <v>44119</v>
      </c>
      <c r="B187" s="79">
        <v>4837.419922</v>
      </c>
      <c r="C187" s="79">
        <v>35.656981999999999</v>
      </c>
      <c r="D187" s="79">
        <f t="shared" si="4"/>
        <v>-2.109417295186411E-2</v>
      </c>
      <c r="E187" s="79">
        <f t="shared" si="5"/>
        <v>-2.2240053363996926E-2</v>
      </c>
    </row>
    <row r="188" spans="1:5">
      <c r="A188" s="136">
        <v>44118</v>
      </c>
      <c r="B188" s="79">
        <v>4941.6601559999999</v>
      </c>
      <c r="C188" s="79">
        <v>36.468032999999998</v>
      </c>
      <c r="D188" s="79">
        <f t="shared" si="4"/>
        <v>-1.2025416645102815E-3</v>
      </c>
      <c r="E188" s="79">
        <f t="shared" si="5"/>
        <v>9.194124297137396E-3</v>
      </c>
    </row>
    <row r="189" spans="1:5">
      <c r="A189" s="136">
        <v>44117</v>
      </c>
      <c r="B189" s="79">
        <v>4947.6098629999997</v>
      </c>
      <c r="C189" s="79">
        <v>36.135795999999999</v>
      </c>
      <c r="D189" s="79">
        <f t="shared" si="4"/>
        <v>-6.3623881621410749E-3</v>
      </c>
      <c r="E189" s="79">
        <f t="shared" si="5"/>
        <v>-3.2344859423714123E-3</v>
      </c>
    </row>
    <row r="190" spans="1:5">
      <c r="A190" s="136">
        <v>44116</v>
      </c>
      <c r="B190" s="79">
        <v>4979.2900390000004</v>
      </c>
      <c r="C190" s="79">
        <v>36.253056000000001</v>
      </c>
      <c r="D190" s="79">
        <f t="shared" si="4"/>
        <v>6.565843364231716E-3</v>
      </c>
      <c r="E190" s="79">
        <f t="shared" si="5"/>
        <v>1.0348524693609473E-2</v>
      </c>
    </row>
    <row r="191" spans="1:5">
      <c r="A191" s="136">
        <v>44113</v>
      </c>
      <c r="B191" s="79">
        <v>4946.8100590000004</v>
      </c>
      <c r="C191" s="79">
        <v>35.881732999999997</v>
      </c>
      <c r="D191" s="79">
        <f t="shared" si="4"/>
        <v>7.0990521909561899E-3</v>
      </c>
      <c r="E191" s="79">
        <f t="shared" si="5"/>
        <v>-9.4415154260715228E-3</v>
      </c>
    </row>
    <row r="192" spans="1:5">
      <c r="A192" s="136">
        <v>44112</v>
      </c>
      <c r="B192" s="79">
        <v>4911.9399409999996</v>
      </c>
      <c r="C192" s="79">
        <v>36.223739999999999</v>
      </c>
      <c r="D192" s="79">
        <f t="shared" si="4"/>
        <v>6.1327204014747227E-3</v>
      </c>
      <c r="E192" s="79">
        <f t="shared" si="5"/>
        <v>-4.5650626539887051E-3</v>
      </c>
    </row>
    <row r="193" spans="1:5">
      <c r="A193" s="136">
        <v>44111</v>
      </c>
      <c r="B193" s="79">
        <v>4882</v>
      </c>
      <c r="C193" s="79">
        <v>36.389862000000001</v>
      </c>
      <c r="D193" s="79">
        <f t="shared" si="4"/>
        <v>-2.7494783140357137E-3</v>
      </c>
      <c r="E193" s="79">
        <f t="shared" si="5"/>
        <v>1.4161216795186782E-2</v>
      </c>
    </row>
    <row r="194" spans="1:5">
      <c r="A194" s="136">
        <v>44110</v>
      </c>
      <c r="B194" s="79">
        <v>4895.4599609999996</v>
      </c>
      <c r="C194" s="79">
        <v>35.881732999999997</v>
      </c>
      <c r="D194" s="79">
        <f t="shared" si="4"/>
        <v>4.8420510878737222E-3</v>
      </c>
      <c r="E194" s="79">
        <f t="shared" si="5"/>
        <v>5.4505879814459313E-4</v>
      </c>
    </row>
    <row r="195" spans="1:5">
      <c r="A195" s="136">
        <v>44109</v>
      </c>
      <c r="B195" s="79">
        <v>4871.8701170000004</v>
      </c>
      <c r="C195" s="79">
        <v>35.862186000000001</v>
      </c>
      <c r="D195" s="79">
        <f t="shared" si="4"/>
        <v>9.7391510544264648E-3</v>
      </c>
      <c r="E195" s="79">
        <f t="shared" si="5"/>
        <v>1.3532146864573935E-2</v>
      </c>
    </row>
    <row r="196" spans="1:5">
      <c r="A196" s="136">
        <v>44106</v>
      </c>
      <c r="B196" s="79">
        <v>4824.8798829999996</v>
      </c>
      <c r="C196" s="79">
        <v>35.383372999999999</v>
      </c>
      <c r="D196" s="79">
        <f t="shared" si="4"/>
        <v>1.7409556993919217E-4</v>
      </c>
      <c r="E196" s="79">
        <f t="shared" si="5"/>
        <v>8.2921176486205894E-4</v>
      </c>
    </row>
    <row r="197" spans="1:5">
      <c r="A197" s="136">
        <v>44105</v>
      </c>
      <c r="B197" s="79">
        <v>4824.0400390000004</v>
      </c>
      <c r="C197" s="79">
        <v>35.354056999999997</v>
      </c>
      <c r="D197" s="79">
        <f t="shared" ref="D197:D260" si="6">B197/B198-1</f>
        <v>4.2886136296131916E-3</v>
      </c>
      <c r="E197" s="79">
        <f t="shared" ref="E197:E260" si="7">C197/C198-1</f>
        <v>4.7208789352510827E-3</v>
      </c>
    </row>
    <row r="198" spans="1:5">
      <c r="A198" s="136">
        <v>44104</v>
      </c>
      <c r="B198" s="79">
        <v>4803.4399409999996</v>
      </c>
      <c r="C198" s="79">
        <v>35.187939</v>
      </c>
      <c r="D198" s="79">
        <f t="shared" si="6"/>
        <v>-5.9249729500598924E-3</v>
      </c>
      <c r="E198" s="79">
        <f t="shared" si="7"/>
        <v>2.7847644504719327E-3</v>
      </c>
    </row>
    <row r="199" spans="1:5">
      <c r="A199" s="136">
        <v>44103</v>
      </c>
      <c r="B199" s="79">
        <v>4832.0698240000002</v>
      </c>
      <c r="C199" s="79">
        <v>35.090221</v>
      </c>
      <c r="D199" s="79">
        <f t="shared" si="6"/>
        <v>-2.312527683517418E-3</v>
      </c>
      <c r="E199" s="79">
        <f t="shared" si="7"/>
        <v>-2.4999598472518203E-3</v>
      </c>
    </row>
    <row r="200" spans="1:5">
      <c r="A200" s="136">
        <v>44102</v>
      </c>
      <c r="B200" s="79">
        <v>4843.2700199999999</v>
      </c>
      <c r="C200" s="79">
        <v>35.178165</v>
      </c>
      <c r="D200" s="79">
        <f t="shared" si="6"/>
        <v>2.4020724587553222E-2</v>
      </c>
      <c r="E200" s="79">
        <f t="shared" si="7"/>
        <v>3.0337675787837304E-2</v>
      </c>
    </row>
    <row r="201" spans="1:5">
      <c r="A201" s="136">
        <v>44099</v>
      </c>
      <c r="B201" s="79">
        <v>4729.6601559999999</v>
      </c>
      <c r="C201" s="79">
        <v>34.142364999999998</v>
      </c>
      <c r="D201" s="79">
        <f t="shared" si="6"/>
        <v>-6.9205521730257846E-3</v>
      </c>
      <c r="E201" s="79">
        <f t="shared" si="7"/>
        <v>-3.9909366536314828E-3</v>
      </c>
    </row>
    <row r="202" spans="1:5">
      <c r="A202" s="136">
        <v>44098</v>
      </c>
      <c r="B202" s="79">
        <v>4762.6201170000004</v>
      </c>
      <c r="C202" s="79">
        <v>34.279170999999998</v>
      </c>
      <c r="D202" s="79">
        <f t="shared" si="6"/>
        <v>-8.254374176226098E-3</v>
      </c>
      <c r="E202" s="79">
        <f t="shared" si="7"/>
        <v>-1.4883408286962108E-2</v>
      </c>
    </row>
    <row r="203" spans="1:5">
      <c r="A203" s="136">
        <v>44097</v>
      </c>
      <c r="B203" s="79">
        <v>4802.2597660000001</v>
      </c>
      <c r="C203" s="79">
        <v>34.797069999999998</v>
      </c>
      <c r="D203" s="79">
        <f t="shared" si="6"/>
        <v>6.1640287463204935E-3</v>
      </c>
      <c r="E203" s="79">
        <f t="shared" si="7"/>
        <v>5.9321460137478077E-3</v>
      </c>
    </row>
    <row r="204" spans="1:5">
      <c r="A204" s="136">
        <v>44096</v>
      </c>
      <c r="B204" s="79">
        <v>4772.8398440000001</v>
      </c>
      <c r="C204" s="79">
        <v>34.591866000000003</v>
      </c>
      <c r="D204" s="79">
        <f t="shared" si="6"/>
        <v>-4.0066850117569386E-3</v>
      </c>
      <c r="E204" s="79">
        <f t="shared" si="7"/>
        <v>1.4326686885445916E-2</v>
      </c>
    </row>
    <row r="205" spans="1:5">
      <c r="A205" s="136">
        <v>44095</v>
      </c>
      <c r="B205" s="79">
        <v>4792.0400390000004</v>
      </c>
      <c r="C205" s="79">
        <v>34.103279000000001</v>
      </c>
      <c r="D205" s="79">
        <f t="shared" si="6"/>
        <v>-3.7391201286242737E-2</v>
      </c>
      <c r="E205" s="79">
        <f t="shared" si="7"/>
        <v>-3.7772298717298924E-2</v>
      </c>
    </row>
    <row r="206" spans="1:5">
      <c r="A206" s="136">
        <v>44092</v>
      </c>
      <c r="B206" s="79">
        <v>4978.1801759999998</v>
      </c>
      <c r="C206" s="79">
        <v>35.442005000000002</v>
      </c>
      <c r="D206" s="79">
        <f t="shared" si="6"/>
        <v>-1.2167838872904069E-2</v>
      </c>
      <c r="E206" s="79">
        <f t="shared" si="7"/>
        <v>-6.3013026809954908E-3</v>
      </c>
    </row>
    <row r="207" spans="1:5">
      <c r="A207" s="136">
        <v>44091</v>
      </c>
      <c r="B207" s="79">
        <v>5039.5</v>
      </c>
      <c r="C207" s="79">
        <v>35.666752000000002</v>
      </c>
      <c r="D207" s="79">
        <f t="shared" si="6"/>
        <v>-6.8815593775765072E-3</v>
      </c>
      <c r="E207" s="79">
        <f t="shared" si="7"/>
        <v>-5.4763320204576083E-4</v>
      </c>
    </row>
    <row r="208" spans="1:5">
      <c r="A208" s="136">
        <v>44090</v>
      </c>
      <c r="B208" s="79">
        <v>5074.419922</v>
      </c>
      <c r="C208" s="79">
        <v>35.686295000000001</v>
      </c>
      <c r="D208" s="79">
        <f t="shared" si="6"/>
        <v>1.2805515811431523E-3</v>
      </c>
      <c r="E208" s="79">
        <f t="shared" si="7"/>
        <v>3.2966030737182628E-3</v>
      </c>
    </row>
    <row r="209" spans="1:5">
      <c r="A209" s="136">
        <v>44089</v>
      </c>
      <c r="B209" s="79">
        <v>5067.9301759999998</v>
      </c>
      <c r="C209" s="79">
        <v>35.569037999999999</v>
      </c>
      <c r="D209" s="79">
        <f t="shared" si="6"/>
        <v>3.1770931557597581E-3</v>
      </c>
      <c r="E209" s="79">
        <f t="shared" si="7"/>
        <v>9.9889386608922326E-3</v>
      </c>
    </row>
    <row r="210" spans="1:5">
      <c r="A210" s="136">
        <v>44088</v>
      </c>
      <c r="B210" s="79">
        <v>5051.8798829999996</v>
      </c>
      <c r="C210" s="79">
        <v>35.217255000000002</v>
      </c>
      <c r="D210" s="79">
        <f t="shared" si="6"/>
        <v>3.5238879962071756E-3</v>
      </c>
      <c r="E210" s="79">
        <f t="shared" si="7"/>
        <v>1.4354143471444036E-2</v>
      </c>
    </row>
    <row r="211" spans="1:5">
      <c r="A211" s="136">
        <v>44085</v>
      </c>
      <c r="B211" s="79">
        <v>5034.1401370000003</v>
      </c>
      <c r="C211" s="79">
        <v>34.718895000000003</v>
      </c>
      <c r="D211" s="79">
        <f t="shared" si="6"/>
        <v>2.0322657048010839E-3</v>
      </c>
      <c r="E211" s="79">
        <f t="shared" si="7"/>
        <v>-3.6455622590966241E-3</v>
      </c>
    </row>
    <row r="212" spans="1:5">
      <c r="A212" s="136">
        <v>44084</v>
      </c>
      <c r="B212" s="79">
        <v>5023.9301759999998</v>
      </c>
      <c r="C212" s="79">
        <v>34.845928000000001</v>
      </c>
      <c r="D212" s="79">
        <f t="shared" si="6"/>
        <v>-3.7774895152370425E-3</v>
      </c>
      <c r="E212" s="79">
        <f t="shared" si="7"/>
        <v>-5.6052591401956064E-4</v>
      </c>
    </row>
    <row r="213" spans="1:5">
      <c r="A213" s="136">
        <v>44083</v>
      </c>
      <c r="B213" s="79">
        <v>5042.9799800000001</v>
      </c>
      <c r="C213" s="79">
        <v>34.865470999999999</v>
      </c>
      <c r="D213" s="79">
        <f t="shared" si="6"/>
        <v>1.3965955645233397E-2</v>
      </c>
      <c r="E213" s="79">
        <f t="shared" si="7"/>
        <v>1.8555543860267365E-2</v>
      </c>
    </row>
    <row r="214" spans="1:5">
      <c r="A214" s="136">
        <v>44082</v>
      </c>
      <c r="B214" s="79">
        <v>4973.5200199999999</v>
      </c>
      <c r="C214" s="79">
        <v>34.230308999999998</v>
      </c>
      <c r="D214" s="79">
        <f t="shared" si="6"/>
        <v>-1.5869536022583342E-2</v>
      </c>
      <c r="E214" s="79">
        <f t="shared" si="7"/>
        <v>-5.9592827406119708E-3</v>
      </c>
    </row>
    <row r="215" spans="1:5">
      <c r="A215" s="136">
        <v>44081</v>
      </c>
      <c r="B215" s="79">
        <v>5053.7202150000003</v>
      </c>
      <c r="C215" s="79">
        <v>34.435519999999997</v>
      </c>
      <c r="D215" s="79">
        <f t="shared" si="6"/>
        <v>1.7854812548956378E-2</v>
      </c>
      <c r="E215" s="79">
        <f t="shared" si="7"/>
        <v>2.9205656812633096E-2</v>
      </c>
    </row>
    <row r="216" spans="1:5">
      <c r="A216" s="136">
        <v>44078</v>
      </c>
      <c r="B216" s="79">
        <v>4965.0698240000002</v>
      </c>
      <c r="C216" s="79">
        <v>33.458347000000003</v>
      </c>
      <c r="D216" s="79">
        <f t="shared" si="6"/>
        <v>-8.8731446970042871E-3</v>
      </c>
      <c r="E216" s="79">
        <f t="shared" si="7"/>
        <v>1.8138643496021567E-2</v>
      </c>
    </row>
    <row r="217" spans="1:5">
      <c r="A217" s="136">
        <v>44077</v>
      </c>
      <c r="B217" s="79">
        <v>5009.5200199999999</v>
      </c>
      <c r="C217" s="79">
        <v>32.862270000000002</v>
      </c>
      <c r="D217" s="79">
        <f t="shared" si="6"/>
        <v>-4.4160097633529904E-3</v>
      </c>
      <c r="E217" s="79">
        <f t="shared" si="7"/>
        <v>-2.0675579294005875E-2</v>
      </c>
    </row>
    <row r="218" spans="1:5">
      <c r="A218" s="136">
        <v>44076</v>
      </c>
      <c r="B218" s="79">
        <v>5031.7402339999999</v>
      </c>
      <c r="C218" s="79">
        <v>33.556061</v>
      </c>
      <c r="D218" s="79">
        <f t="shared" si="6"/>
        <v>1.8962786120501285E-2</v>
      </c>
      <c r="E218" s="79">
        <f t="shared" si="7"/>
        <v>2.1415845498745423E-2</v>
      </c>
    </row>
    <row r="219" spans="1:5">
      <c r="A219" s="136">
        <v>44075</v>
      </c>
      <c r="B219" s="79">
        <v>4938.1000979999999</v>
      </c>
      <c r="C219" s="79">
        <v>32.852497</v>
      </c>
      <c r="D219" s="79">
        <f t="shared" si="6"/>
        <v>-1.8434831286361364E-3</v>
      </c>
      <c r="E219" s="79">
        <f t="shared" si="7"/>
        <v>-1.0594537493523903E-2</v>
      </c>
    </row>
    <row r="220" spans="1:5">
      <c r="A220" s="136">
        <v>44074</v>
      </c>
      <c r="B220" s="79">
        <v>4947.2202150000003</v>
      </c>
      <c r="C220" s="79">
        <v>33.204281000000002</v>
      </c>
      <c r="D220" s="79">
        <f t="shared" si="6"/>
        <v>-1.1137396542254319E-2</v>
      </c>
      <c r="E220" s="79">
        <f t="shared" si="7"/>
        <v>-5.2693555542686621E-3</v>
      </c>
    </row>
    <row r="221" spans="1:5">
      <c r="A221" s="136">
        <v>44071</v>
      </c>
      <c r="B221" s="79">
        <v>5002.9399409999996</v>
      </c>
      <c r="C221" s="79">
        <v>33.380172999999999</v>
      </c>
      <c r="D221" s="79">
        <f t="shared" si="6"/>
        <v>-2.5977574509981061E-3</v>
      </c>
      <c r="E221" s="79">
        <f t="shared" si="7"/>
        <v>0</v>
      </c>
    </row>
    <row r="222" spans="1:5">
      <c r="A222" s="136">
        <v>44070</v>
      </c>
      <c r="B222" s="79">
        <v>5015.9702150000003</v>
      </c>
      <c r="C222" s="79">
        <v>33.380172999999999</v>
      </c>
      <c r="D222" s="79">
        <f t="shared" si="6"/>
        <v>-6.4297137661352144E-3</v>
      </c>
      <c r="E222" s="79">
        <f t="shared" si="7"/>
        <v>-6.9767110471603555E-3</v>
      </c>
    </row>
    <row r="223" spans="1:5">
      <c r="A223" s="136">
        <v>44069</v>
      </c>
      <c r="B223" s="79">
        <v>5048.4301759999998</v>
      </c>
      <c r="C223" s="79">
        <v>33.614693000000003</v>
      </c>
      <c r="D223" s="79">
        <f t="shared" si="6"/>
        <v>8.0187681254453302E-3</v>
      </c>
      <c r="E223" s="79">
        <f t="shared" si="7"/>
        <v>1.5948005714990332E-2</v>
      </c>
    </row>
    <row r="224" spans="1:5">
      <c r="A224" s="136">
        <v>44068</v>
      </c>
      <c r="B224" s="79">
        <v>5008.2700199999999</v>
      </c>
      <c r="C224" s="79">
        <v>33.087021</v>
      </c>
      <c r="D224" s="79">
        <f t="shared" si="6"/>
        <v>7.5856895739967456E-5</v>
      </c>
      <c r="E224" s="79">
        <f t="shared" si="7"/>
        <v>-8.7822193132431892E-3</v>
      </c>
    </row>
    <row r="225" spans="1:5">
      <c r="A225" s="136">
        <v>44067</v>
      </c>
      <c r="B225" s="79">
        <v>5007.8901370000003</v>
      </c>
      <c r="C225" s="79">
        <v>33.380172999999999</v>
      </c>
      <c r="D225" s="79">
        <f t="shared" si="6"/>
        <v>2.2784423685253019E-2</v>
      </c>
      <c r="E225" s="79">
        <f t="shared" si="7"/>
        <v>2.3980875891154829E-2</v>
      </c>
    </row>
    <row r="226" spans="1:5">
      <c r="A226" s="136">
        <v>44064</v>
      </c>
      <c r="B226" s="79">
        <v>4896.330078</v>
      </c>
      <c r="C226" s="79">
        <v>32.598433999999997</v>
      </c>
      <c r="D226" s="79">
        <f t="shared" si="6"/>
        <v>-3.0359247948773538E-3</v>
      </c>
      <c r="E226" s="79">
        <f t="shared" si="7"/>
        <v>-1.2433394369497197E-2</v>
      </c>
    </row>
    <row r="227" spans="1:5">
      <c r="A227" s="136">
        <v>44063</v>
      </c>
      <c r="B227" s="79">
        <v>4911.2402339999999</v>
      </c>
      <c r="C227" s="79">
        <v>33.008845999999998</v>
      </c>
      <c r="D227" s="79">
        <f t="shared" si="6"/>
        <v>-1.3258327677275639E-2</v>
      </c>
      <c r="E227" s="79">
        <f t="shared" si="7"/>
        <v>-1.9163732523581833E-2</v>
      </c>
    </row>
    <row r="228" spans="1:5">
      <c r="A228" s="136">
        <v>44062</v>
      </c>
      <c r="B228" s="79">
        <v>4977.2299800000001</v>
      </c>
      <c r="C228" s="79">
        <v>33.653778000000003</v>
      </c>
      <c r="D228" s="79">
        <f t="shared" si="6"/>
        <v>7.932248804590758E-3</v>
      </c>
      <c r="E228" s="79">
        <f t="shared" si="7"/>
        <v>1.2941135252823477E-2</v>
      </c>
    </row>
    <row r="229" spans="1:5">
      <c r="A229" s="136">
        <v>44061</v>
      </c>
      <c r="B229" s="79">
        <v>4938.0600590000004</v>
      </c>
      <c r="C229" s="79">
        <v>33.223824</v>
      </c>
      <c r="D229" s="79">
        <f t="shared" si="6"/>
        <v>-6.8142178711002588E-3</v>
      </c>
      <c r="E229" s="79">
        <f t="shared" si="7"/>
        <v>2.0630713130418421E-3</v>
      </c>
    </row>
    <row r="230" spans="1:5">
      <c r="A230" s="136">
        <v>44060</v>
      </c>
      <c r="B230" s="79">
        <v>4971.9399409999996</v>
      </c>
      <c r="C230" s="79">
        <v>33.155422000000002</v>
      </c>
      <c r="D230" s="79">
        <f t="shared" si="6"/>
        <v>1.8154124036582342E-3</v>
      </c>
      <c r="E230" s="79">
        <f t="shared" si="7"/>
        <v>3.2525484499301704E-3</v>
      </c>
    </row>
    <row r="231" spans="1:5">
      <c r="A231" s="136">
        <v>44057</v>
      </c>
      <c r="B231" s="79">
        <v>4962.9301759999998</v>
      </c>
      <c r="C231" s="79">
        <v>33.047932000000003</v>
      </c>
      <c r="D231" s="79">
        <f t="shared" si="6"/>
        <v>-1.5756390601957326E-2</v>
      </c>
      <c r="E231" s="79">
        <f t="shared" si="7"/>
        <v>-1.9426044386254393E-2</v>
      </c>
    </row>
    <row r="232" spans="1:5">
      <c r="A232" s="136">
        <v>44056</v>
      </c>
      <c r="B232" s="79">
        <v>5042.3798829999996</v>
      </c>
      <c r="C232" s="79">
        <v>33.702641</v>
      </c>
      <c r="D232" s="79">
        <f t="shared" si="6"/>
        <v>-6.0966461028990615E-3</v>
      </c>
      <c r="E232" s="79">
        <f t="shared" si="7"/>
        <v>-3.7549582954844452E-3</v>
      </c>
    </row>
    <row r="233" spans="1:5">
      <c r="A233" s="136">
        <v>44055</v>
      </c>
      <c r="B233" s="79">
        <v>5073.3100590000004</v>
      </c>
      <c r="C233" s="79">
        <v>33.82967</v>
      </c>
      <c r="D233" s="79">
        <f t="shared" si="6"/>
        <v>9.0135069661714251E-3</v>
      </c>
      <c r="E233" s="79">
        <f t="shared" si="7"/>
        <v>1.1984853403455231E-2</v>
      </c>
    </row>
    <row r="234" spans="1:5">
      <c r="A234" s="136">
        <v>44054</v>
      </c>
      <c r="B234" s="79">
        <v>5027.9902339999999</v>
      </c>
      <c r="C234" s="79">
        <v>33.429028000000002</v>
      </c>
      <c r="D234" s="79">
        <f t="shared" si="6"/>
        <v>2.4132851068046968E-2</v>
      </c>
      <c r="E234" s="79">
        <f t="shared" si="7"/>
        <v>1.5133366834012341E-2</v>
      </c>
    </row>
    <row r="235" spans="1:5">
      <c r="A235" s="136">
        <v>44053</v>
      </c>
      <c r="B235" s="79">
        <v>4909.5097660000001</v>
      </c>
      <c r="C235" s="79">
        <v>32.930675999999998</v>
      </c>
      <c r="D235" s="79">
        <f t="shared" si="6"/>
        <v>4.0882839048075326E-3</v>
      </c>
      <c r="E235" s="79">
        <f t="shared" si="7"/>
        <v>1.0797911727630005E-2</v>
      </c>
    </row>
    <row r="236" spans="1:5">
      <c r="A236" s="136">
        <v>44050</v>
      </c>
      <c r="B236" s="79">
        <v>4889.5200199999999</v>
      </c>
      <c r="C236" s="79">
        <v>32.578892000000003</v>
      </c>
      <c r="D236" s="79">
        <f t="shared" si="6"/>
        <v>8.9867354710015945E-4</v>
      </c>
      <c r="E236" s="79">
        <f t="shared" si="7"/>
        <v>-2.9976684221544314E-4</v>
      </c>
    </row>
    <row r="237" spans="1:5">
      <c r="A237" s="136">
        <v>44049</v>
      </c>
      <c r="B237" s="79">
        <v>4885.1298829999996</v>
      </c>
      <c r="C237" s="79">
        <v>32.588661000000002</v>
      </c>
      <c r="D237" s="79">
        <f t="shared" si="6"/>
        <v>-9.7722764951281293E-3</v>
      </c>
      <c r="E237" s="79">
        <f t="shared" si="7"/>
        <v>1.2007836906999803E-3</v>
      </c>
    </row>
    <row r="238" spans="1:5">
      <c r="A238" s="136">
        <v>44048</v>
      </c>
      <c r="B238" s="79">
        <v>4933.3398440000001</v>
      </c>
      <c r="C238" s="79">
        <v>32.549576000000002</v>
      </c>
      <c r="D238" s="79">
        <f t="shared" si="6"/>
        <v>8.9619888702285877E-3</v>
      </c>
      <c r="E238" s="79">
        <f t="shared" si="7"/>
        <v>1.307777504058194E-2</v>
      </c>
    </row>
    <row r="239" spans="1:5">
      <c r="A239" s="136">
        <v>44047</v>
      </c>
      <c r="B239" s="79">
        <v>4889.5200199999999</v>
      </c>
      <c r="C239" s="79">
        <v>32.129395000000002</v>
      </c>
      <c r="D239" s="79">
        <f t="shared" si="6"/>
        <v>2.7871285087082143E-3</v>
      </c>
      <c r="E239" s="79">
        <f t="shared" si="7"/>
        <v>6.736141019661579E-3</v>
      </c>
    </row>
    <row r="240" spans="1:5">
      <c r="A240" s="136">
        <v>44046</v>
      </c>
      <c r="B240" s="79">
        <v>4875.9301759999998</v>
      </c>
      <c r="C240" s="79">
        <v>31.914415000000002</v>
      </c>
      <c r="D240" s="79">
        <f t="shared" si="6"/>
        <v>1.9282235290675631E-2</v>
      </c>
      <c r="E240" s="79">
        <f t="shared" si="7"/>
        <v>4.780239978890588E-2</v>
      </c>
    </row>
    <row r="241" spans="1:5">
      <c r="A241" s="136">
        <v>44043</v>
      </c>
      <c r="B241" s="79">
        <v>4783.6899409999996</v>
      </c>
      <c r="C241" s="79">
        <v>30.458428999999999</v>
      </c>
      <c r="D241" s="79">
        <f t="shared" si="6"/>
        <v>-1.4269700602503321E-2</v>
      </c>
      <c r="E241" s="79">
        <f t="shared" si="7"/>
        <v>-3.3488403087221341E-2</v>
      </c>
    </row>
    <row r="242" spans="1:5">
      <c r="A242" s="136">
        <v>44042</v>
      </c>
      <c r="B242" s="79">
        <v>4852.9399409999996</v>
      </c>
      <c r="C242" s="79">
        <v>31.513774999999999</v>
      </c>
      <c r="D242" s="79">
        <f t="shared" si="6"/>
        <v>-2.133612329086565E-2</v>
      </c>
      <c r="E242" s="79">
        <f t="shared" si="7"/>
        <v>-3.0075118777712295E-2</v>
      </c>
    </row>
    <row r="243" spans="1:5">
      <c r="A243" s="136">
        <v>44041</v>
      </c>
      <c r="B243" s="79">
        <v>4958.7402339999999</v>
      </c>
      <c r="C243" s="79">
        <v>32.490943999999999</v>
      </c>
      <c r="D243" s="79">
        <f t="shared" si="6"/>
        <v>6.0459841987756668E-3</v>
      </c>
      <c r="E243" s="79">
        <f t="shared" si="7"/>
        <v>1.1560628315010257E-2</v>
      </c>
    </row>
    <row r="244" spans="1:5">
      <c r="A244" s="136">
        <v>44040</v>
      </c>
      <c r="B244" s="79">
        <v>4928.9399409999996</v>
      </c>
      <c r="C244" s="79">
        <v>32.119621000000002</v>
      </c>
      <c r="D244" s="79">
        <f t="shared" si="6"/>
        <v>-2.1621452150225595E-3</v>
      </c>
      <c r="E244" s="79">
        <f t="shared" si="7"/>
        <v>-1.0237872659313529E-2</v>
      </c>
    </row>
    <row r="245" spans="1:5">
      <c r="A245" s="136">
        <v>44039</v>
      </c>
      <c r="B245" s="79">
        <v>4939.6201170000004</v>
      </c>
      <c r="C245" s="79">
        <v>32.451858999999999</v>
      </c>
      <c r="D245" s="79">
        <f t="shared" si="6"/>
        <v>-3.3915657848661018E-3</v>
      </c>
      <c r="E245" s="79">
        <f t="shared" si="7"/>
        <v>-3.301355933129968E-3</v>
      </c>
    </row>
    <row r="246" spans="1:5">
      <c r="A246" s="136">
        <v>44036</v>
      </c>
      <c r="B246" s="79">
        <v>4956.4301759999998</v>
      </c>
      <c r="C246" s="79">
        <v>32.559348999999997</v>
      </c>
      <c r="D246" s="79">
        <f t="shared" si="6"/>
        <v>-1.5362193190528228E-2</v>
      </c>
      <c r="E246" s="79">
        <f t="shared" si="7"/>
        <v>-2.4304591107275675E-2</v>
      </c>
    </row>
    <row r="247" spans="1:5">
      <c r="A247" s="136">
        <v>44035</v>
      </c>
      <c r="B247" s="79">
        <v>5033.7597660000001</v>
      </c>
      <c r="C247" s="79">
        <v>33.370403000000003</v>
      </c>
      <c r="D247" s="79">
        <f t="shared" si="6"/>
        <v>-6.6711750403947168E-4</v>
      </c>
      <c r="E247" s="79">
        <f t="shared" si="7"/>
        <v>4.4118642092494387E-3</v>
      </c>
    </row>
    <row r="248" spans="1:5">
      <c r="A248" s="136">
        <v>44034</v>
      </c>
      <c r="B248" s="79">
        <v>5037.1201170000004</v>
      </c>
      <c r="C248" s="79">
        <v>33.223824</v>
      </c>
      <c r="D248" s="79">
        <f t="shared" si="6"/>
        <v>-1.315752090968092E-2</v>
      </c>
      <c r="E248" s="79">
        <f t="shared" si="7"/>
        <v>5.9171823366863663E-3</v>
      </c>
    </row>
    <row r="249" spans="1:5">
      <c r="A249" s="136">
        <v>44033</v>
      </c>
      <c r="B249" s="79">
        <v>5104.2797849999997</v>
      </c>
      <c r="C249" s="79">
        <v>33.028388999999997</v>
      </c>
      <c r="D249" s="79">
        <f t="shared" si="6"/>
        <v>2.1793081368499667E-3</v>
      </c>
      <c r="E249" s="79">
        <f t="shared" si="7"/>
        <v>2.1456582776857802E-2</v>
      </c>
    </row>
    <row r="250" spans="1:5">
      <c r="A250" s="136">
        <v>44032</v>
      </c>
      <c r="B250" s="79">
        <v>5093.1801759999998</v>
      </c>
      <c r="C250" s="79">
        <v>32.334598999999997</v>
      </c>
      <c r="D250" s="79">
        <f t="shared" si="6"/>
        <v>4.6869768860311467E-3</v>
      </c>
      <c r="E250" s="79">
        <f t="shared" si="7"/>
        <v>1.5965641680200093E-2</v>
      </c>
    </row>
    <row r="251" spans="1:5">
      <c r="A251" s="136">
        <v>44029</v>
      </c>
      <c r="B251" s="79">
        <v>5069.419922</v>
      </c>
      <c r="C251" s="79">
        <v>31.826468999999999</v>
      </c>
      <c r="D251" s="79">
        <f t="shared" si="6"/>
        <v>-3.1187788421752627E-3</v>
      </c>
      <c r="E251" s="79">
        <f t="shared" si="7"/>
        <v>-1.0631743947086547E-2</v>
      </c>
    </row>
    <row r="252" spans="1:5">
      <c r="A252" s="136">
        <v>44028</v>
      </c>
      <c r="B252" s="79">
        <v>5085.2797849999997</v>
      </c>
      <c r="C252" s="79">
        <v>32.168475999999998</v>
      </c>
      <c r="D252" s="79">
        <f t="shared" si="6"/>
        <v>-4.6389289237340758E-3</v>
      </c>
      <c r="E252" s="79">
        <f t="shared" si="7"/>
        <v>-1.5166677794216099E-3</v>
      </c>
    </row>
    <row r="253" spans="1:5">
      <c r="A253" s="136">
        <v>44027</v>
      </c>
      <c r="B253" s="79">
        <v>5108.9799800000001</v>
      </c>
      <c r="C253" s="79">
        <v>32.217339000000003</v>
      </c>
      <c r="D253" s="79">
        <f t="shared" si="6"/>
        <v>2.0273755514907066E-2</v>
      </c>
      <c r="E253" s="79">
        <f t="shared" si="7"/>
        <v>1.477376881033976E-2</v>
      </c>
    </row>
    <row r="254" spans="1:5">
      <c r="A254" s="136">
        <v>44026</v>
      </c>
      <c r="B254" s="79">
        <v>5007.4599609999996</v>
      </c>
      <c r="C254" s="79">
        <v>31.748297000000001</v>
      </c>
      <c r="D254" s="79">
        <f t="shared" si="6"/>
        <v>-9.6455302058867654E-3</v>
      </c>
      <c r="E254" s="79">
        <f t="shared" si="7"/>
        <v>-3.3741440290447899E-3</v>
      </c>
    </row>
    <row r="255" spans="1:5">
      <c r="A255" s="136">
        <v>44025</v>
      </c>
      <c r="B255" s="79">
        <v>5056.2299800000001</v>
      </c>
      <c r="C255" s="79">
        <v>31.855782999999999</v>
      </c>
      <c r="D255" s="79">
        <f t="shared" si="6"/>
        <v>1.7251855021051643E-2</v>
      </c>
      <c r="E255" s="79">
        <f t="shared" si="7"/>
        <v>1.6843305664681951E-2</v>
      </c>
    </row>
    <row r="256" spans="1:5">
      <c r="A256" s="136">
        <v>44022</v>
      </c>
      <c r="B256" s="79">
        <v>4970.4799800000001</v>
      </c>
      <c r="C256" s="79">
        <v>31.328113999999999</v>
      </c>
      <c r="D256" s="79">
        <f t="shared" si="6"/>
        <v>1.0052858326312863E-2</v>
      </c>
      <c r="E256" s="79">
        <f t="shared" si="7"/>
        <v>1.7777878128624858E-2</v>
      </c>
    </row>
    <row r="257" spans="1:5">
      <c r="A257" s="136">
        <v>44021</v>
      </c>
      <c r="B257" s="79">
        <v>4921.0097660000001</v>
      </c>
      <c r="C257" s="79">
        <v>30.780895000000001</v>
      </c>
      <c r="D257" s="79">
        <f t="shared" si="6"/>
        <v>-1.2069574255668791E-2</v>
      </c>
      <c r="E257" s="79">
        <f t="shared" si="7"/>
        <v>-1.4084536365593925E-2</v>
      </c>
    </row>
    <row r="258" spans="1:5">
      <c r="A258" s="136">
        <v>44020</v>
      </c>
      <c r="B258" s="79">
        <v>4981.1298829999996</v>
      </c>
      <c r="C258" s="79">
        <v>31.220623</v>
      </c>
      <c r="D258" s="79">
        <f t="shared" si="6"/>
        <v>-1.241146874401089E-2</v>
      </c>
      <c r="E258" s="79">
        <f t="shared" si="7"/>
        <v>-3.0349064886304511E-2</v>
      </c>
    </row>
    <row r="259" spans="1:5">
      <c r="A259" s="136">
        <v>44019</v>
      </c>
      <c r="B259" s="79">
        <v>5043.7299800000001</v>
      </c>
      <c r="C259" s="79">
        <v>32.197795999999997</v>
      </c>
      <c r="D259" s="79">
        <f t="shared" si="6"/>
        <v>-7.4347561531381556E-3</v>
      </c>
      <c r="E259" s="79">
        <f t="shared" si="7"/>
        <v>-1.376827781709189E-2</v>
      </c>
    </row>
    <row r="260" spans="1:5">
      <c r="A260" s="136">
        <v>44018</v>
      </c>
      <c r="B260" s="79">
        <v>5081.5097660000001</v>
      </c>
      <c r="C260" s="79">
        <v>32.647292999999998</v>
      </c>
      <c r="D260" s="79">
        <f t="shared" si="6"/>
        <v>1.4852715714994469E-2</v>
      </c>
      <c r="E260" s="79">
        <f t="shared" si="7"/>
        <v>1.1198535328600157E-2</v>
      </c>
    </row>
    <row r="261" spans="1:5">
      <c r="A261" s="136">
        <v>44015</v>
      </c>
      <c r="B261" s="79">
        <v>5007.1401370000003</v>
      </c>
      <c r="C261" s="79">
        <v>32.285739999999997</v>
      </c>
      <c r="D261" s="79">
        <f t="shared" ref="D261:D324" si="8">B261/B262-1</f>
        <v>-8.3653333634512439E-3</v>
      </c>
      <c r="E261" s="79">
        <f t="shared" ref="E261:E324" si="9">C261/C262-1</f>
        <v>3.0358186335333048E-3</v>
      </c>
    </row>
    <row r="262" spans="1:5">
      <c r="A262" s="136">
        <v>44014</v>
      </c>
      <c r="B262" s="79">
        <v>5049.3798829999996</v>
      </c>
      <c r="C262" s="79">
        <v>32.188023000000001</v>
      </c>
      <c r="D262" s="79">
        <f t="shared" si="8"/>
        <v>2.4851113158718352E-2</v>
      </c>
      <c r="E262" s="79">
        <f t="shared" si="9"/>
        <v>1.6352984052287578E-2</v>
      </c>
    </row>
    <row r="263" spans="1:5">
      <c r="A263" s="136">
        <v>44013</v>
      </c>
      <c r="B263" s="79">
        <v>4926.9399409999996</v>
      </c>
      <c r="C263" s="79">
        <v>31.670121999999999</v>
      </c>
      <c r="D263" s="79">
        <f t="shared" si="8"/>
        <v>-1.833531382955389E-3</v>
      </c>
      <c r="E263" s="79">
        <f t="shared" si="9"/>
        <v>1.1232459957967178E-2</v>
      </c>
    </row>
    <row r="264" spans="1:5">
      <c r="A264" s="136">
        <v>44012</v>
      </c>
      <c r="B264" s="79">
        <v>4935.9902339999999</v>
      </c>
      <c r="C264" s="79">
        <v>31.318339999999999</v>
      </c>
      <c r="D264" s="79">
        <f t="shared" si="8"/>
        <v>-1.9148324068293254E-3</v>
      </c>
      <c r="E264" s="79">
        <f t="shared" si="9"/>
        <v>-9.2735268093975254E-3</v>
      </c>
    </row>
    <row r="265" spans="1:5">
      <c r="A265" s="136">
        <v>44011</v>
      </c>
      <c r="B265" s="79">
        <v>4945.4599609999996</v>
      </c>
      <c r="C265" s="79">
        <v>31.61149</v>
      </c>
      <c r="D265" s="79">
        <f t="shared" si="8"/>
        <v>7.2958145608379432E-3</v>
      </c>
      <c r="E265" s="79">
        <f t="shared" si="9"/>
        <v>2.8289878070931973E-2</v>
      </c>
    </row>
    <row r="266" spans="1:5">
      <c r="A266" s="136">
        <v>44008</v>
      </c>
      <c r="B266" s="79">
        <v>4909.6401370000003</v>
      </c>
      <c r="C266" s="79">
        <v>30.741807999999999</v>
      </c>
      <c r="D266" s="79">
        <f t="shared" si="8"/>
        <v>-1.8175857377998872E-3</v>
      </c>
      <c r="E266" s="79">
        <f t="shared" si="9"/>
        <v>8.0102591965278691E-3</v>
      </c>
    </row>
    <row r="267" spans="1:5">
      <c r="A267" s="136">
        <v>44007</v>
      </c>
      <c r="B267" s="79">
        <v>4918.580078</v>
      </c>
      <c r="C267" s="79">
        <v>30.497515</v>
      </c>
      <c r="D267" s="79">
        <f t="shared" si="8"/>
        <v>9.6934359866651665E-3</v>
      </c>
      <c r="E267" s="79">
        <f t="shared" si="9"/>
        <v>1.793864180299698E-2</v>
      </c>
    </row>
    <row r="268" spans="1:5">
      <c r="A268" s="136">
        <v>44006</v>
      </c>
      <c r="B268" s="79">
        <v>4871.3598629999997</v>
      </c>
      <c r="C268" s="79">
        <v>29.960072</v>
      </c>
      <c r="D268" s="79">
        <f t="shared" si="8"/>
        <v>-2.91609484597809E-2</v>
      </c>
      <c r="E268" s="79">
        <f t="shared" si="9"/>
        <v>-2.1697495747529105E-2</v>
      </c>
    </row>
    <row r="269" spans="1:5">
      <c r="A269" s="136">
        <v>44005</v>
      </c>
      <c r="B269" s="79">
        <v>5017.6801759999998</v>
      </c>
      <c r="C269" s="79">
        <v>30.624548000000001</v>
      </c>
      <c r="D269" s="79">
        <f t="shared" si="8"/>
        <v>1.3939009897931287E-2</v>
      </c>
      <c r="E269" s="79">
        <f t="shared" si="9"/>
        <v>6.3855568721526978E-4</v>
      </c>
    </row>
    <row r="270" spans="1:5">
      <c r="A270" s="136">
        <v>44004</v>
      </c>
      <c r="B270" s="79">
        <v>4948.7001950000003</v>
      </c>
      <c r="C270" s="79">
        <v>30.605004999999998</v>
      </c>
      <c r="D270" s="79">
        <f t="shared" si="8"/>
        <v>-6.175380573316458E-3</v>
      </c>
      <c r="E270" s="79">
        <f t="shared" si="9"/>
        <v>4.167960770620649E-3</v>
      </c>
    </row>
    <row r="271" spans="1:5">
      <c r="A271" s="136">
        <v>44001</v>
      </c>
      <c r="B271" s="79">
        <v>4979.4501950000003</v>
      </c>
      <c r="C271" s="79">
        <v>30.477974</v>
      </c>
      <c r="D271" s="79">
        <f t="shared" si="8"/>
        <v>4.1744784471893226E-3</v>
      </c>
      <c r="E271" s="79">
        <f t="shared" si="9"/>
        <v>-1.3910767939888102E-2</v>
      </c>
    </row>
    <row r="272" spans="1:5">
      <c r="A272" s="136">
        <v>44000</v>
      </c>
      <c r="B272" s="79">
        <v>4958.75</v>
      </c>
      <c r="C272" s="79">
        <v>30.907927000000001</v>
      </c>
      <c r="D272" s="79">
        <f t="shared" si="8"/>
        <v>-7.4500474178668119E-3</v>
      </c>
      <c r="E272" s="79">
        <f t="shared" si="9"/>
        <v>-2.5228730778358299E-3</v>
      </c>
    </row>
    <row r="273" spans="1:5">
      <c r="A273" s="136">
        <v>43999</v>
      </c>
      <c r="B273" s="79">
        <v>4995.9702150000003</v>
      </c>
      <c r="C273" s="79">
        <v>30.986101000000001</v>
      </c>
      <c r="D273" s="79">
        <f t="shared" si="8"/>
        <v>8.7855842031310249E-3</v>
      </c>
      <c r="E273" s="79">
        <f t="shared" si="9"/>
        <v>7.9466048320906424E-3</v>
      </c>
    </row>
    <row r="274" spans="1:5">
      <c r="A274" s="136">
        <v>43998</v>
      </c>
      <c r="B274" s="79">
        <v>4952.4599609999996</v>
      </c>
      <c r="C274" s="79">
        <v>30.741807999999999</v>
      </c>
      <c r="D274" s="79">
        <f t="shared" si="8"/>
        <v>2.8394453974730949E-2</v>
      </c>
      <c r="E274" s="79">
        <f t="shared" si="9"/>
        <v>3.0461796719341905E-2</v>
      </c>
    </row>
    <row r="275" spans="1:5">
      <c r="A275" s="136">
        <v>43997</v>
      </c>
      <c r="B275" s="79">
        <v>4815.7202150000003</v>
      </c>
      <c r="C275" s="79">
        <v>29.83304</v>
      </c>
      <c r="D275" s="79">
        <f t="shared" si="8"/>
        <v>-4.8642875436002431E-3</v>
      </c>
      <c r="E275" s="79">
        <f t="shared" si="9"/>
        <v>2.0728845882365565E-2</v>
      </c>
    </row>
    <row r="276" spans="1:5">
      <c r="A276" s="136">
        <v>43994</v>
      </c>
      <c r="B276" s="79">
        <v>4839.2597660000001</v>
      </c>
      <c r="C276" s="79">
        <v>29.227194000000001</v>
      </c>
      <c r="D276" s="79">
        <f t="shared" si="8"/>
        <v>4.9131297280740061E-3</v>
      </c>
      <c r="E276" s="79">
        <f t="shared" si="9"/>
        <v>-8.9463135061744747E-3</v>
      </c>
    </row>
    <row r="277" spans="1:5">
      <c r="A277" s="136">
        <v>43993</v>
      </c>
      <c r="B277" s="79">
        <v>4815.6000979999999</v>
      </c>
      <c r="C277" s="79">
        <v>29.491029999999999</v>
      </c>
      <c r="D277" s="79">
        <f t="shared" si="8"/>
        <v>-4.7061164057365268E-2</v>
      </c>
      <c r="E277" s="79">
        <f t="shared" si="9"/>
        <v>-4.2208827687661765E-2</v>
      </c>
    </row>
    <row r="278" spans="1:5">
      <c r="A278" s="136">
        <v>43992</v>
      </c>
      <c r="B278" s="79">
        <v>5053.419922</v>
      </c>
      <c r="C278" s="79">
        <v>30.790668</v>
      </c>
      <c r="D278" s="79">
        <f t="shared" si="8"/>
        <v>-8.1823438789311309E-3</v>
      </c>
      <c r="E278" s="79">
        <f t="shared" si="9"/>
        <v>-1.5004681745288018E-2</v>
      </c>
    </row>
    <row r="279" spans="1:5">
      <c r="A279" s="136">
        <v>43991</v>
      </c>
      <c r="B279" s="79">
        <v>5095.1098629999997</v>
      </c>
      <c r="C279" s="79">
        <v>31.259709999999998</v>
      </c>
      <c r="D279" s="79">
        <f t="shared" si="8"/>
        <v>-1.5536633360371033E-2</v>
      </c>
      <c r="E279" s="79">
        <f t="shared" si="9"/>
        <v>-3.6155481464845152E-2</v>
      </c>
    </row>
    <row r="280" spans="1:5">
      <c r="A280" s="136">
        <v>43990</v>
      </c>
      <c r="B280" s="79">
        <v>5175.5200199999999</v>
      </c>
      <c r="C280" s="79">
        <v>32.432316</v>
      </c>
      <c r="D280" s="79">
        <f t="shared" si="8"/>
        <v>-4.2845168490655006E-3</v>
      </c>
      <c r="E280" s="79">
        <f t="shared" si="9"/>
        <v>6.1740325111593553E-2</v>
      </c>
    </row>
    <row r="281" spans="1:5">
      <c r="A281" s="136">
        <v>43987</v>
      </c>
      <c r="B281" s="79">
        <v>5197.7900390000004</v>
      </c>
      <c r="C281" s="79">
        <v>30.546372999999999</v>
      </c>
      <c r="D281" s="79">
        <f t="shared" si="8"/>
        <v>3.7073184597995912E-2</v>
      </c>
      <c r="E281" s="79">
        <f t="shared" si="9"/>
        <v>4.2811451709229287E-2</v>
      </c>
    </row>
    <row r="282" spans="1:5">
      <c r="A282" s="136">
        <v>43986</v>
      </c>
      <c r="B282" s="79">
        <v>5011.9799800000001</v>
      </c>
      <c r="C282" s="79">
        <v>29.292325999999999</v>
      </c>
      <c r="D282" s="79">
        <f t="shared" si="8"/>
        <v>-2.0707121409118123E-3</v>
      </c>
      <c r="E282" s="79">
        <f t="shared" si="9"/>
        <v>3.205069588271936E-3</v>
      </c>
    </row>
    <row r="283" spans="1:5">
      <c r="A283" s="136">
        <v>43985</v>
      </c>
      <c r="B283" s="79">
        <v>5022.3798829999996</v>
      </c>
      <c r="C283" s="79">
        <v>29.198741999999999</v>
      </c>
      <c r="D283" s="79">
        <f t="shared" si="8"/>
        <v>3.3630514444303872E-2</v>
      </c>
      <c r="E283" s="79">
        <f t="shared" si="9"/>
        <v>1.6617857042260376E-2</v>
      </c>
    </row>
    <row r="284" spans="1:5">
      <c r="A284" s="136">
        <v>43984</v>
      </c>
      <c r="B284" s="79">
        <v>4858.9702150000003</v>
      </c>
      <c r="C284" s="79">
        <v>28.721453</v>
      </c>
      <c r="D284" s="79">
        <f t="shared" si="8"/>
        <v>2.0196279135757056E-2</v>
      </c>
      <c r="E284" s="79">
        <f t="shared" si="9"/>
        <v>4.9948632984492924E-2</v>
      </c>
    </row>
    <row r="285" spans="1:5">
      <c r="A285" s="136">
        <v>43983</v>
      </c>
      <c r="B285" s="79">
        <v>4762.7797849999997</v>
      </c>
      <c r="C285" s="79">
        <v>27.355103</v>
      </c>
      <c r="D285" s="79">
        <f t="shared" si="8"/>
        <v>1.4341540909084349E-2</v>
      </c>
      <c r="E285" s="79">
        <f t="shared" si="9"/>
        <v>5.5039509485004245E-3</v>
      </c>
    </row>
    <row r="286" spans="1:5">
      <c r="A286" s="136">
        <v>43980</v>
      </c>
      <c r="B286" s="79">
        <v>4695.4399409999996</v>
      </c>
      <c r="C286" s="79">
        <v>27.205366000000001</v>
      </c>
      <c r="D286" s="79">
        <f t="shared" si="8"/>
        <v>-1.5917833968562056E-2</v>
      </c>
      <c r="E286" s="79">
        <f t="shared" si="9"/>
        <v>7.9751417148410386E-3</v>
      </c>
    </row>
    <row r="287" spans="1:5">
      <c r="A287" s="136">
        <v>43979</v>
      </c>
      <c r="B287" s="79">
        <v>4771.3901370000003</v>
      </c>
      <c r="C287" s="79">
        <v>26.990116</v>
      </c>
      <c r="D287" s="79">
        <f t="shared" si="8"/>
        <v>1.7627315414207034E-2</v>
      </c>
      <c r="E287" s="79">
        <f t="shared" si="9"/>
        <v>1.9441408187382381E-2</v>
      </c>
    </row>
    <row r="288" spans="1:5">
      <c r="A288" s="136">
        <v>43978</v>
      </c>
      <c r="B288" s="79">
        <v>4688.7402339999999</v>
      </c>
      <c r="C288" s="79">
        <v>26.475397000000001</v>
      </c>
      <c r="D288" s="79">
        <f t="shared" si="8"/>
        <v>1.7910485734339954E-2</v>
      </c>
      <c r="E288" s="79">
        <f t="shared" si="9"/>
        <v>1.3978562037954889E-2</v>
      </c>
    </row>
    <row r="289" spans="1:5">
      <c r="A289" s="136">
        <v>43977</v>
      </c>
      <c r="B289" s="79">
        <v>4606.2402339999999</v>
      </c>
      <c r="C289" s="79">
        <v>26.110410999999999</v>
      </c>
      <c r="D289" s="79">
        <f t="shared" si="8"/>
        <v>1.4610438471417186E-2</v>
      </c>
      <c r="E289" s="79">
        <f t="shared" si="9"/>
        <v>2.5151946236849909E-3</v>
      </c>
    </row>
    <row r="290" spans="1:5">
      <c r="A290" s="136">
        <v>43976</v>
      </c>
      <c r="B290" s="79">
        <v>4539.9101559999999</v>
      </c>
      <c r="C290" s="79">
        <v>26.044903000000001</v>
      </c>
      <c r="D290" s="79">
        <f t="shared" si="8"/>
        <v>2.1453213756650769E-2</v>
      </c>
      <c r="E290" s="79">
        <f t="shared" si="9"/>
        <v>3.8045619654363927E-2</v>
      </c>
    </row>
    <row r="291" spans="1:5">
      <c r="A291" s="136">
        <v>43973</v>
      </c>
      <c r="B291" s="79">
        <v>4444.5600590000004</v>
      </c>
      <c r="C291" s="79">
        <v>25.090326000000001</v>
      </c>
      <c r="D291" s="79">
        <f t="shared" si="8"/>
        <v>-2.0023528798074341E-4</v>
      </c>
      <c r="E291" s="79">
        <f t="shared" si="9"/>
        <v>2.8385067452617596E-2</v>
      </c>
    </row>
    <row r="292" spans="1:5">
      <c r="A292" s="136">
        <v>43972</v>
      </c>
      <c r="B292" s="79">
        <v>4445.4501950000003</v>
      </c>
      <c r="C292" s="79">
        <v>24.397793</v>
      </c>
      <c r="D292" s="79">
        <f t="shared" si="8"/>
        <v>-1.1458753481041639E-2</v>
      </c>
      <c r="E292" s="79">
        <f t="shared" si="9"/>
        <v>4.8672565610933249E-2</v>
      </c>
    </row>
    <row r="293" spans="1:5">
      <c r="A293" s="136">
        <v>43971</v>
      </c>
      <c r="B293" s="79">
        <v>4496.9799800000001</v>
      </c>
      <c r="C293" s="79">
        <v>23.265405999999999</v>
      </c>
      <c r="D293" s="79">
        <f t="shared" si="8"/>
        <v>8.7075884763256894E-3</v>
      </c>
      <c r="E293" s="79">
        <f t="shared" si="9"/>
        <v>1.6115914036747281E-3</v>
      </c>
    </row>
    <row r="294" spans="1:5">
      <c r="A294" s="136">
        <v>43970</v>
      </c>
      <c r="B294" s="79">
        <v>4458.1601559999999</v>
      </c>
      <c r="C294" s="79">
        <v>23.227972000000001</v>
      </c>
      <c r="D294" s="79">
        <f t="shared" si="8"/>
        <v>-8.932114823114734E-3</v>
      </c>
      <c r="E294" s="79">
        <f t="shared" si="9"/>
        <v>-1.8584469904417977E-2</v>
      </c>
    </row>
    <row r="295" spans="1:5">
      <c r="A295" s="136">
        <v>43969</v>
      </c>
      <c r="B295" s="79">
        <v>4498.3398440000001</v>
      </c>
      <c r="C295" s="79">
        <v>23.667826000000002</v>
      </c>
      <c r="D295" s="79">
        <f t="shared" si="8"/>
        <v>5.1596320167188292E-2</v>
      </c>
      <c r="E295" s="79">
        <f t="shared" si="9"/>
        <v>9.3858136445432283E-2</v>
      </c>
    </row>
    <row r="296" spans="1:5">
      <c r="A296" s="136">
        <v>43966</v>
      </c>
      <c r="B296" s="79">
        <v>4277.6298829999996</v>
      </c>
      <c r="C296" s="79">
        <v>21.637015999999999</v>
      </c>
      <c r="D296" s="79">
        <f t="shared" si="8"/>
        <v>1.0530922586515779E-3</v>
      </c>
      <c r="E296" s="79">
        <f t="shared" si="9"/>
        <v>-1.1543330706831223E-2</v>
      </c>
    </row>
    <row r="297" spans="1:5">
      <c r="A297" s="136">
        <v>43965</v>
      </c>
      <c r="B297" s="79">
        <v>4273.1298829999996</v>
      </c>
      <c r="C297" s="79">
        <v>21.889696000000001</v>
      </c>
      <c r="D297" s="79">
        <f t="shared" si="8"/>
        <v>-1.6529605352588073E-2</v>
      </c>
      <c r="E297" s="79">
        <f t="shared" si="9"/>
        <v>-1.7639693328792228E-2</v>
      </c>
    </row>
    <row r="298" spans="1:5">
      <c r="A298" s="136">
        <v>43964</v>
      </c>
      <c r="B298" s="79">
        <v>4344.9501950000003</v>
      </c>
      <c r="C298" s="79">
        <v>22.282757</v>
      </c>
      <c r="D298" s="79">
        <f t="shared" si="8"/>
        <v>-2.851868194522067E-2</v>
      </c>
      <c r="E298" s="79">
        <f t="shared" si="9"/>
        <v>-2.4979532791945869E-2</v>
      </c>
    </row>
    <row r="299" spans="1:5">
      <c r="A299" s="136">
        <v>43963</v>
      </c>
      <c r="B299" s="79">
        <v>4472.5</v>
      </c>
      <c r="C299" s="79">
        <v>22.853629999999999</v>
      </c>
      <c r="D299" s="79">
        <f t="shared" si="8"/>
        <v>-3.9464022144847233E-3</v>
      </c>
      <c r="E299" s="79">
        <f t="shared" si="9"/>
        <v>-2.7091641030594693E-2</v>
      </c>
    </row>
    <row r="300" spans="1:5">
      <c r="A300" s="136">
        <v>43962</v>
      </c>
      <c r="B300" s="79">
        <v>4490.2202150000003</v>
      </c>
      <c r="C300" s="79">
        <v>23.490013000000001</v>
      </c>
      <c r="D300" s="79">
        <f t="shared" si="8"/>
        <v>-1.3060356470123158E-2</v>
      </c>
      <c r="E300" s="79">
        <f t="shared" si="9"/>
        <v>-1.1810976750478708E-2</v>
      </c>
    </row>
    <row r="301" spans="1:5">
      <c r="A301" s="136">
        <v>43959</v>
      </c>
      <c r="B301" s="79">
        <v>4549.6401370000003</v>
      </c>
      <c r="C301" s="79">
        <v>23.770769000000001</v>
      </c>
      <c r="D301" s="79">
        <f t="shared" si="8"/>
        <v>1.0707728333990252E-2</v>
      </c>
      <c r="E301" s="79">
        <f t="shared" si="9"/>
        <v>4.4407958473890563E-2</v>
      </c>
    </row>
    <row r="302" spans="1:5">
      <c r="A302" s="136">
        <v>43958</v>
      </c>
      <c r="B302" s="79">
        <v>4501.4399409999996</v>
      </c>
      <c r="C302" s="79">
        <v>22.760041999999999</v>
      </c>
      <c r="D302" s="79">
        <f t="shared" si="8"/>
        <v>1.535173158992742E-2</v>
      </c>
      <c r="E302" s="79">
        <f t="shared" si="9"/>
        <v>1.9706371701462055E-2</v>
      </c>
    </row>
    <row r="303" spans="1:5">
      <c r="A303" s="136">
        <v>43957</v>
      </c>
      <c r="B303" s="79">
        <v>4433.3798829999996</v>
      </c>
      <c r="C303" s="79">
        <v>22.320191999999999</v>
      </c>
      <c r="D303" s="79">
        <f t="shared" si="8"/>
        <v>-1.1097157855865736E-2</v>
      </c>
      <c r="E303" s="79">
        <f t="shared" si="9"/>
        <v>-1.6900272702118802E-2</v>
      </c>
    </row>
    <row r="304" spans="1:5">
      <c r="A304" s="136">
        <v>43956</v>
      </c>
      <c r="B304" s="79">
        <v>4483.1298829999996</v>
      </c>
      <c r="C304" s="79">
        <v>22.703893999999998</v>
      </c>
      <c r="D304" s="79">
        <f t="shared" si="8"/>
        <v>2.3959431888956884E-2</v>
      </c>
      <c r="E304" s="79">
        <f t="shared" si="9"/>
        <v>5.0216534160089754E-2</v>
      </c>
    </row>
    <row r="305" spans="1:5">
      <c r="A305" s="136">
        <v>43955</v>
      </c>
      <c r="B305" s="79">
        <v>4378.2299800000001</v>
      </c>
      <c r="C305" s="79">
        <v>21.618297999999999</v>
      </c>
      <c r="D305" s="79">
        <f t="shared" si="8"/>
        <v>-4.2419631014996018E-2</v>
      </c>
      <c r="E305" s="79">
        <f t="shared" si="9"/>
        <v>-4.5848808799396568E-2</v>
      </c>
    </row>
    <row r="306" spans="1:5">
      <c r="A306" s="136">
        <v>43951</v>
      </c>
      <c r="B306" s="79">
        <v>4572.1801759999998</v>
      </c>
      <c r="C306" s="79">
        <v>22.657098999999999</v>
      </c>
      <c r="D306" s="79">
        <f t="shared" si="8"/>
        <v>-2.1179053779836088E-2</v>
      </c>
      <c r="E306" s="79">
        <f t="shared" si="9"/>
        <v>-4.8723076801641119E-2</v>
      </c>
    </row>
    <row r="307" spans="1:5">
      <c r="A307" s="136">
        <v>43950</v>
      </c>
      <c r="B307" s="79">
        <v>4671.1098629999997</v>
      </c>
      <c r="C307" s="79">
        <v>23.817564000000001</v>
      </c>
      <c r="D307" s="79">
        <f t="shared" si="8"/>
        <v>2.2171658464678723E-2</v>
      </c>
      <c r="E307" s="79">
        <f t="shared" si="9"/>
        <v>6.9777273127428874E-2</v>
      </c>
    </row>
    <row r="308" spans="1:5">
      <c r="A308" s="136">
        <v>43949</v>
      </c>
      <c r="B308" s="79">
        <v>4569.7900390000004</v>
      </c>
      <c r="C308" s="79">
        <v>22.264040000000001</v>
      </c>
      <c r="D308" s="79">
        <f t="shared" si="8"/>
        <v>1.4323319042997884E-2</v>
      </c>
      <c r="E308" s="79">
        <f t="shared" si="9"/>
        <v>1.666670091471989E-2</v>
      </c>
    </row>
    <row r="309" spans="1:5">
      <c r="A309" s="136">
        <v>43948</v>
      </c>
      <c r="B309" s="79">
        <v>4505.2597660000001</v>
      </c>
      <c r="C309" s="79">
        <v>21.899055000000001</v>
      </c>
      <c r="D309" s="79">
        <f t="shared" si="8"/>
        <v>2.5479579562701193E-2</v>
      </c>
      <c r="E309" s="79">
        <f t="shared" si="9"/>
        <v>1.9163758201480974E-2</v>
      </c>
    </row>
    <row r="310" spans="1:5">
      <c r="A310" s="136">
        <v>43945</v>
      </c>
      <c r="B310" s="79">
        <v>4393.3198240000002</v>
      </c>
      <c r="C310" s="79">
        <v>21.487278</v>
      </c>
      <c r="D310" s="79">
        <f t="shared" si="8"/>
        <v>-1.2958925185351577E-2</v>
      </c>
      <c r="E310" s="79">
        <f t="shared" si="9"/>
        <v>-4.8487412581714739E-2</v>
      </c>
    </row>
    <row r="311" spans="1:5">
      <c r="A311" s="136">
        <v>43944</v>
      </c>
      <c r="B311" s="79">
        <v>4451</v>
      </c>
      <c r="C311" s="79">
        <v>22.582232000000001</v>
      </c>
      <c r="D311" s="79">
        <f t="shared" si="8"/>
        <v>8.8853068436092197E-3</v>
      </c>
      <c r="E311" s="79">
        <f t="shared" si="9"/>
        <v>-8.281068564025551E-4</v>
      </c>
    </row>
    <row r="312" spans="1:5">
      <c r="A312" s="136">
        <v>43943</v>
      </c>
      <c r="B312" s="79">
        <v>4411.7998049999997</v>
      </c>
      <c r="C312" s="79">
        <v>22.600947999999999</v>
      </c>
      <c r="D312" s="79">
        <f t="shared" si="8"/>
        <v>1.2470532026995329E-2</v>
      </c>
      <c r="E312" s="79">
        <f t="shared" si="9"/>
        <v>1.9847889298981736E-2</v>
      </c>
    </row>
    <row r="313" spans="1:5">
      <c r="A313" s="136">
        <v>43942</v>
      </c>
      <c r="B313" s="79">
        <v>4357.4599609999996</v>
      </c>
      <c r="C313" s="79">
        <v>22.161097000000002</v>
      </c>
      <c r="D313" s="79">
        <f t="shared" si="8"/>
        <v>-3.7727149560937701E-2</v>
      </c>
      <c r="E313" s="79">
        <f t="shared" si="9"/>
        <v>-4.0907220503211272E-2</v>
      </c>
    </row>
    <row r="314" spans="1:5">
      <c r="A314" s="136">
        <v>43941</v>
      </c>
      <c r="B314" s="79">
        <v>4528.2998049999997</v>
      </c>
      <c r="C314" s="79">
        <v>23.106311999999999</v>
      </c>
      <c r="D314" s="79">
        <f t="shared" si="8"/>
        <v>6.5103301667293056E-3</v>
      </c>
      <c r="E314" s="79">
        <f t="shared" si="9"/>
        <v>-4.8367656727156261E-3</v>
      </c>
    </row>
    <row r="315" spans="1:5">
      <c r="A315" s="136">
        <v>43938</v>
      </c>
      <c r="B315" s="79">
        <v>4499.0097660000001</v>
      </c>
      <c r="C315" s="79">
        <v>23.218615</v>
      </c>
      <c r="D315" s="79">
        <f t="shared" si="8"/>
        <v>3.4217041364488221E-2</v>
      </c>
      <c r="E315" s="79">
        <f t="shared" si="9"/>
        <v>2.5630497797943352E-2</v>
      </c>
    </row>
    <row r="316" spans="1:5">
      <c r="A316" s="136">
        <v>43937</v>
      </c>
      <c r="B316" s="79">
        <v>4350.1601559999999</v>
      </c>
      <c r="C316" s="79">
        <v>22.638382</v>
      </c>
      <c r="D316" s="79">
        <f t="shared" si="8"/>
        <v>-8.1770504860068094E-4</v>
      </c>
      <c r="E316" s="79">
        <f t="shared" si="9"/>
        <v>1.1710537329536086E-2</v>
      </c>
    </row>
    <row r="317" spans="1:5">
      <c r="A317" s="136">
        <v>43936</v>
      </c>
      <c r="B317" s="79">
        <v>4353.7202150000003</v>
      </c>
      <c r="C317" s="79">
        <v>22.376342999999999</v>
      </c>
      <c r="D317" s="79">
        <f t="shared" si="8"/>
        <v>-3.7620097466851576E-2</v>
      </c>
      <c r="E317" s="79">
        <f t="shared" si="9"/>
        <v>-4.7789704669116473E-2</v>
      </c>
    </row>
    <row r="318" spans="1:5">
      <c r="A318" s="136">
        <v>43935</v>
      </c>
      <c r="B318" s="79">
        <v>4523.9101559999999</v>
      </c>
      <c r="C318" s="79">
        <v>23.499371</v>
      </c>
      <c r="D318" s="79">
        <f t="shared" si="8"/>
        <v>3.7853617557794816E-3</v>
      </c>
      <c r="E318" s="79">
        <f t="shared" si="9"/>
        <v>-3.3487272085057418E-2</v>
      </c>
    </row>
    <row r="319" spans="1:5">
      <c r="A319" s="136">
        <v>43930</v>
      </c>
      <c r="B319" s="79">
        <v>4506.8500979999999</v>
      </c>
      <c r="C319" s="79">
        <v>24.313566000000002</v>
      </c>
      <c r="D319" s="79">
        <f t="shared" si="8"/>
        <v>1.4428022733667278E-2</v>
      </c>
      <c r="E319" s="79">
        <f t="shared" si="9"/>
        <v>4.7158325335081352E-2</v>
      </c>
    </row>
    <row r="320" spans="1:5">
      <c r="A320" s="136">
        <v>43929</v>
      </c>
      <c r="B320" s="79">
        <v>4442.75</v>
      </c>
      <c r="C320" s="79">
        <v>23.218615</v>
      </c>
      <c r="D320" s="79">
        <f t="shared" si="8"/>
        <v>1.009397801353229E-3</v>
      </c>
      <c r="E320" s="79">
        <f t="shared" si="9"/>
        <v>-1.7036343587204072E-2</v>
      </c>
    </row>
    <row r="321" spans="1:5">
      <c r="A321" s="136">
        <v>43928</v>
      </c>
      <c r="B321" s="79">
        <v>4438.2700199999999</v>
      </c>
      <c r="C321" s="79">
        <v>23.621030999999999</v>
      </c>
      <c r="D321" s="79">
        <f t="shared" si="8"/>
        <v>2.1198093042529953E-2</v>
      </c>
      <c r="E321" s="79">
        <f t="shared" si="9"/>
        <v>4.6434454596650188E-2</v>
      </c>
    </row>
    <row r="322" spans="1:5">
      <c r="A322" s="136">
        <v>43927</v>
      </c>
      <c r="B322" s="79">
        <v>4346.1401370000003</v>
      </c>
      <c r="C322" s="79">
        <v>22.572872</v>
      </c>
      <c r="D322" s="79">
        <f t="shared" si="8"/>
        <v>4.6108163858576301E-2</v>
      </c>
      <c r="E322" s="79">
        <f t="shared" si="9"/>
        <v>0.11203327024566745</v>
      </c>
    </row>
    <row r="323" spans="1:5">
      <c r="A323" s="136">
        <v>43924</v>
      </c>
      <c r="B323" s="79">
        <v>4154.580078</v>
      </c>
      <c r="C323" s="79">
        <v>20.298738</v>
      </c>
      <c r="D323" s="79">
        <f t="shared" si="8"/>
        <v>-1.5726252703963883E-2</v>
      </c>
      <c r="E323" s="79">
        <f t="shared" si="9"/>
        <v>-5.0459560102978918E-3</v>
      </c>
    </row>
    <row r="324" spans="1:5">
      <c r="A324" s="136">
        <v>43923</v>
      </c>
      <c r="B324" s="79">
        <v>4220.9599609999996</v>
      </c>
      <c r="C324" s="79">
        <v>20.401683999999999</v>
      </c>
      <c r="D324" s="79">
        <f t="shared" si="8"/>
        <v>3.2609801762986113E-3</v>
      </c>
      <c r="E324" s="79">
        <f t="shared" si="9"/>
        <v>1.0194646954972519E-2</v>
      </c>
    </row>
    <row r="325" spans="1:5">
      <c r="A325" s="136">
        <v>43922</v>
      </c>
      <c r="B325" s="79">
        <v>4207.2402339999999</v>
      </c>
      <c r="C325" s="79">
        <v>20.195795</v>
      </c>
      <c r="D325" s="79">
        <f t="shared" ref="D325:D388" si="10">B325/B326-1</f>
        <v>-4.2965132428841812E-2</v>
      </c>
      <c r="E325" s="79">
        <f t="shared" ref="E325:E388" si="11">C325/C326-1</f>
        <v>-2.6393038359953991E-2</v>
      </c>
    </row>
    <row r="326" spans="1:5">
      <c r="A326" s="136">
        <v>43921</v>
      </c>
      <c r="B326" s="79">
        <v>4396.1201170000004</v>
      </c>
      <c r="C326" s="79">
        <v>20.743272999999999</v>
      </c>
      <c r="D326" s="79">
        <f t="shared" si="10"/>
        <v>4.0219965104903999E-3</v>
      </c>
      <c r="E326" s="79">
        <f t="shared" si="11"/>
        <v>3.3574356332763067E-2</v>
      </c>
    </row>
    <row r="327" spans="1:5">
      <c r="A327" s="136">
        <v>43920</v>
      </c>
      <c r="B327" s="79">
        <v>4378.5097660000001</v>
      </c>
      <c r="C327" s="79">
        <v>20.069454</v>
      </c>
      <c r="D327" s="79">
        <f t="shared" si="10"/>
        <v>6.209259482851559E-3</v>
      </c>
      <c r="E327" s="79">
        <f t="shared" si="11"/>
        <v>-1.2661157195556716E-2</v>
      </c>
    </row>
    <row r="328" spans="1:5">
      <c r="A328" s="136">
        <v>43917</v>
      </c>
      <c r="B328" s="79">
        <v>4351.4902339999999</v>
      </c>
      <c r="C328" s="79">
        <v>20.326815</v>
      </c>
      <c r="D328" s="79">
        <f t="shared" si="10"/>
        <v>-4.2277200071832888E-2</v>
      </c>
      <c r="E328" s="79">
        <f t="shared" si="11"/>
        <v>-2.9273772502720008E-2</v>
      </c>
    </row>
    <row r="329" spans="1:5">
      <c r="A329" s="136">
        <v>43916</v>
      </c>
      <c r="B329" s="79">
        <v>4543.580078</v>
      </c>
      <c r="C329" s="79">
        <v>20.939802</v>
      </c>
      <c r="D329" s="79">
        <f t="shared" si="10"/>
        <v>2.5106666492746399E-2</v>
      </c>
      <c r="E329" s="79">
        <f t="shared" si="11"/>
        <v>3.0631149422996273E-2</v>
      </c>
    </row>
    <row r="330" spans="1:5">
      <c r="A330" s="136">
        <v>43915</v>
      </c>
      <c r="B330" s="79">
        <v>4432.2998049999997</v>
      </c>
      <c r="C330" s="79">
        <v>20.317454999999999</v>
      </c>
      <c r="D330" s="79">
        <f t="shared" si="10"/>
        <v>4.4688429840845645E-2</v>
      </c>
      <c r="E330" s="79">
        <f t="shared" si="11"/>
        <v>8.1444458502381245E-2</v>
      </c>
    </row>
    <row r="331" spans="1:5">
      <c r="A331" s="136">
        <v>43914</v>
      </c>
      <c r="B331" s="79">
        <v>4242.7001950000003</v>
      </c>
      <c r="C331" s="79">
        <v>18.787330999999998</v>
      </c>
      <c r="D331" s="79">
        <f t="shared" si="10"/>
        <v>8.389476843944621E-2</v>
      </c>
      <c r="E331" s="79">
        <f t="shared" si="11"/>
        <v>0.11913266155581037</v>
      </c>
    </row>
    <row r="332" spans="1:5">
      <c r="A332" s="136">
        <v>43913</v>
      </c>
      <c r="B332" s="79">
        <v>3914.3100589999999</v>
      </c>
      <c r="C332" s="79">
        <v>16.787403000000001</v>
      </c>
      <c r="D332" s="79">
        <f t="shared" si="10"/>
        <v>-3.3217246683549417E-2</v>
      </c>
      <c r="E332" s="79">
        <f t="shared" si="11"/>
        <v>-4.1978340567353944E-2</v>
      </c>
    </row>
    <row r="333" spans="1:5">
      <c r="A333" s="136">
        <v>43910</v>
      </c>
      <c r="B333" s="79">
        <v>4048.8000489999999</v>
      </c>
      <c r="C333" s="79">
        <v>17.522988999999999</v>
      </c>
      <c r="D333" s="79">
        <f t="shared" si="10"/>
        <v>5.0136181818181802E-2</v>
      </c>
      <c r="E333" s="79">
        <f t="shared" si="11"/>
        <v>3.2877447596305176E-2</v>
      </c>
    </row>
    <row r="334" spans="1:5">
      <c r="A334" s="136">
        <v>43909</v>
      </c>
      <c r="B334" s="79">
        <v>3855.5</v>
      </c>
      <c r="C334" s="79">
        <v>16.965216000000002</v>
      </c>
      <c r="D334" s="79">
        <f t="shared" si="10"/>
        <v>2.6808042324278025E-2</v>
      </c>
      <c r="E334" s="79">
        <f t="shared" si="11"/>
        <v>7.1110693721210261E-3</v>
      </c>
    </row>
    <row r="335" spans="1:5">
      <c r="A335" s="136">
        <v>43908</v>
      </c>
      <c r="B335" s="79">
        <v>3754.8400879999999</v>
      </c>
      <c r="C335" s="79">
        <v>16.845427000000001</v>
      </c>
      <c r="D335" s="79">
        <f t="shared" si="10"/>
        <v>-5.9356963379406769E-2</v>
      </c>
      <c r="E335" s="79">
        <f t="shared" si="11"/>
        <v>-8.7683646062072351E-2</v>
      </c>
    </row>
    <row r="336" spans="1:5">
      <c r="A336" s="136">
        <v>43907</v>
      </c>
      <c r="B336" s="79">
        <v>3991.780029</v>
      </c>
      <c r="C336" s="79">
        <v>18.464458</v>
      </c>
      <c r="D336" s="79">
        <f t="shared" si="10"/>
        <v>2.8422312508300962E-2</v>
      </c>
      <c r="E336" s="79">
        <f t="shared" si="11"/>
        <v>1.9111340837208113E-2</v>
      </c>
    </row>
    <row r="337" spans="1:5">
      <c r="A337" s="136">
        <v>43906</v>
      </c>
      <c r="B337" s="79">
        <v>3881.459961</v>
      </c>
      <c r="C337" s="79">
        <v>18.118195</v>
      </c>
      <c r="D337" s="79">
        <f t="shared" si="10"/>
        <v>-5.7522875581695998E-2</v>
      </c>
      <c r="E337" s="79">
        <f t="shared" si="11"/>
        <v>-0.17105531830826648</v>
      </c>
    </row>
    <row r="338" spans="1:5">
      <c r="A338" s="136">
        <v>43903</v>
      </c>
      <c r="B338" s="79">
        <v>4118.3598629999997</v>
      </c>
      <c r="C338" s="79">
        <v>21.856940999999999</v>
      </c>
      <c r="D338" s="79">
        <f t="shared" si="10"/>
        <v>1.832222775409531E-2</v>
      </c>
      <c r="E338" s="79">
        <f t="shared" si="11"/>
        <v>-1.6631644075573271E-2</v>
      </c>
    </row>
    <row r="339" spans="1:5">
      <c r="A339" s="136">
        <v>43902</v>
      </c>
      <c r="B339" s="79">
        <v>4044.26001</v>
      </c>
      <c r="C339" s="79">
        <v>22.226606</v>
      </c>
      <c r="D339" s="79">
        <f t="shared" si="10"/>
        <v>-0.12276774361477139</v>
      </c>
      <c r="E339" s="79">
        <f t="shared" si="11"/>
        <v>-0.15884540241466782</v>
      </c>
    </row>
    <row r="340" spans="1:5">
      <c r="A340" s="136">
        <v>43901</v>
      </c>
      <c r="B340" s="79">
        <v>4610.25</v>
      </c>
      <c r="C340" s="79">
        <v>26.423925000000001</v>
      </c>
      <c r="D340" s="79">
        <f t="shared" si="10"/>
        <v>-5.6851587213214705E-3</v>
      </c>
      <c r="E340" s="79">
        <f t="shared" si="11"/>
        <v>-1.5912090808605228E-3</v>
      </c>
    </row>
    <row r="341" spans="1:5">
      <c r="A341" s="136">
        <v>43900</v>
      </c>
      <c r="B341" s="79">
        <v>4636.6098629999997</v>
      </c>
      <c r="C341" s="79">
        <v>26.466038000000001</v>
      </c>
      <c r="D341" s="79">
        <f t="shared" si="10"/>
        <v>-1.5144786250674613E-2</v>
      </c>
      <c r="E341" s="79">
        <f t="shared" si="11"/>
        <v>-1.4462424767500037E-2</v>
      </c>
    </row>
    <row r="342" spans="1:5">
      <c r="A342" s="136">
        <v>43899</v>
      </c>
      <c r="B342" s="79">
        <v>4707.9101559999999</v>
      </c>
      <c r="C342" s="79">
        <v>26.854417999999999</v>
      </c>
      <c r="D342" s="79">
        <f t="shared" si="10"/>
        <v>-8.3905524204591186E-2</v>
      </c>
      <c r="E342" s="79">
        <f t="shared" si="11"/>
        <v>-8.9336762018277005E-2</v>
      </c>
    </row>
    <row r="343" spans="1:5">
      <c r="A343" s="136">
        <v>43896</v>
      </c>
      <c r="B343" s="79">
        <v>5139.1098629999997</v>
      </c>
      <c r="C343" s="79">
        <v>29.488856999999999</v>
      </c>
      <c r="D343" s="79">
        <f t="shared" si="10"/>
        <v>-4.1407590036010578E-2</v>
      </c>
      <c r="E343" s="79">
        <f t="shared" si="11"/>
        <v>-3.4472153559257257E-2</v>
      </c>
    </row>
    <row r="344" spans="1:5">
      <c r="A344" s="136">
        <v>43895</v>
      </c>
      <c r="B344" s="79">
        <v>5361.1000979999999</v>
      </c>
      <c r="C344" s="79">
        <v>30.541695000000001</v>
      </c>
      <c r="D344" s="79">
        <f t="shared" si="10"/>
        <v>-1.8992154718224019E-2</v>
      </c>
      <c r="E344" s="79">
        <f t="shared" si="11"/>
        <v>-1.5238388558981963E-2</v>
      </c>
    </row>
    <row r="345" spans="1:5">
      <c r="A345" s="136">
        <v>43894</v>
      </c>
      <c r="B345" s="79">
        <v>5464.8901370000003</v>
      </c>
      <c r="C345" s="79">
        <v>31.014303000000002</v>
      </c>
      <c r="D345" s="79">
        <f t="shared" si="10"/>
        <v>1.3298341427633531E-2</v>
      </c>
      <c r="E345" s="79">
        <f t="shared" si="11"/>
        <v>1.0520005438652058E-2</v>
      </c>
    </row>
    <row r="346" spans="1:5">
      <c r="A346" s="136">
        <v>43893</v>
      </c>
      <c r="B346" s="79">
        <v>5393.169922</v>
      </c>
      <c r="C346" s="79">
        <v>30.691428999999999</v>
      </c>
      <c r="D346" s="79">
        <f t="shared" si="10"/>
        <v>1.1183965144279995E-2</v>
      </c>
      <c r="E346" s="79">
        <f t="shared" si="11"/>
        <v>2.7412114241702534E-2</v>
      </c>
    </row>
    <row r="347" spans="1:5">
      <c r="A347" s="136">
        <v>43892</v>
      </c>
      <c r="B347" s="79">
        <v>5333.5200199999999</v>
      </c>
      <c r="C347" s="79">
        <v>29.872558999999999</v>
      </c>
      <c r="D347" s="79">
        <f t="shared" si="10"/>
        <v>4.4483169995546135E-3</v>
      </c>
      <c r="E347" s="79">
        <f t="shared" si="11"/>
        <v>1.012660701873358E-2</v>
      </c>
    </row>
    <row r="348" spans="1:5">
      <c r="A348" s="136">
        <v>43889</v>
      </c>
      <c r="B348" s="79">
        <v>5309.8999020000001</v>
      </c>
      <c r="C348" s="79">
        <v>29.573084000000001</v>
      </c>
      <c r="D348" s="79">
        <f t="shared" si="10"/>
        <v>-3.3790703961079971E-2</v>
      </c>
      <c r="E348" s="79">
        <f t="shared" si="11"/>
        <v>-4.3583497756536471E-2</v>
      </c>
    </row>
    <row r="349" spans="1:5">
      <c r="A349" s="136">
        <v>43888</v>
      </c>
      <c r="B349" s="79">
        <v>5495.6000979999999</v>
      </c>
      <c r="C349" s="79">
        <v>30.920717</v>
      </c>
      <c r="D349" s="79">
        <f t="shared" si="10"/>
        <v>-3.3239168180706935E-2</v>
      </c>
      <c r="E349" s="79">
        <f t="shared" si="11"/>
        <v>-4.0511120162396885E-2</v>
      </c>
    </row>
    <row r="350" spans="1:5">
      <c r="A350" s="136">
        <v>43887</v>
      </c>
      <c r="B350" s="79">
        <v>5684.5498049999997</v>
      </c>
      <c r="C350" s="79">
        <v>32.226238000000002</v>
      </c>
      <c r="D350" s="79">
        <f t="shared" si="10"/>
        <v>8.573773256770334E-4</v>
      </c>
      <c r="E350" s="79">
        <f t="shared" si="11"/>
        <v>4.9614341959225428E-3</v>
      </c>
    </row>
    <row r="351" spans="1:5">
      <c r="A351" s="136">
        <v>43886</v>
      </c>
      <c r="B351" s="79">
        <v>5679.6801759999998</v>
      </c>
      <c r="C351" s="79">
        <v>32.067138999999997</v>
      </c>
      <c r="D351" s="79">
        <f t="shared" si="10"/>
        <v>-1.9370244624565491E-2</v>
      </c>
      <c r="E351" s="79">
        <f t="shared" si="11"/>
        <v>-1.1111235148692611E-2</v>
      </c>
    </row>
    <row r="352" spans="1:5">
      <c r="A352" s="136">
        <v>43885</v>
      </c>
      <c r="B352" s="79">
        <v>5791.8701170000004</v>
      </c>
      <c r="C352" s="79">
        <v>32.427447999999998</v>
      </c>
      <c r="D352" s="79">
        <f t="shared" si="10"/>
        <v>-3.9446290958626173E-2</v>
      </c>
      <c r="E352" s="79">
        <f t="shared" si="11"/>
        <v>-3.2528197995812302E-2</v>
      </c>
    </row>
    <row r="353" spans="1:5">
      <c r="A353" s="136">
        <v>43882</v>
      </c>
      <c r="B353" s="79">
        <v>6029.7202150000003</v>
      </c>
      <c r="C353" s="79">
        <v>33.517719</v>
      </c>
      <c r="D353" s="79">
        <f t="shared" si="10"/>
        <v>-5.3741304534508094E-3</v>
      </c>
      <c r="E353" s="79">
        <f t="shared" si="11"/>
        <v>9.7814045861666088E-4</v>
      </c>
    </row>
    <row r="354" spans="1:5">
      <c r="A354" s="136">
        <v>43881</v>
      </c>
      <c r="B354" s="79">
        <v>6062.2998049999997</v>
      </c>
      <c r="C354" s="79">
        <v>33.484966</v>
      </c>
      <c r="D354" s="79">
        <f t="shared" si="10"/>
        <v>-8.0082646281386394E-3</v>
      </c>
      <c r="E354" s="79">
        <f t="shared" si="11"/>
        <v>4.4920052134644894E-3</v>
      </c>
    </row>
    <row r="355" spans="1:5">
      <c r="A355" s="136">
        <v>43880</v>
      </c>
      <c r="B355" s="79">
        <v>6111.2402339999999</v>
      </c>
      <c r="C355" s="79">
        <v>33.335223999999997</v>
      </c>
      <c r="D355" s="79">
        <f t="shared" si="10"/>
        <v>8.984980828447231E-3</v>
      </c>
      <c r="E355" s="79">
        <f t="shared" si="11"/>
        <v>1.2647058169799053E-3</v>
      </c>
    </row>
    <row r="356" spans="1:5">
      <c r="A356" s="136">
        <v>43879</v>
      </c>
      <c r="B356" s="79">
        <v>6056.8198240000002</v>
      </c>
      <c r="C356" s="79">
        <v>33.293118</v>
      </c>
      <c r="D356" s="79">
        <f t="shared" si="10"/>
        <v>-4.7864951349638751E-3</v>
      </c>
      <c r="E356" s="79">
        <f t="shared" si="11"/>
        <v>-2.2664859661330139E-2</v>
      </c>
    </row>
    <row r="357" spans="1:5">
      <c r="A357" s="136">
        <v>43878</v>
      </c>
      <c r="B357" s="79">
        <v>6085.9501950000003</v>
      </c>
      <c r="C357" s="79">
        <v>34.065201000000002</v>
      </c>
      <c r="D357" s="79">
        <f t="shared" si="10"/>
        <v>2.7350699386201605E-3</v>
      </c>
      <c r="E357" s="79">
        <f t="shared" si="11"/>
        <v>1.4210202421049756E-2</v>
      </c>
    </row>
    <row r="358" spans="1:5">
      <c r="A358" s="136">
        <v>43875</v>
      </c>
      <c r="B358" s="79">
        <v>6069.3500979999999</v>
      </c>
      <c r="C358" s="79">
        <v>33.587910000000001</v>
      </c>
      <c r="D358" s="79">
        <f t="shared" si="10"/>
        <v>-3.9043971523874399E-3</v>
      </c>
      <c r="E358" s="79">
        <f t="shared" si="11"/>
        <v>-4.8522618813486851E-3</v>
      </c>
    </row>
    <row r="359" spans="1:5">
      <c r="A359" s="136">
        <v>43874</v>
      </c>
      <c r="B359" s="79">
        <v>6093.1401370000003</v>
      </c>
      <c r="C359" s="79">
        <v>33.751682000000002</v>
      </c>
      <c r="D359" s="79">
        <f t="shared" si="10"/>
        <v>-1.8985021512777367E-3</v>
      </c>
      <c r="E359" s="79">
        <f t="shared" si="11"/>
        <v>5.5479851505513267E-4</v>
      </c>
    </row>
    <row r="360" spans="1:5">
      <c r="A360" s="136">
        <v>43873</v>
      </c>
      <c r="B360" s="79">
        <v>6104.7299800000001</v>
      </c>
      <c r="C360" s="79">
        <v>33.732967000000002</v>
      </c>
      <c r="D360" s="79">
        <f t="shared" si="10"/>
        <v>8.2530465173207279E-3</v>
      </c>
      <c r="E360" s="79">
        <f t="shared" si="11"/>
        <v>1.6210827396092364E-2</v>
      </c>
    </row>
    <row r="361" spans="1:5">
      <c r="A361" s="136">
        <v>43872</v>
      </c>
      <c r="B361" s="79">
        <v>6054.7597660000001</v>
      </c>
      <c r="C361" s="79">
        <v>33.194851</v>
      </c>
      <c r="D361" s="79">
        <f t="shared" si="10"/>
        <v>6.4980034654236185E-3</v>
      </c>
      <c r="E361" s="79">
        <f t="shared" si="11"/>
        <v>9.1038017559792461E-3</v>
      </c>
    </row>
    <row r="362" spans="1:5">
      <c r="A362" s="136">
        <v>43871</v>
      </c>
      <c r="B362" s="79">
        <v>6015.669922</v>
      </c>
      <c r="C362" s="79">
        <v>32.895378000000001</v>
      </c>
      <c r="D362" s="79">
        <f t="shared" si="10"/>
        <v>-2.3351014552842608E-3</v>
      </c>
      <c r="E362" s="79">
        <f t="shared" si="11"/>
        <v>-1.1365565912265785E-3</v>
      </c>
    </row>
    <row r="363" spans="1:5">
      <c r="A363" s="136">
        <v>43868</v>
      </c>
      <c r="B363" s="79">
        <v>6029.75</v>
      </c>
      <c r="C363" s="79">
        <v>32.932808000000001</v>
      </c>
      <c r="D363" s="79">
        <f t="shared" si="10"/>
        <v>-1.3961451553743398E-3</v>
      </c>
      <c r="E363" s="79">
        <f t="shared" si="11"/>
        <v>1.422823566624043E-3</v>
      </c>
    </row>
    <row r="364" spans="1:5">
      <c r="A364" s="136">
        <v>43867</v>
      </c>
      <c r="B364" s="79">
        <v>6038.1801759999998</v>
      </c>
      <c r="C364" s="79">
        <v>32.886017000000002</v>
      </c>
      <c r="D364" s="79">
        <f t="shared" si="10"/>
        <v>8.8181700244227557E-3</v>
      </c>
      <c r="E364" s="79">
        <f t="shared" si="11"/>
        <v>1.9960081664796014E-3</v>
      </c>
    </row>
    <row r="365" spans="1:5">
      <c r="A365" s="136">
        <v>43866</v>
      </c>
      <c r="B365" s="79">
        <v>5985.3999020000001</v>
      </c>
      <c r="C365" s="79">
        <v>32.820506999999999</v>
      </c>
      <c r="D365" s="79">
        <f t="shared" si="10"/>
        <v>8.4835171825488054E-3</v>
      </c>
      <c r="E365" s="79">
        <f t="shared" si="11"/>
        <v>1.0080615005872984E-2</v>
      </c>
    </row>
    <row r="366" spans="1:5">
      <c r="A366" s="136">
        <v>43865</v>
      </c>
      <c r="B366" s="79">
        <v>5935.0498049999997</v>
      </c>
      <c r="C366" s="79">
        <v>32.492958000000002</v>
      </c>
      <c r="D366" s="79">
        <f t="shared" si="10"/>
        <v>1.7580774505984609E-2</v>
      </c>
      <c r="E366" s="79">
        <f t="shared" si="11"/>
        <v>1.5650121787212701E-2</v>
      </c>
    </row>
    <row r="367" spans="1:5">
      <c r="A367" s="136">
        <v>43864</v>
      </c>
      <c r="B367" s="79">
        <v>5832.5097660000001</v>
      </c>
      <c r="C367" s="79">
        <v>31.992274999999999</v>
      </c>
      <c r="D367" s="79">
        <f t="shared" si="10"/>
        <v>4.5071288803466558E-3</v>
      </c>
      <c r="E367" s="79">
        <f t="shared" si="11"/>
        <v>-1.4604358316812061E-3</v>
      </c>
    </row>
    <row r="368" spans="1:5">
      <c r="A368" s="136">
        <v>43861</v>
      </c>
      <c r="B368" s="79">
        <v>5806.3398440000001</v>
      </c>
      <c r="C368" s="79">
        <v>32.039065999999998</v>
      </c>
      <c r="D368" s="79">
        <f t="shared" si="10"/>
        <v>-1.1143177572884522E-2</v>
      </c>
      <c r="E368" s="79">
        <f t="shared" si="11"/>
        <v>-1.4536654015109729E-2</v>
      </c>
    </row>
    <row r="369" spans="1:5">
      <c r="A369" s="136">
        <v>43860</v>
      </c>
      <c r="B369" s="79">
        <v>5871.7700199999999</v>
      </c>
      <c r="C369" s="79">
        <v>32.511676999999999</v>
      </c>
      <c r="D369" s="79">
        <f t="shared" si="10"/>
        <v>-1.3958295633960338E-2</v>
      </c>
      <c r="E369" s="79">
        <f t="shared" si="11"/>
        <v>-1.8366647564400651E-2</v>
      </c>
    </row>
    <row r="370" spans="1:5">
      <c r="A370" s="136">
        <v>43859</v>
      </c>
      <c r="B370" s="79">
        <v>5954.8901370000003</v>
      </c>
      <c r="C370" s="79">
        <v>33.119979999999998</v>
      </c>
      <c r="D370" s="79">
        <f t="shared" si="10"/>
        <v>4.9057031538932705E-3</v>
      </c>
      <c r="E370" s="79">
        <f t="shared" si="11"/>
        <v>1.099833765154834E-2</v>
      </c>
    </row>
    <row r="371" spans="1:5">
      <c r="A371" s="136">
        <v>43858</v>
      </c>
      <c r="B371" s="79">
        <v>5925.8198240000002</v>
      </c>
      <c r="C371" s="79">
        <v>32.759678000000001</v>
      </c>
      <c r="D371" s="79">
        <f t="shared" si="10"/>
        <v>1.0711169974821244E-2</v>
      </c>
      <c r="E371" s="79">
        <f t="shared" si="11"/>
        <v>4.2869829387970348E-4</v>
      </c>
    </row>
    <row r="372" spans="1:5">
      <c r="A372" s="136">
        <v>43857</v>
      </c>
      <c r="B372" s="79">
        <v>5863.0200199999999</v>
      </c>
      <c r="C372" s="79">
        <v>32.745640000000002</v>
      </c>
      <c r="D372" s="79">
        <f t="shared" si="10"/>
        <v>-2.6765071936308726E-2</v>
      </c>
      <c r="E372" s="79">
        <f t="shared" si="11"/>
        <v>-6.2481778158565149E-3</v>
      </c>
    </row>
    <row r="373" spans="1:5">
      <c r="A373" s="136">
        <v>43854</v>
      </c>
      <c r="B373" s="79">
        <v>6024.2597660000001</v>
      </c>
      <c r="C373" s="79">
        <v>32.951526999999999</v>
      </c>
      <c r="D373" s="79">
        <f t="shared" si="10"/>
        <v>8.7862645299541242E-3</v>
      </c>
      <c r="E373" s="79">
        <f t="shared" si="11"/>
        <v>1.6015046809297884E-2</v>
      </c>
    </row>
    <row r="374" spans="1:5">
      <c r="A374" s="136">
        <v>43853</v>
      </c>
      <c r="B374" s="79">
        <v>5971.7900390000004</v>
      </c>
      <c r="C374" s="79">
        <v>32.432124999999999</v>
      </c>
      <c r="D374" s="79">
        <f t="shared" si="10"/>
        <v>-6.5197257569304945E-3</v>
      </c>
      <c r="E374" s="79">
        <f t="shared" si="11"/>
        <v>-9.8571830124118964E-3</v>
      </c>
    </row>
    <row r="375" spans="1:5">
      <c r="A375" s="136">
        <v>43852</v>
      </c>
      <c r="B375" s="79">
        <v>6010.9799800000001</v>
      </c>
      <c r="C375" s="79">
        <v>32.754997000000003</v>
      </c>
      <c r="D375" s="79">
        <f t="shared" si="10"/>
        <v>-5.7906567237104856E-3</v>
      </c>
      <c r="E375" s="79">
        <f t="shared" si="11"/>
        <v>-2.7069255441412032E-3</v>
      </c>
    </row>
    <row r="376" spans="1:5">
      <c r="A376" s="136">
        <v>43851</v>
      </c>
      <c r="B376" s="79">
        <v>6045.9902339999999</v>
      </c>
      <c r="C376" s="79">
        <v>32.843902999999997</v>
      </c>
      <c r="D376" s="79">
        <f t="shared" si="10"/>
        <v>-5.35487218824926E-3</v>
      </c>
      <c r="E376" s="79">
        <f t="shared" si="11"/>
        <v>-9.9632994946352582E-4</v>
      </c>
    </row>
    <row r="377" spans="1:5">
      <c r="A377" s="136">
        <v>43850</v>
      </c>
      <c r="B377" s="79">
        <v>6078.5400390000004</v>
      </c>
      <c r="C377" s="79">
        <v>32.876658999999997</v>
      </c>
      <c r="D377" s="79">
        <f t="shared" si="10"/>
        <v>-3.6356651703949305E-3</v>
      </c>
      <c r="E377" s="79">
        <f t="shared" si="11"/>
        <v>-6.6449455931767432E-3</v>
      </c>
    </row>
    <row r="378" spans="1:5">
      <c r="A378" s="136">
        <v>43847</v>
      </c>
      <c r="B378" s="79">
        <v>6100.7202150000003</v>
      </c>
      <c r="C378" s="79">
        <v>33.096584</v>
      </c>
      <c r="D378" s="79">
        <f t="shared" si="10"/>
        <v>1.0215288249319388E-2</v>
      </c>
      <c r="E378" s="79">
        <f t="shared" si="11"/>
        <v>8.411722585516479E-3</v>
      </c>
    </row>
    <row r="379" spans="1:5">
      <c r="A379" s="136">
        <v>43846</v>
      </c>
      <c r="B379" s="79">
        <v>6039.0297849999997</v>
      </c>
      <c r="C379" s="79">
        <v>32.820506999999999</v>
      </c>
      <c r="D379" s="79">
        <f t="shared" si="10"/>
        <v>1.0642030805565472E-3</v>
      </c>
      <c r="E379" s="79">
        <f t="shared" si="11"/>
        <v>-1.0021074280663345E-2</v>
      </c>
    </row>
    <row r="380" spans="1:5">
      <c r="A380" s="136">
        <v>43845</v>
      </c>
      <c r="B380" s="79">
        <v>6032.6098629999997</v>
      </c>
      <c r="C380" s="79">
        <v>33.152732999999998</v>
      </c>
      <c r="D380" s="79">
        <f t="shared" si="10"/>
        <v>-1.3707042856622165E-3</v>
      </c>
      <c r="E380" s="79">
        <f t="shared" si="11"/>
        <v>-1.4466732967918339E-2</v>
      </c>
    </row>
    <row r="381" spans="1:5">
      <c r="A381" s="136">
        <v>43844</v>
      </c>
      <c r="B381" s="79">
        <v>6040.8901370000003</v>
      </c>
      <c r="C381" s="79">
        <v>33.639384999999997</v>
      </c>
      <c r="D381" s="79">
        <f t="shared" si="10"/>
        <v>7.8692672671465402E-4</v>
      </c>
      <c r="E381" s="79">
        <f t="shared" si="11"/>
        <v>7.7097194151138915E-3</v>
      </c>
    </row>
    <row r="382" spans="1:5">
      <c r="A382" s="136">
        <v>43843</v>
      </c>
      <c r="B382" s="79">
        <v>6036.1401370000003</v>
      </c>
      <c r="C382" s="79">
        <v>33.382019</v>
      </c>
      <c r="D382" s="79">
        <f t="shared" si="10"/>
        <v>-1.606275224412812E-4</v>
      </c>
      <c r="E382" s="79">
        <f t="shared" si="11"/>
        <v>1.277668854067282E-2</v>
      </c>
    </row>
    <row r="383" spans="1:5">
      <c r="A383" s="136">
        <v>43840</v>
      </c>
      <c r="B383" s="79">
        <v>6037.1098629999997</v>
      </c>
      <c r="C383" s="79">
        <v>32.960887999999997</v>
      </c>
      <c r="D383" s="79">
        <f t="shared" si="10"/>
        <v>-9.0027259609815058E-4</v>
      </c>
      <c r="E383" s="79">
        <f t="shared" si="11"/>
        <v>-1.3168870699803104E-2</v>
      </c>
    </row>
    <row r="384" spans="1:5">
      <c r="A384" s="136">
        <v>43839</v>
      </c>
      <c r="B384" s="79">
        <v>6042.5498049999997</v>
      </c>
      <c r="C384" s="79">
        <v>33.400737999999997</v>
      </c>
      <c r="D384" s="79">
        <f t="shared" si="10"/>
        <v>1.9150729563919278E-3</v>
      </c>
      <c r="E384" s="79">
        <f t="shared" si="11"/>
        <v>-5.849671540286816E-3</v>
      </c>
    </row>
    <row r="385" spans="1:5">
      <c r="A385" s="136">
        <v>43838</v>
      </c>
      <c r="B385" s="79">
        <v>6031</v>
      </c>
      <c r="C385" s="79">
        <v>33.597270999999999</v>
      </c>
      <c r="D385" s="79">
        <f t="shared" si="10"/>
        <v>3.1019321390155508E-3</v>
      </c>
      <c r="E385" s="79">
        <f t="shared" si="11"/>
        <v>1.2551872435211386E-3</v>
      </c>
    </row>
    <row r="386" spans="1:5">
      <c r="A386" s="136">
        <v>43837</v>
      </c>
      <c r="B386" s="79">
        <v>6012.3500979999999</v>
      </c>
      <c r="C386" s="79">
        <v>33.555152999999997</v>
      </c>
      <c r="D386" s="79">
        <f t="shared" si="10"/>
        <v>-2.0615739220009033E-4</v>
      </c>
      <c r="E386" s="79">
        <f t="shared" si="11"/>
        <v>-4.0277994742371481E-3</v>
      </c>
    </row>
    <row r="387" spans="1:5">
      <c r="A387" s="136">
        <v>43836</v>
      </c>
      <c r="B387" s="79">
        <v>6013.5898440000001</v>
      </c>
      <c r="C387" s="79">
        <v>33.690852999999997</v>
      </c>
      <c r="D387" s="79">
        <f t="shared" si="10"/>
        <v>-5.0578262671701069E-3</v>
      </c>
      <c r="E387" s="79">
        <f t="shared" si="11"/>
        <v>-9.3561866242184433E-3</v>
      </c>
    </row>
    <row r="388" spans="1:5">
      <c r="A388" s="136">
        <v>43833</v>
      </c>
      <c r="B388" s="79">
        <v>6044.1601559999999</v>
      </c>
      <c r="C388" s="79">
        <v>34.009048</v>
      </c>
      <c r="D388" s="79">
        <f t="shared" si="10"/>
        <v>4.4031382934694996E-4</v>
      </c>
      <c r="E388" s="79">
        <f t="shared" si="11"/>
        <v>-1.7439478456952595E-2</v>
      </c>
    </row>
    <row r="389" spans="1:5">
      <c r="A389" s="136">
        <v>43832</v>
      </c>
      <c r="B389" s="79">
        <v>6041.5</v>
      </c>
      <c r="C389" s="79">
        <v>34.612675000000003</v>
      </c>
      <c r="D389" s="79">
        <f t="shared" ref="D389:D452" si="12">B389/B390-1</f>
        <v>1.0612128411873423E-2</v>
      </c>
      <c r="E389" s="79">
        <f t="shared" ref="E389:E452" si="13">C389/C390-1</f>
        <v>1.3287709928073266E-2</v>
      </c>
    </row>
    <row r="390" spans="1:5">
      <c r="A390" s="136">
        <v>43830</v>
      </c>
      <c r="B390" s="79">
        <v>5978.0600590000004</v>
      </c>
      <c r="C390" s="79">
        <v>34.158783</v>
      </c>
      <c r="D390" s="79">
        <f t="shared" si="12"/>
        <v>-6.9542006988787541E-4</v>
      </c>
      <c r="E390" s="79">
        <f t="shared" si="13"/>
        <v>-4.1067729359278715E-4</v>
      </c>
    </row>
    <row r="391" spans="1:5">
      <c r="A391" s="136">
        <v>43829</v>
      </c>
      <c r="B391" s="79">
        <v>5982.2202150000003</v>
      </c>
      <c r="C391" s="79">
        <v>34.172817000000002</v>
      </c>
      <c r="D391" s="79">
        <f t="shared" si="12"/>
        <v>-9.1380415623453226E-3</v>
      </c>
      <c r="E391" s="79">
        <f t="shared" si="13"/>
        <v>-1.5237432992964539E-2</v>
      </c>
    </row>
    <row r="392" spans="1:5">
      <c r="A392" s="136">
        <v>43826</v>
      </c>
      <c r="B392" s="79">
        <v>6037.3901370000003</v>
      </c>
      <c r="C392" s="79">
        <v>34.70158</v>
      </c>
      <c r="D392" s="79">
        <f t="shared" si="12"/>
        <v>1.3002855934522994E-3</v>
      </c>
      <c r="E392" s="79">
        <f t="shared" si="13"/>
        <v>2.6971462739644458E-4</v>
      </c>
    </row>
    <row r="393" spans="1:5">
      <c r="A393" s="136">
        <v>43824</v>
      </c>
      <c r="B393" s="79">
        <v>6029.55</v>
      </c>
      <c r="C393" s="79">
        <v>34.692222999999998</v>
      </c>
      <c r="D393" s="79">
        <f t="shared" si="12"/>
        <v>3.2340722988521975E-8</v>
      </c>
      <c r="E393" s="79">
        <f t="shared" si="13"/>
        <v>0</v>
      </c>
    </row>
    <row r="394" spans="1:5">
      <c r="A394" s="136">
        <v>43823</v>
      </c>
      <c r="B394" s="79">
        <v>6029.5498049999997</v>
      </c>
      <c r="C394" s="79">
        <v>34.692222999999998</v>
      </c>
      <c r="D394" s="79">
        <f t="shared" si="12"/>
        <v>2.9802118050925586E-5</v>
      </c>
      <c r="E394" s="79">
        <f t="shared" si="13"/>
        <v>2.0273506765866589E-3</v>
      </c>
    </row>
    <row r="395" spans="1:5">
      <c r="A395" s="136">
        <v>43822</v>
      </c>
      <c r="B395" s="79">
        <v>6029.3701170000004</v>
      </c>
      <c r="C395" s="79">
        <v>34.622031999999997</v>
      </c>
      <c r="D395" s="79">
        <f t="shared" si="12"/>
        <v>1.3020498577507311E-3</v>
      </c>
      <c r="E395" s="79">
        <f t="shared" si="13"/>
        <v>-3.6359398101352136E-3</v>
      </c>
    </row>
    <row r="396" spans="1:5">
      <c r="A396" s="136">
        <v>43819</v>
      </c>
      <c r="B396" s="79">
        <v>6021.5297849999997</v>
      </c>
      <c r="C396" s="79">
        <v>34.748375000000003</v>
      </c>
      <c r="D396" s="79">
        <f t="shared" si="12"/>
        <v>8.2464321453419309E-3</v>
      </c>
      <c r="E396" s="79">
        <f t="shared" si="13"/>
        <v>-1.8817204687151534E-3</v>
      </c>
    </row>
    <row r="397" spans="1:5">
      <c r="A397" s="136">
        <v>43818</v>
      </c>
      <c r="B397" s="79">
        <v>5972.2797849999997</v>
      </c>
      <c r="C397" s="79">
        <v>34.813884999999999</v>
      </c>
      <c r="D397" s="79">
        <f t="shared" si="12"/>
        <v>2.1276070191782459E-3</v>
      </c>
      <c r="E397" s="79">
        <f t="shared" si="13"/>
        <v>-6.2775073564651507E-3</v>
      </c>
    </row>
    <row r="398" spans="1:5">
      <c r="A398" s="136">
        <v>43817</v>
      </c>
      <c r="B398" s="79">
        <v>5959.6000979999999</v>
      </c>
      <c r="C398" s="79">
        <v>35.033810000000003</v>
      </c>
      <c r="D398" s="79">
        <f t="shared" si="12"/>
        <v>-1.4509536011372282E-3</v>
      </c>
      <c r="E398" s="79">
        <f t="shared" si="13"/>
        <v>-1.1094912482808139E-2</v>
      </c>
    </row>
    <row r="399" spans="1:5">
      <c r="A399" s="136">
        <v>43816</v>
      </c>
      <c r="B399" s="79">
        <v>5968.2597660000001</v>
      </c>
      <c r="C399" s="79">
        <v>35.426867999999999</v>
      </c>
      <c r="D399" s="79">
        <f t="shared" si="12"/>
        <v>-3.9054935344700059E-3</v>
      </c>
      <c r="E399" s="79">
        <f t="shared" si="13"/>
        <v>-2.2466063494496979E-2</v>
      </c>
    </row>
    <row r="400" spans="1:5">
      <c r="A400" s="136">
        <v>43815</v>
      </c>
      <c r="B400" s="79">
        <v>5991.6601559999999</v>
      </c>
      <c r="C400" s="79">
        <v>36.241061999999999</v>
      </c>
      <c r="D400" s="79">
        <f t="shared" si="12"/>
        <v>1.2272324769058596E-2</v>
      </c>
      <c r="E400" s="79">
        <f t="shared" si="13"/>
        <v>1.7205081901976227E-2</v>
      </c>
    </row>
    <row r="401" spans="1:5">
      <c r="A401" s="136">
        <v>43812</v>
      </c>
      <c r="B401" s="79">
        <v>5919.0200199999999</v>
      </c>
      <c r="C401" s="79">
        <v>35.628078000000002</v>
      </c>
      <c r="D401" s="79">
        <f t="shared" si="12"/>
        <v>5.9073282591719511E-3</v>
      </c>
      <c r="E401" s="79">
        <f t="shared" si="13"/>
        <v>3.294209694507666E-3</v>
      </c>
    </row>
    <row r="402" spans="1:5">
      <c r="A402" s="136">
        <v>43811</v>
      </c>
      <c r="B402" s="79">
        <v>5884.2597660000001</v>
      </c>
      <c r="C402" s="79">
        <v>35.511096999999999</v>
      </c>
      <c r="D402" s="79">
        <f t="shared" si="12"/>
        <v>3.9891421538624794E-3</v>
      </c>
      <c r="E402" s="79">
        <f t="shared" si="13"/>
        <v>6.59355250374416E-4</v>
      </c>
    </row>
    <row r="403" spans="1:5">
      <c r="A403" s="136">
        <v>43810</v>
      </c>
      <c r="B403" s="79">
        <v>5860.8798829999996</v>
      </c>
      <c r="C403" s="79">
        <v>35.487698000000002</v>
      </c>
      <c r="D403" s="79">
        <f t="shared" si="12"/>
        <v>2.1973379877373578E-3</v>
      </c>
      <c r="E403" s="79">
        <f t="shared" si="13"/>
        <v>6.6366592517541623E-3</v>
      </c>
    </row>
    <row r="404" spans="1:5">
      <c r="A404" s="136">
        <v>43809</v>
      </c>
      <c r="B404" s="79">
        <v>5848.0297849999997</v>
      </c>
      <c r="C404" s="79">
        <v>35.253731000000002</v>
      </c>
      <c r="D404" s="79">
        <f t="shared" si="12"/>
        <v>1.8467232001369016E-3</v>
      </c>
      <c r="E404" s="79">
        <f t="shared" si="13"/>
        <v>5.33750627342644E-3</v>
      </c>
    </row>
    <row r="405" spans="1:5">
      <c r="A405" s="136">
        <v>43808</v>
      </c>
      <c r="B405" s="79">
        <v>5837.25</v>
      </c>
      <c r="C405" s="79">
        <v>35.066563000000002</v>
      </c>
      <c r="D405" s="79">
        <f t="shared" si="12"/>
        <v>-5.9027054364214626E-3</v>
      </c>
      <c r="E405" s="79">
        <f t="shared" si="13"/>
        <v>-5.3091685529681465E-3</v>
      </c>
    </row>
    <row r="406" spans="1:5">
      <c r="A406" s="136">
        <v>43805</v>
      </c>
      <c r="B406" s="79">
        <v>5871.9101559999999</v>
      </c>
      <c r="C406" s="79">
        <v>35.253731000000002</v>
      </c>
      <c r="D406" s="79">
        <f t="shared" si="12"/>
        <v>1.2127854343224165E-2</v>
      </c>
      <c r="E406" s="79">
        <f t="shared" si="13"/>
        <v>-5.3078247775950604E-4</v>
      </c>
    </row>
    <row r="407" spans="1:5">
      <c r="A407" s="136">
        <v>43804</v>
      </c>
      <c r="B407" s="79">
        <v>5801.5498049999997</v>
      </c>
      <c r="C407" s="79">
        <v>35.272452999999999</v>
      </c>
      <c r="D407" s="79">
        <f t="shared" si="12"/>
        <v>3.2236760360282446E-4</v>
      </c>
      <c r="E407" s="79">
        <f t="shared" si="13"/>
        <v>1.3989727822630194E-2</v>
      </c>
    </row>
    <row r="408" spans="1:5">
      <c r="A408" s="136">
        <v>43803</v>
      </c>
      <c r="B408" s="79">
        <v>5799.6801759999998</v>
      </c>
      <c r="C408" s="79">
        <v>34.785809</v>
      </c>
      <c r="D408" s="79">
        <f t="shared" si="12"/>
        <v>1.2651855224672826E-2</v>
      </c>
      <c r="E408" s="79">
        <f t="shared" si="13"/>
        <v>3.1068114892669918E-2</v>
      </c>
    </row>
    <row r="409" spans="1:5">
      <c r="A409" s="136">
        <v>43802</v>
      </c>
      <c r="B409" s="79">
        <v>5727.2202150000003</v>
      </c>
      <c r="C409" s="79">
        <v>33.737644000000003</v>
      </c>
      <c r="D409" s="79">
        <f t="shared" si="12"/>
        <v>-1.0285586805899749E-2</v>
      </c>
      <c r="E409" s="79">
        <f t="shared" si="13"/>
        <v>-1.8780811387078877E-2</v>
      </c>
    </row>
    <row r="410" spans="1:5">
      <c r="A410" s="136">
        <v>43801</v>
      </c>
      <c r="B410" s="79">
        <v>5786.7402339999999</v>
      </c>
      <c r="C410" s="79">
        <v>34.383392000000001</v>
      </c>
      <c r="D410" s="79">
        <f t="shared" si="12"/>
        <v>-2.0055254897709984E-2</v>
      </c>
      <c r="E410" s="79">
        <f t="shared" si="13"/>
        <v>-2.7197595679051556E-4</v>
      </c>
    </row>
    <row r="411" spans="1:5">
      <c r="A411" s="136">
        <v>43798</v>
      </c>
      <c r="B411" s="79">
        <v>5905.169922</v>
      </c>
      <c r="C411" s="79">
        <v>34.392746000000002</v>
      </c>
      <c r="D411" s="79">
        <f t="shared" si="12"/>
        <v>-1.2769575974262981E-3</v>
      </c>
      <c r="E411" s="79">
        <f t="shared" si="13"/>
        <v>-1.3555289669206161E-2</v>
      </c>
    </row>
    <row r="412" spans="1:5">
      <c r="A412" s="136">
        <v>43797</v>
      </c>
      <c r="B412" s="79">
        <v>5912.7202150000003</v>
      </c>
      <c r="C412" s="79">
        <v>34.865355999999998</v>
      </c>
      <c r="D412" s="79">
        <f t="shared" si="12"/>
        <v>-2.3823199836070508E-3</v>
      </c>
      <c r="E412" s="79">
        <f t="shared" si="13"/>
        <v>-7.8561961927905433E-3</v>
      </c>
    </row>
    <row r="413" spans="1:5">
      <c r="A413" s="136">
        <v>43796</v>
      </c>
      <c r="B413" s="79">
        <v>5926.8398440000001</v>
      </c>
      <c r="C413" s="79">
        <v>35.141433999999997</v>
      </c>
      <c r="D413" s="79">
        <f t="shared" si="12"/>
        <v>-4.6887877218804164E-4</v>
      </c>
      <c r="E413" s="79">
        <f t="shared" si="13"/>
        <v>1.2402315373903017E-2</v>
      </c>
    </row>
    <row r="414" spans="1:5">
      <c r="A414" s="136">
        <v>43795</v>
      </c>
      <c r="B414" s="79">
        <v>5929.6201170000004</v>
      </c>
      <c r="C414" s="79">
        <v>34.710937999999999</v>
      </c>
      <c r="D414" s="79">
        <f t="shared" si="12"/>
        <v>8.0343739937682734E-4</v>
      </c>
      <c r="E414" s="79">
        <f t="shared" si="13"/>
        <v>1.380344737014183E-2</v>
      </c>
    </row>
    <row r="415" spans="1:5">
      <c r="A415" s="136">
        <v>43794</v>
      </c>
      <c r="B415" s="79">
        <v>5924.8598629999997</v>
      </c>
      <c r="C415" s="79">
        <v>34.238331000000002</v>
      </c>
      <c r="D415" s="79">
        <f t="shared" si="12"/>
        <v>5.3842322551775901E-3</v>
      </c>
      <c r="E415" s="79">
        <f t="shared" si="13"/>
        <v>1.0077280578925318E-2</v>
      </c>
    </row>
    <row r="416" spans="1:5">
      <c r="A416" s="136">
        <v>43791</v>
      </c>
      <c r="B416" s="79">
        <v>5893.1298829999996</v>
      </c>
      <c r="C416" s="79">
        <v>33.896743999999998</v>
      </c>
      <c r="D416" s="79">
        <f t="shared" si="12"/>
        <v>2.0267805568998654E-3</v>
      </c>
      <c r="E416" s="79">
        <f t="shared" si="13"/>
        <v>-2.2038107053564682E-3</v>
      </c>
    </row>
    <row r="417" spans="1:5">
      <c r="A417" s="136">
        <v>43790</v>
      </c>
      <c r="B417" s="79">
        <v>5881.2099609999996</v>
      </c>
      <c r="C417" s="79">
        <v>33.971611000000003</v>
      </c>
      <c r="D417" s="79">
        <f t="shared" si="12"/>
        <v>-2.1750524628542101E-3</v>
      </c>
      <c r="E417" s="79">
        <f t="shared" si="13"/>
        <v>-1.2110422613194283E-2</v>
      </c>
    </row>
    <row r="418" spans="1:5">
      <c r="A418" s="136">
        <v>43789</v>
      </c>
      <c r="B418" s="79">
        <v>5894.0297849999997</v>
      </c>
      <c r="C418" s="79">
        <v>34.388064999999997</v>
      </c>
      <c r="D418" s="79">
        <f t="shared" si="12"/>
        <v>-2.5418672198854741E-3</v>
      </c>
      <c r="E418" s="79">
        <f t="shared" si="13"/>
        <v>-6.0861357052880427E-3</v>
      </c>
    </row>
    <row r="419" spans="1:5">
      <c r="A419" s="136">
        <v>43788</v>
      </c>
      <c r="B419" s="79">
        <v>5909.0498049999997</v>
      </c>
      <c r="C419" s="79">
        <v>34.598636999999997</v>
      </c>
      <c r="D419" s="79">
        <f t="shared" si="12"/>
        <v>-3.4976337886489794E-3</v>
      </c>
      <c r="E419" s="79">
        <f t="shared" si="13"/>
        <v>-2.4285190972546111E-3</v>
      </c>
    </row>
    <row r="420" spans="1:5">
      <c r="A420" s="136">
        <v>43787</v>
      </c>
      <c r="B420" s="79">
        <v>5929.7900390000004</v>
      </c>
      <c r="C420" s="79">
        <v>34.682865</v>
      </c>
      <c r="D420" s="79">
        <f t="shared" si="12"/>
        <v>-1.596152552094221E-3</v>
      </c>
      <c r="E420" s="79">
        <f t="shared" si="13"/>
        <v>-1.120583579846246E-2</v>
      </c>
    </row>
    <row r="421" spans="1:5">
      <c r="A421" s="136">
        <v>43784</v>
      </c>
      <c r="B421" s="79">
        <v>5939.2700199999999</v>
      </c>
      <c r="C421" s="79">
        <v>35.075920000000004</v>
      </c>
      <c r="D421" s="79">
        <f t="shared" si="12"/>
        <v>6.471686792113962E-3</v>
      </c>
      <c r="E421" s="79">
        <f t="shared" si="13"/>
        <v>2.1531722103829143E-2</v>
      </c>
    </row>
    <row r="422" spans="1:5">
      <c r="A422" s="136">
        <v>43783</v>
      </c>
      <c r="B422" s="79">
        <v>5901.080078</v>
      </c>
      <c r="C422" s="79">
        <v>34.336593999999998</v>
      </c>
      <c r="D422" s="79">
        <f t="shared" si="12"/>
        <v>-1.0173818510825772E-3</v>
      </c>
      <c r="E422" s="79">
        <f t="shared" si="13"/>
        <v>-8.1711818363250366E-4</v>
      </c>
    </row>
    <row r="423" spans="1:5">
      <c r="A423" s="136">
        <v>43782</v>
      </c>
      <c r="B423" s="79">
        <v>5907.0898440000001</v>
      </c>
      <c r="C423" s="79">
        <v>34.364674000000001</v>
      </c>
      <c r="D423" s="79">
        <f t="shared" si="12"/>
        <v>-2.1386301786392448E-3</v>
      </c>
      <c r="E423" s="79">
        <f t="shared" si="13"/>
        <v>-3.4953899761186458E-2</v>
      </c>
    </row>
    <row r="424" spans="1:5">
      <c r="A424" s="136">
        <v>43781</v>
      </c>
      <c r="B424" s="79">
        <v>5919.75</v>
      </c>
      <c r="C424" s="79">
        <v>35.609360000000002</v>
      </c>
      <c r="D424" s="79">
        <f t="shared" si="12"/>
        <v>4.3995535619210102E-3</v>
      </c>
      <c r="E424" s="79">
        <f t="shared" si="13"/>
        <v>1.5885644538961685E-2</v>
      </c>
    </row>
    <row r="425" spans="1:5">
      <c r="A425" s="136">
        <v>43780</v>
      </c>
      <c r="B425" s="79">
        <v>5893.8198240000002</v>
      </c>
      <c r="C425" s="79">
        <v>35.052528000000002</v>
      </c>
      <c r="D425" s="79">
        <f t="shared" si="12"/>
        <v>6.9946327717951284E-4</v>
      </c>
      <c r="E425" s="79">
        <f t="shared" si="13"/>
        <v>0</v>
      </c>
    </row>
    <row r="426" spans="1:5">
      <c r="A426" s="136">
        <v>43777</v>
      </c>
      <c r="B426" s="79">
        <v>5889.7001950000003</v>
      </c>
      <c r="C426" s="79">
        <v>35.052528000000002</v>
      </c>
      <c r="D426" s="79">
        <f t="shared" si="12"/>
        <v>-2.1898508548767737E-4</v>
      </c>
      <c r="E426" s="79">
        <f t="shared" si="13"/>
        <v>-9.3363927355860632E-4</v>
      </c>
    </row>
    <row r="427" spans="1:5">
      <c r="A427" s="136">
        <v>43776</v>
      </c>
      <c r="B427" s="79">
        <v>5890.9902339999999</v>
      </c>
      <c r="C427" s="79">
        <v>35.085284999999999</v>
      </c>
      <c r="D427" s="79">
        <f t="shared" si="12"/>
        <v>4.1334708940174991E-3</v>
      </c>
      <c r="E427" s="79">
        <f t="shared" si="13"/>
        <v>-1.3328598076001175E-4</v>
      </c>
    </row>
    <row r="428" spans="1:5">
      <c r="A428" s="136">
        <v>43775</v>
      </c>
      <c r="B428" s="79">
        <v>5866.7402339999999</v>
      </c>
      <c r="C428" s="79">
        <v>35.089962</v>
      </c>
      <c r="D428" s="79">
        <f t="shared" si="12"/>
        <v>3.3949837494611224E-3</v>
      </c>
      <c r="E428" s="79">
        <f t="shared" si="13"/>
        <v>-3.1902774897991648E-3</v>
      </c>
    </row>
    <row r="429" spans="1:5">
      <c r="A429" s="136">
        <v>43774</v>
      </c>
      <c r="B429" s="79">
        <v>5846.8901370000003</v>
      </c>
      <c r="C429" s="79">
        <v>35.202266999999999</v>
      </c>
      <c r="D429" s="79">
        <f t="shared" si="12"/>
        <v>3.8786348155717132E-3</v>
      </c>
      <c r="E429" s="79">
        <f t="shared" si="13"/>
        <v>-2.2545327959496708E-3</v>
      </c>
    </row>
    <row r="430" spans="1:5">
      <c r="A430" s="136">
        <v>43773</v>
      </c>
      <c r="B430" s="79">
        <v>5824.2998049999997</v>
      </c>
      <c r="C430" s="79">
        <v>35.281810999999998</v>
      </c>
      <c r="D430" s="79">
        <f t="shared" si="12"/>
        <v>1.0831457475947825E-2</v>
      </c>
      <c r="E430" s="79">
        <f t="shared" si="13"/>
        <v>1.9607891302199754E-2</v>
      </c>
    </row>
    <row r="431" spans="1:5">
      <c r="A431" s="136">
        <v>43770</v>
      </c>
      <c r="B431" s="79">
        <v>5761.8901370000003</v>
      </c>
      <c r="C431" s="79">
        <v>34.603313</v>
      </c>
      <c r="D431" s="79">
        <f t="shared" si="12"/>
        <v>5.5900623690350315E-3</v>
      </c>
      <c r="E431" s="79">
        <f t="shared" si="13"/>
        <v>1.3846825517347172E-2</v>
      </c>
    </row>
    <row r="432" spans="1:5">
      <c r="A432" s="136">
        <v>43769</v>
      </c>
      <c r="B432" s="79">
        <v>5729.8598629999997</v>
      </c>
      <c r="C432" s="79">
        <v>34.130710999999998</v>
      </c>
      <c r="D432" s="79">
        <f t="shared" si="12"/>
        <v>-6.2454153959917713E-3</v>
      </c>
      <c r="E432" s="79">
        <f t="shared" si="13"/>
        <v>-1.9096187096793948E-2</v>
      </c>
    </row>
    <row r="433" spans="1:5">
      <c r="A433" s="136">
        <v>43768</v>
      </c>
      <c r="B433" s="79">
        <v>5765.8701170000004</v>
      </c>
      <c r="C433" s="79">
        <v>34.795166000000002</v>
      </c>
      <c r="D433" s="79">
        <f t="shared" si="12"/>
        <v>4.482465477479991E-3</v>
      </c>
      <c r="E433" s="79">
        <f t="shared" si="13"/>
        <v>-9.8535535004062869E-3</v>
      </c>
    </row>
    <row r="434" spans="1:5">
      <c r="A434" s="136">
        <v>43767</v>
      </c>
      <c r="B434" s="79">
        <v>5740.1401370000003</v>
      </c>
      <c r="C434" s="79">
        <v>35.141433999999997</v>
      </c>
      <c r="D434" s="79">
        <f t="shared" si="12"/>
        <v>1.6700456139491227E-3</v>
      </c>
      <c r="E434" s="79">
        <f t="shared" si="13"/>
        <v>1.871946738394259E-2</v>
      </c>
    </row>
    <row r="435" spans="1:5">
      <c r="A435" s="136">
        <v>43766</v>
      </c>
      <c r="B435" s="79">
        <v>5730.5698240000002</v>
      </c>
      <c r="C435" s="79">
        <v>34.495693000000003</v>
      </c>
      <c r="D435" s="79">
        <f t="shared" si="12"/>
        <v>1.4714612766535407E-3</v>
      </c>
      <c r="E435" s="79">
        <f t="shared" si="13"/>
        <v>-4.8595745009843982E-3</v>
      </c>
    </row>
    <row r="436" spans="1:5">
      <c r="A436" s="136">
        <v>43763</v>
      </c>
      <c r="B436" s="79">
        <v>5722.1499020000001</v>
      </c>
      <c r="C436" s="79">
        <v>34.664146000000002</v>
      </c>
      <c r="D436" s="79">
        <f t="shared" si="12"/>
        <v>6.6533476207466524E-3</v>
      </c>
      <c r="E436" s="79">
        <f t="shared" si="13"/>
        <v>-1.0947947503082034E-2</v>
      </c>
    </row>
    <row r="437" spans="1:5">
      <c r="A437" s="136">
        <v>43762</v>
      </c>
      <c r="B437" s="79">
        <v>5684.330078</v>
      </c>
      <c r="C437" s="79">
        <v>35.047848000000002</v>
      </c>
      <c r="D437" s="79">
        <f t="shared" si="12"/>
        <v>5.4639542159062859E-3</v>
      </c>
      <c r="E437" s="79">
        <f t="shared" si="13"/>
        <v>-6.8946428749537825E-3</v>
      </c>
    </row>
    <row r="438" spans="1:5">
      <c r="A438" s="136">
        <v>43761</v>
      </c>
      <c r="B438" s="79">
        <v>5653.4399409999996</v>
      </c>
      <c r="C438" s="79">
        <v>35.291167999999999</v>
      </c>
      <c r="D438" s="79">
        <f t="shared" si="12"/>
        <v>-7.5118998112655433E-4</v>
      </c>
      <c r="E438" s="79">
        <f t="shared" si="13"/>
        <v>-3.3038156469626934E-3</v>
      </c>
    </row>
    <row r="439" spans="1:5">
      <c r="A439" s="136">
        <v>43760</v>
      </c>
      <c r="B439" s="79">
        <v>5657.6899409999996</v>
      </c>
      <c r="C439" s="79">
        <v>35.408149999999999</v>
      </c>
      <c r="D439" s="79">
        <f t="shared" si="12"/>
        <v>1.6535524246819033E-3</v>
      </c>
      <c r="E439" s="79">
        <f t="shared" si="13"/>
        <v>-8.7764955834500613E-3</v>
      </c>
    </row>
    <row r="440" spans="1:5">
      <c r="A440" s="136">
        <v>43759</v>
      </c>
      <c r="B440" s="79">
        <v>5648.3500979999999</v>
      </c>
      <c r="C440" s="79">
        <v>35.721660999999997</v>
      </c>
      <c r="D440" s="79">
        <f t="shared" si="12"/>
        <v>2.1468348636060064E-3</v>
      </c>
      <c r="E440" s="79">
        <f t="shared" si="13"/>
        <v>1.2869680242950432E-2</v>
      </c>
    </row>
    <row r="441" spans="1:5">
      <c r="A441" s="136">
        <v>43756</v>
      </c>
      <c r="B441" s="79">
        <v>5636.25</v>
      </c>
      <c r="C441" s="79">
        <v>35.267775999999998</v>
      </c>
      <c r="D441" s="79">
        <f t="shared" si="12"/>
        <v>-6.49028218271408E-3</v>
      </c>
      <c r="E441" s="79">
        <f t="shared" si="13"/>
        <v>-3.0421428816354013E-3</v>
      </c>
    </row>
    <row r="442" spans="1:5">
      <c r="A442" s="136">
        <v>43755</v>
      </c>
      <c r="B442" s="79">
        <v>5673.0698240000002</v>
      </c>
      <c r="C442" s="79">
        <v>35.375393000000003</v>
      </c>
      <c r="D442" s="79">
        <f t="shared" si="12"/>
        <v>-4.1829904702439524E-3</v>
      </c>
      <c r="E442" s="79">
        <f t="shared" si="13"/>
        <v>0</v>
      </c>
    </row>
    <row r="443" spans="1:5">
      <c r="A443" s="136">
        <v>43754</v>
      </c>
      <c r="B443" s="79">
        <v>5696.8999020000001</v>
      </c>
      <c r="C443" s="79">
        <v>35.375393000000003</v>
      </c>
      <c r="D443" s="79">
        <f t="shared" si="12"/>
        <v>-9.0316696207803915E-4</v>
      </c>
      <c r="E443" s="79">
        <f t="shared" si="13"/>
        <v>-2.9016859300632358E-3</v>
      </c>
    </row>
    <row r="444" spans="1:5">
      <c r="A444" s="136">
        <v>43753</v>
      </c>
      <c r="B444" s="79">
        <v>5702.0498049999997</v>
      </c>
      <c r="C444" s="79">
        <v>35.478340000000003</v>
      </c>
      <c r="D444" s="79">
        <f t="shared" si="12"/>
        <v>1.0449918516998835E-2</v>
      </c>
      <c r="E444" s="79">
        <f t="shared" si="13"/>
        <v>3.1284046792139586E-2</v>
      </c>
    </row>
    <row r="445" spans="1:5">
      <c r="A445" s="136">
        <v>43752</v>
      </c>
      <c r="B445" s="79">
        <v>5643.080078</v>
      </c>
      <c r="C445" s="79">
        <v>34.402102999999997</v>
      </c>
      <c r="D445" s="79">
        <f t="shared" si="12"/>
        <v>-3.9537518584612519E-3</v>
      </c>
      <c r="E445" s="79">
        <f t="shared" si="13"/>
        <v>-3.6590989354112757E-3</v>
      </c>
    </row>
    <row r="446" spans="1:5">
      <c r="A446" s="136">
        <v>43749</v>
      </c>
      <c r="B446" s="79">
        <v>5665.4799800000001</v>
      </c>
      <c r="C446" s="79">
        <v>34.528446000000002</v>
      </c>
      <c r="D446" s="79">
        <f t="shared" si="12"/>
        <v>1.7315373066590922E-2</v>
      </c>
      <c r="E446" s="79">
        <f t="shared" si="13"/>
        <v>4.6963537194363747E-2</v>
      </c>
    </row>
    <row r="447" spans="1:5">
      <c r="A447" s="136">
        <v>43748</v>
      </c>
      <c r="B447" s="79">
        <v>5569.0498049999997</v>
      </c>
      <c r="C447" s="79">
        <v>32.979607000000001</v>
      </c>
      <c r="D447" s="79">
        <f t="shared" si="12"/>
        <v>1.2712836235909686E-2</v>
      </c>
      <c r="E447" s="79">
        <f t="shared" si="13"/>
        <v>4.1525168512443145E-2</v>
      </c>
    </row>
    <row r="448" spans="1:5">
      <c r="A448" s="136">
        <v>43747</v>
      </c>
      <c r="B448" s="79">
        <v>5499.1401370000003</v>
      </c>
      <c r="C448" s="79">
        <v>31.664724</v>
      </c>
      <c r="D448" s="79">
        <f t="shared" si="12"/>
        <v>7.7923731336051461E-3</v>
      </c>
      <c r="E448" s="79">
        <f t="shared" si="13"/>
        <v>7.4438227851896244E-3</v>
      </c>
    </row>
    <row r="449" spans="1:5">
      <c r="A449" s="136">
        <v>43746</v>
      </c>
      <c r="B449" s="79">
        <v>5456.6201170000004</v>
      </c>
      <c r="C449" s="79">
        <v>31.430758999999998</v>
      </c>
      <c r="D449" s="79">
        <f t="shared" si="12"/>
        <v>-1.1770072064578807E-2</v>
      </c>
      <c r="E449" s="79">
        <f t="shared" si="13"/>
        <v>-3.2968635219717934E-2</v>
      </c>
    </row>
    <row r="450" spans="1:5">
      <c r="A450" s="136">
        <v>43745</v>
      </c>
      <c r="B450" s="79">
        <v>5521.6098629999997</v>
      </c>
      <c r="C450" s="79">
        <v>32.502316</v>
      </c>
      <c r="D450" s="79">
        <f t="shared" si="12"/>
        <v>6.0656157198464289E-3</v>
      </c>
      <c r="E450" s="79">
        <f t="shared" si="13"/>
        <v>-2.2982647335388906E-3</v>
      </c>
    </row>
    <row r="451" spans="1:5">
      <c r="A451" s="136">
        <v>43742</v>
      </c>
      <c r="B451" s="79">
        <v>5488.3198240000002</v>
      </c>
      <c r="C451" s="79">
        <v>32.577187000000002</v>
      </c>
      <c r="D451" s="79">
        <f t="shared" si="12"/>
        <v>9.1104797257082204E-3</v>
      </c>
      <c r="E451" s="79">
        <f t="shared" si="13"/>
        <v>1.4720985569159906E-2</v>
      </c>
    </row>
    <row r="452" spans="1:5">
      <c r="A452" s="136">
        <v>43741</v>
      </c>
      <c r="B452" s="79">
        <v>5438.7700199999999</v>
      </c>
      <c r="C452" s="79">
        <v>32.104576000000002</v>
      </c>
      <c r="D452" s="79">
        <f t="shared" si="12"/>
        <v>2.9505215860141654E-3</v>
      </c>
      <c r="E452" s="79">
        <f t="shared" si="13"/>
        <v>-1.8455001781509939E-2</v>
      </c>
    </row>
    <row r="453" spans="1:5">
      <c r="A453" s="136">
        <v>43740</v>
      </c>
      <c r="B453" s="79">
        <v>5422.7700199999999</v>
      </c>
      <c r="C453" s="79">
        <v>32.708205999999997</v>
      </c>
      <c r="D453" s="79">
        <f t="shared" ref="D453:D516" si="14">B453/B454-1</f>
        <v>-3.1238196639447158E-2</v>
      </c>
      <c r="E453" s="79">
        <f t="shared" ref="E453:E516" si="15">C453/C454-1</f>
        <v>-3.9175218725942318E-2</v>
      </c>
    </row>
    <row r="454" spans="1:5">
      <c r="A454" s="136">
        <v>43739</v>
      </c>
      <c r="B454" s="79">
        <v>5597.6298829999996</v>
      </c>
      <c r="C454" s="79">
        <v>34.041801</v>
      </c>
      <c r="D454" s="79">
        <f t="shared" si="14"/>
        <v>-1.411819659575142E-2</v>
      </c>
      <c r="E454" s="79">
        <f t="shared" si="15"/>
        <v>1.0416714590159026E-2</v>
      </c>
    </row>
    <row r="455" spans="1:5">
      <c r="A455" s="136">
        <v>43738</v>
      </c>
      <c r="B455" s="79">
        <v>5677.7900390000004</v>
      </c>
      <c r="C455" s="79">
        <v>33.690852999999997</v>
      </c>
      <c r="D455" s="79">
        <f t="shared" si="14"/>
        <v>6.5968323267195927E-3</v>
      </c>
      <c r="E455" s="79">
        <f t="shared" si="15"/>
        <v>2.1711378119408264E-2</v>
      </c>
    </row>
    <row r="456" spans="1:5">
      <c r="A456" s="136">
        <v>43735</v>
      </c>
      <c r="B456" s="79">
        <v>5640.580078</v>
      </c>
      <c r="C456" s="79">
        <v>32.974921999999999</v>
      </c>
      <c r="D456" s="79">
        <f t="shared" si="14"/>
        <v>3.56018244174372E-3</v>
      </c>
      <c r="E456" s="79">
        <f t="shared" si="15"/>
        <v>2.4869022361529325E-2</v>
      </c>
    </row>
    <row r="457" spans="1:5">
      <c r="A457" s="136">
        <v>43734</v>
      </c>
      <c r="B457" s="79">
        <v>5620.5698240000002</v>
      </c>
      <c r="C457" s="79">
        <v>32.174767000000003</v>
      </c>
      <c r="D457" s="79">
        <f t="shared" si="14"/>
        <v>6.5851248762669456E-3</v>
      </c>
      <c r="E457" s="79">
        <f t="shared" si="15"/>
        <v>4.9694419922596822E-3</v>
      </c>
    </row>
    <row r="458" spans="1:5">
      <c r="A458" s="136">
        <v>43733</v>
      </c>
      <c r="B458" s="79">
        <v>5583.7998049999997</v>
      </c>
      <c r="C458" s="79">
        <v>32.015667000000001</v>
      </c>
      <c r="D458" s="79">
        <f t="shared" si="14"/>
        <v>-7.9118090770937677E-3</v>
      </c>
      <c r="E458" s="79">
        <f t="shared" si="15"/>
        <v>-5.0894603738168565E-3</v>
      </c>
    </row>
    <row r="459" spans="1:5">
      <c r="A459" s="136">
        <v>43732</v>
      </c>
      <c r="B459" s="79">
        <v>5628.330078</v>
      </c>
      <c r="C459" s="79">
        <v>32.179442999999999</v>
      </c>
      <c r="D459" s="79">
        <f t="shared" si="14"/>
        <v>-4.3150269252667517E-4</v>
      </c>
      <c r="E459" s="79">
        <f t="shared" si="15"/>
        <v>-8.0774043457811917E-3</v>
      </c>
    </row>
    <row r="460" spans="1:5">
      <c r="A460" s="136">
        <v>43731</v>
      </c>
      <c r="B460" s="79">
        <v>5630.7597660000001</v>
      </c>
      <c r="C460" s="79">
        <v>32.441485999999998</v>
      </c>
      <c r="D460" s="79">
        <f t="shared" si="14"/>
        <v>-1.0546888347042205E-2</v>
      </c>
      <c r="E460" s="79">
        <f t="shared" si="15"/>
        <v>-2.0347601832300888E-2</v>
      </c>
    </row>
    <row r="461" spans="1:5">
      <c r="A461" s="136">
        <v>43728</v>
      </c>
      <c r="B461" s="79">
        <v>5690.7797849999997</v>
      </c>
      <c r="C461" s="79">
        <v>33.115302999999997</v>
      </c>
      <c r="D461" s="79">
        <f t="shared" si="14"/>
        <v>5.6015653715935088E-3</v>
      </c>
      <c r="E461" s="79">
        <f t="shared" si="15"/>
        <v>3.8297353017813229E-3</v>
      </c>
    </row>
    <row r="462" spans="1:5">
      <c r="A462" s="136">
        <v>43727</v>
      </c>
      <c r="B462" s="79">
        <v>5659.080078</v>
      </c>
      <c r="C462" s="79">
        <v>32.988964000000003</v>
      </c>
      <c r="D462" s="79">
        <f t="shared" si="14"/>
        <v>6.8373189346528918E-3</v>
      </c>
      <c r="E462" s="79">
        <f t="shared" si="15"/>
        <v>1.5996675532304216E-2</v>
      </c>
    </row>
    <row r="463" spans="1:5">
      <c r="A463" s="136">
        <v>43726</v>
      </c>
      <c r="B463" s="79">
        <v>5620.6499020000001</v>
      </c>
      <c r="C463" s="79">
        <v>32.469558999999997</v>
      </c>
      <c r="D463" s="79">
        <f t="shared" si="14"/>
        <v>9.1534628452105693E-4</v>
      </c>
      <c r="E463" s="79">
        <f t="shared" si="15"/>
        <v>4.6329150802306707E-3</v>
      </c>
    </row>
    <row r="464" spans="1:5">
      <c r="A464" s="136">
        <v>43725</v>
      </c>
      <c r="B464" s="79">
        <v>5615.5097660000001</v>
      </c>
      <c r="C464" s="79">
        <v>32.319823999999997</v>
      </c>
      <c r="D464" s="79">
        <f t="shared" si="14"/>
        <v>2.3704464199807429E-3</v>
      </c>
      <c r="E464" s="79">
        <f t="shared" si="15"/>
        <v>-2.6360323171807698E-2</v>
      </c>
    </row>
    <row r="465" spans="1:5">
      <c r="A465" s="136">
        <v>43724</v>
      </c>
      <c r="B465" s="79">
        <v>5602.2299800000001</v>
      </c>
      <c r="C465" s="79">
        <v>33.194851</v>
      </c>
      <c r="D465" s="79">
        <f t="shared" si="14"/>
        <v>-9.4121400146182088E-3</v>
      </c>
      <c r="E465" s="79">
        <f t="shared" si="15"/>
        <v>-1.4174538011218596E-2</v>
      </c>
    </row>
    <row r="466" spans="1:5">
      <c r="A466" s="136">
        <v>43721</v>
      </c>
      <c r="B466" s="79">
        <v>5655.4599609999996</v>
      </c>
      <c r="C466" s="79">
        <v>33.672137999999997</v>
      </c>
      <c r="D466" s="79">
        <f t="shared" si="14"/>
        <v>2.2329276831094536E-3</v>
      </c>
      <c r="E466" s="79">
        <f t="shared" si="15"/>
        <v>2.4195858831032702E-2</v>
      </c>
    </row>
    <row r="467" spans="1:5">
      <c r="A467" s="136">
        <v>43720</v>
      </c>
      <c r="B467" s="79">
        <v>5642.8598629999997</v>
      </c>
      <c r="C467" s="79">
        <v>32.876658999999997</v>
      </c>
      <c r="D467" s="79">
        <f t="shared" si="14"/>
        <v>4.4143002637129225E-3</v>
      </c>
      <c r="E467" s="79">
        <f t="shared" si="15"/>
        <v>-3.828106767754913E-3</v>
      </c>
    </row>
    <row r="468" spans="1:5">
      <c r="A468" s="136">
        <v>43719</v>
      </c>
      <c r="B468" s="79">
        <v>5618.0600590000004</v>
      </c>
      <c r="C468" s="79">
        <v>33.002997999999998</v>
      </c>
      <c r="D468" s="79">
        <f t="shared" si="14"/>
        <v>4.4429045527119015E-3</v>
      </c>
      <c r="E468" s="79">
        <f t="shared" si="15"/>
        <v>-2.2634771302831869E-3</v>
      </c>
    </row>
    <row r="469" spans="1:5">
      <c r="A469" s="136">
        <v>43718</v>
      </c>
      <c r="B469" s="79">
        <v>5593.2099609999996</v>
      </c>
      <c r="C469" s="79">
        <v>33.077869</v>
      </c>
      <c r="D469" s="79">
        <f t="shared" si="14"/>
        <v>7.6217641084186383E-4</v>
      </c>
      <c r="E469" s="79">
        <f t="shared" si="15"/>
        <v>4.10899151104549E-2</v>
      </c>
    </row>
    <row r="470" spans="1:5">
      <c r="A470" s="136">
        <v>43717</v>
      </c>
      <c r="B470" s="79">
        <v>5588.9501950000003</v>
      </c>
      <c r="C470" s="79">
        <v>31.772345999999999</v>
      </c>
      <c r="D470" s="79">
        <f t="shared" si="14"/>
        <v>-2.6838089239966667E-3</v>
      </c>
      <c r="E470" s="79">
        <f t="shared" si="15"/>
        <v>1.3735371238727589E-2</v>
      </c>
    </row>
    <row r="471" spans="1:5">
      <c r="A471" s="136">
        <v>43714</v>
      </c>
      <c r="B471" s="79">
        <v>5603.9902339999999</v>
      </c>
      <c r="C471" s="79">
        <v>31.341854000000001</v>
      </c>
      <c r="D471" s="79">
        <f t="shared" si="14"/>
        <v>1.8986973466537105E-3</v>
      </c>
      <c r="E471" s="79">
        <f t="shared" si="15"/>
        <v>2.6946063435975276E-3</v>
      </c>
    </row>
    <row r="472" spans="1:5">
      <c r="A472" s="136">
        <v>43713</v>
      </c>
      <c r="B472" s="79">
        <v>5593.3701170000004</v>
      </c>
      <c r="C472" s="79">
        <v>31.257626999999999</v>
      </c>
      <c r="D472" s="79">
        <f t="shared" si="14"/>
        <v>1.1080896472791979E-2</v>
      </c>
      <c r="E472" s="79">
        <f t="shared" si="15"/>
        <v>1.7052442209318786E-2</v>
      </c>
    </row>
    <row r="473" spans="1:5">
      <c r="A473" s="136">
        <v>43712</v>
      </c>
      <c r="B473" s="79">
        <v>5532.0698240000002</v>
      </c>
      <c r="C473" s="79">
        <v>30.733544999999999</v>
      </c>
      <c r="D473" s="79">
        <f t="shared" si="14"/>
        <v>1.2074489006747013E-2</v>
      </c>
      <c r="E473" s="79">
        <f t="shared" si="15"/>
        <v>1.1550821471802086E-2</v>
      </c>
    </row>
    <row r="474" spans="1:5">
      <c r="A474" s="136">
        <v>43711</v>
      </c>
      <c r="B474" s="79">
        <v>5466.0698240000002</v>
      </c>
      <c r="C474" s="79">
        <v>30.382601000000001</v>
      </c>
      <c r="D474" s="79">
        <f t="shared" si="14"/>
        <v>-4.9098886606532277E-3</v>
      </c>
      <c r="E474" s="79">
        <f t="shared" si="15"/>
        <v>-4.599124987140768E-3</v>
      </c>
    </row>
    <row r="475" spans="1:5">
      <c r="A475" s="136">
        <v>43710</v>
      </c>
      <c r="B475" s="79">
        <v>5493.0400390000004</v>
      </c>
      <c r="C475" s="79">
        <v>30.52298</v>
      </c>
      <c r="D475" s="79">
        <f t="shared" si="14"/>
        <v>2.291780837779811E-3</v>
      </c>
      <c r="E475" s="79">
        <f t="shared" si="15"/>
        <v>-6.2461036734440256E-3</v>
      </c>
    </row>
    <row r="476" spans="1:5">
      <c r="A476" s="136">
        <v>43707</v>
      </c>
      <c r="B476" s="79">
        <v>5480.4799800000001</v>
      </c>
      <c r="C476" s="79">
        <v>30.714828000000001</v>
      </c>
      <c r="D476" s="79">
        <f t="shared" si="14"/>
        <v>5.5981526130230996E-3</v>
      </c>
      <c r="E476" s="79">
        <f t="shared" si="15"/>
        <v>2.7551618323407023E-2</v>
      </c>
    </row>
    <row r="477" spans="1:5">
      <c r="A477" s="136">
        <v>43706</v>
      </c>
      <c r="B477" s="79">
        <v>5449.9702150000003</v>
      </c>
      <c r="C477" s="79">
        <v>29.891275</v>
      </c>
      <c r="D477" s="79">
        <f t="shared" si="14"/>
        <v>1.5118911665211732E-2</v>
      </c>
      <c r="E477" s="79">
        <f t="shared" si="15"/>
        <v>1.8494894351932079E-2</v>
      </c>
    </row>
    <row r="478" spans="1:5">
      <c r="A478" s="136">
        <v>43705</v>
      </c>
      <c r="B478" s="79">
        <v>5368.7998049999997</v>
      </c>
      <c r="C478" s="79">
        <v>29.348478</v>
      </c>
      <c r="D478" s="79">
        <f t="shared" si="14"/>
        <v>-3.3951613078017084E-3</v>
      </c>
      <c r="E478" s="79">
        <f t="shared" si="15"/>
        <v>-1.38364410465045E-2</v>
      </c>
    </row>
    <row r="479" spans="1:5">
      <c r="A479" s="136">
        <v>43704</v>
      </c>
      <c r="B479" s="79">
        <v>5387.0898440000001</v>
      </c>
      <c r="C479" s="79">
        <v>29.760254</v>
      </c>
      <c r="D479" s="79">
        <f t="shared" si="14"/>
        <v>6.7407380023221108E-3</v>
      </c>
      <c r="E479" s="79">
        <f t="shared" si="15"/>
        <v>3.7878840261169611E-3</v>
      </c>
    </row>
    <row r="480" spans="1:5">
      <c r="A480" s="136">
        <v>43703</v>
      </c>
      <c r="B480" s="79">
        <v>5351.0200199999999</v>
      </c>
      <c r="C480" s="79">
        <v>29.647950999999999</v>
      </c>
      <c r="D480" s="79">
        <f t="shared" si="14"/>
        <v>4.5336008705991748E-3</v>
      </c>
      <c r="E480" s="79">
        <f t="shared" si="15"/>
        <v>-1.5779376062086126E-4</v>
      </c>
    </row>
    <row r="481" spans="1:5">
      <c r="A481" s="136">
        <v>43700</v>
      </c>
      <c r="B481" s="79">
        <v>5326.8701170000004</v>
      </c>
      <c r="C481" s="79">
        <v>29.652629999999998</v>
      </c>
      <c r="D481" s="79">
        <f t="shared" si="14"/>
        <v>-1.1391431912030736E-2</v>
      </c>
      <c r="E481" s="79">
        <f t="shared" si="15"/>
        <v>-1.1696871619778282E-2</v>
      </c>
    </row>
    <row r="482" spans="1:5">
      <c r="A482" s="136">
        <v>43699</v>
      </c>
      <c r="B482" s="79">
        <v>5388.25</v>
      </c>
      <c r="C482" s="79">
        <v>30.003578000000001</v>
      </c>
      <c r="D482" s="79">
        <f t="shared" si="14"/>
        <v>-8.6892013536585821E-3</v>
      </c>
      <c r="E482" s="79">
        <f t="shared" si="15"/>
        <v>-2.178649382382325E-3</v>
      </c>
    </row>
    <row r="483" spans="1:5">
      <c r="A483" s="136">
        <v>43698</v>
      </c>
      <c r="B483" s="79">
        <v>5435.4799800000001</v>
      </c>
      <c r="C483" s="79">
        <v>30.069088000000001</v>
      </c>
      <c r="D483" s="79">
        <f t="shared" si="14"/>
        <v>1.6996437678026499E-2</v>
      </c>
      <c r="E483" s="79">
        <f t="shared" si="15"/>
        <v>3.5921478064053769E-3</v>
      </c>
    </row>
    <row r="484" spans="1:5">
      <c r="A484" s="136">
        <v>43697</v>
      </c>
      <c r="B484" s="79">
        <v>5344.6401370000003</v>
      </c>
      <c r="C484" s="79">
        <v>29.961462000000001</v>
      </c>
      <c r="D484" s="79">
        <f t="shared" si="14"/>
        <v>-5.0115649279385277E-3</v>
      </c>
      <c r="E484" s="79">
        <f t="shared" si="15"/>
        <v>-1.0202608510824662E-2</v>
      </c>
    </row>
    <row r="485" spans="1:5">
      <c r="A485" s="136">
        <v>43696</v>
      </c>
      <c r="B485" s="79">
        <v>5371.5600590000004</v>
      </c>
      <c r="C485" s="79">
        <v>30.270298</v>
      </c>
      <c r="D485" s="79">
        <f t="shared" si="14"/>
        <v>1.3350843832582893E-2</v>
      </c>
      <c r="E485" s="79">
        <f t="shared" si="15"/>
        <v>1.3790937602033315E-2</v>
      </c>
    </row>
    <row r="486" spans="1:5">
      <c r="A486" s="136">
        <v>43693</v>
      </c>
      <c r="B486" s="79">
        <v>5300.7900390000004</v>
      </c>
      <c r="C486" s="79">
        <v>29.858521</v>
      </c>
      <c r="D486" s="79">
        <f t="shared" si="14"/>
        <v>1.2194140623195571E-2</v>
      </c>
      <c r="E486" s="79">
        <f t="shared" si="15"/>
        <v>1.4951596206014051E-2</v>
      </c>
    </row>
    <row r="487" spans="1:5">
      <c r="A487" s="136">
        <v>43692</v>
      </c>
      <c r="B487" s="79">
        <v>5236.9301759999998</v>
      </c>
      <c r="C487" s="79">
        <v>29.418665000000001</v>
      </c>
      <c r="D487" s="79">
        <f t="shared" si="14"/>
        <v>-2.7363947086620488E-3</v>
      </c>
      <c r="E487" s="79">
        <f t="shared" si="15"/>
        <v>-1.4885679193310852E-2</v>
      </c>
    </row>
    <row r="488" spans="1:5">
      <c r="A488" s="136">
        <v>43691</v>
      </c>
      <c r="B488" s="79">
        <v>5251.2998049999997</v>
      </c>
      <c r="C488" s="79">
        <v>29.863199000000002</v>
      </c>
      <c r="D488" s="79">
        <f t="shared" si="14"/>
        <v>-2.0840679436956777E-2</v>
      </c>
      <c r="E488" s="79">
        <f t="shared" si="15"/>
        <v>-2.9501299974719619E-2</v>
      </c>
    </row>
    <row r="489" spans="1:5">
      <c r="A489" s="136">
        <v>43690</v>
      </c>
      <c r="B489" s="79">
        <v>5363.0698240000002</v>
      </c>
      <c r="C489" s="79">
        <v>30.770983000000001</v>
      </c>
      <c r="D489" s="79">
        <f t="shared" si="14"/>
        <v>9.9353454720749745E-3</v>
      </c>
      <c r="E489" s="79">
        <f t="shared" si="15"/>
        <v>3.9694843484461284E-3</v>
      </c>
    </row>
    <row r="490" spans="1:5">
      <c r="A490" s="136">
        <v>43689</v>
      </c>
      <c r="B490" s="79">
        <v>5310.3100590000004</v>
      </c>
      <c r="C490" s="79">
        <v>30.649321</v>
      </c>
      <c r="D490" s="79">
        <f t="shared" si="14"/>
        <v>-3.305204143043694E-3</v>
      </c>
      <c r="E490" s="79">
        <f t="shared" si="15"/>
        <v>-1.6765365531937748E-3</v>
      </c>
    </row>
    <row r="491" spans="1:5">
      <c r="A491" s="136">
        <v>43686</v>
      </c>
      <c r="B491" s="79">
        <v>5327.919922</v>
      </c>
      <c r="C491" s="79">
        <v>30.700792</v>
      </c>
      <c r="D491" s="79">
        <f t="shared" si="14"/>
        <v>-1.1143371412295378E-2</v>
      </c>
      <c r="E491" s="79">
        <f t="shared" si="15"/>
        <v>-2.0600014719332038E-2</v>
      </c>
    </row>
    <row r="492" spans="1:5">
      <c r="A492" s="136">
        <v>43685</v>
      </c>
      <c r="B492" s="79">
        <v>5387.9599609999996</v>
      </c>
      <c r="C492" s="79">
        <v>31.346530999999999</v>
      </c>
      <c r="D492" s="79">
        <f t="shared" si="14"/>
        <v>2.3060850619525786E-2</v>
      </c>
      <c r="E492" s="79">
        <f t="shared" si="15"/>
        <v>2.4781903258382476E-2</v>
      </c>
    </row>
    <row r="493" spans="1:5">
      <c r="A493" s="136">
        <v>43684</v>
      </c>
      <c r="B493" s="79">
        <v>5266.5097660000001</v>
      </c>
      <c r="C493" s="79">
        <v>30.58849</v>
      </c>
      <c r="D493" s="79">
        <f t="shared" si="14"/>
        <v>6.0863409390239376E-3</v>
      </c>
      <c r="E493" s="79">
        <f t="shared" si="15"/>
        <v>2.9151221098782099E-3</v>
      </c>
    </row>
    <row r="494" spans="1:5">
      <c r="A494" s="136">
        <v>43683</v>
      </c>
      <c r="B494" s="79">
        <v>5234.6499020000001</v>
      </c>
      <c r="C494" s="79">
        <v>30.499580000000002</v>
      </c>
      <c r="D494" s="79">
        <f t="shared" si="14"/>
        <v>-1.3163860416660622E-3</v>
      </c>
      <c r="E494" s="79">
        <f t="shared" si="15"/>
        <v>1.0229425930714076E-2</v>
      </c>
    </row>
    <row r="495" spans="1:5">
      <c r="A495" s="136">
        <v>43682</v>
      </c>
      <c r="B495" s="79">
        <v>5241.5498049999997</v>
      </c>
      <c r="C495" s="79">
        <v>30.190746000000001</v>
      </c>
      <c r="D495" s="79">
        <f t="shared" si="14"/>
        <v>-2.1916438701250263E-2</v>
      </c>
      <c r="E495" s="79">
        <f t="shared" si="15"/>
        <v>-3.0794733175298017E-2</v>
      </c>
    </row>
    <row r="496" spans="1:5">
      <c r="A496" s="136">
        <v>43679</v>
      </c>
      <c r="B496" s="79">
        <v>5359</v>
      </c>
      <c r="C496" s="79">
        <v>31.150002000000001</v>
      </c>
      <c r="D496" s="79">
        <f t="shared" si="14"/>
        <v>-3.5701909780005758E-2</v>
      </c>
      <c r="E496" s="79">
        <f t="shared" si="15"/>
        <v>-4.5728269503229724E-2</v>
      </c>
    </row>
    <row r="497" spans="1:5">
      <c r="A497" s="136">
        <v>43678</v>
      </c>
      <c r="B497" s="79">
        <v>5557.4101559999999</v>
      </c>
      <c r="C497" s="79">
        <v>32.642696000000001</v>
      </c>
      <c r="D497" s="79">
        <f t="shared" si="14"/>
        <v>6.9778859344855615E-3</v>
      </c>
      <c r="E497" s="79">
        <f t="shared" si="15"/>
        <v>3.5965696680304582E-3</v>
      </c>
    </row>
    <row r="498" spans="1:5">
      <c r="A498" s="136">
        <v>43677</v>
      </c>
      <c r="B498" s="79">
        <v>5518.8999020000001</v>
      </c>
      <c r="C498" s="79">
        <v>32.525714999999998</v>
      </c>
      <c r="D498" s="79">
        <f t="shared" si="14"/>
        <v>1.420790926273785E-3</v>
      </c>
      <c r="E498" s="79">
        <f t="shared" si="15"/>
        <v>-6.0058541224562445E-3</v>
      </c>
    </row>
    <row r="499" spans="1:5">
      <c r="A499" s="136">
        <v>43676</v>
      </c>
      <c r="B499" s="79">
        <v>5511.0698240000002</v>
      </c>
      <c r="C499" s="79">
        <v>32.722239999999999</v>
      </c>
      <c r="D499" s="79">
        <f t="shared" si="14"/>
        <v>-1.6073677032150679E-2</v>
      </c>
      <c r="E499" s="79">
        <f t="shared" si="15"/>
        <v>-3.5581340919967008E-2</v>
      </c>
    </row>
    <row r="500" spans="1:5">
      <c r="A500" s="136">
        <v>43675</v>
      </c>
      <c r="B500" s="79">
        <v>5601.1000979999999</v>
      </c>
      <c r="C500" s="79">
        <v>33.929496999999998</v>
      </c>
      <c r="D500" s="79">
        <f t="shared" si="14"/>
        <v>-1.5952990278309542E-3</v>
      </c>
      <c r="E500" s="79">
        <f t="shared" si="15"/>
        <v>-9.4262677130450001E-3</v>
      </c>
    </row>
    <row r="501" spans="1:5">
      <c r="A501" s="136">
        <v>43672</v>
      </c>
      <c r="B501" s="79">
        <v>5610.0498049999997</v>
      </c>
      <c r="C501" s="79">
        <v>34.252369000000002</v>
      </c>
      <c r="D501" s="79">
        <f t="shared" si="14"/>
        <v>5.7367720114862575E-3</v>
      </c>
      <c r="E501" s="79">
        <f t="shared" si="15"/>
        <v>3.7415018113679421E-2</v>
      </c>
    </row>
    <row r="502" spans="1:5">
      <c r="A502" s="136">
        <v>43671</v>
      </c>
      <c r="B502" s="79">
        <v>5578.0498049999997</v>
      </c>
      <c r="C502" s="79">
        <v>33.017035999999997</v>
      </c>
      <c r="D502" s="79">
        <f t="shared" si="14"/>
        <v>-4.9627107691336825E-3</v>
      </c>
      <c r="E502" s="79">
        <f t="shared" si="15"/>
        <v>3.270310633322504E-3</v>
      </c>
    </row>
    <row r="503" spans="1:5">
      <c r="A503" s="136">
        <v>43670</v>
      </c>
      <c r="B503" s="79">
        <v>5605.8701170000004</v>
      </c>
      <c r="C503" s="79">
        <v>32.909412000000003</v>
      </c>
      <c r="D503" s="79">
        <f t="shared" si="14"/>
        <v>-2.1875558294425224E-3</v>
      </c>
      <c r="E503" s="79">
        <f t="shared" si="15"/>
        <v>1.5302495516824166E-2</v>
      </c>
    </row>
    <row r="504" spans="1:5">
      <c r="A504" s="136">
        <v>43669</v>
      </c>
      <c r="B504" s="79">
        <v>5618.1601559999999</v>
      </c>
      <c r="C504" s="79">
        <v>32.413406000000002</v>
      </c>
      <c r="D504" s="79">
        <f t="shared" si="14"/>
        <v>9.1862676649760999E-3</v>
      </c>
      <c r="E504" s="79">
        <f t="shared" si="15"/>
        <v>1.3756617264803594E-2</v>
      </c>
    </row>
    <row r="505" spans="1:5">
      <c r="A505" s="136">
        <v>43668</v>
      </c>
      <c r="B505" s="79">
        <v>5567.0200199999999</v>
      </c>
      <c r="C505" s="79">
        <v>31.973558000000001</v>
      </c>
      <c r="D505" s="79">
        <f t="shared" si="14"/>
        <v>2.6439620794940222E-3</v>
      </c>
      <c r="E505" s="79">
        <f t="shared" si="15"/>
        <v>7.3235942268712328E-4</v>
      </c>
    </row>
    <row r="506" spans="1:5">
      <c r="A506" s="136">
        <v>43665</v>
      </c>
      <c r="B506" s="79">
        <v>5552.3398440000001</v>
      </c>
      <c r="C506" s="79">
        <v>31.950158999999999</v>
      </c>
      <c r="D506" s="79">
        <f t="shared" si="14"/>
        <v>3.2249760165892205E-4</v>
      </c>
      <c r="E506" s="79">
        <f t="shared" si="15"/>
        <v>-2.9296433156922319E-4</v>
      </c>
    </row>
    <row r="507" spans="1:5">
      <c r="A507" s="136">
        <v>43664</v>
      </c>
      <c r="B507" s="79">
        <v>5550.5498049999997</v>
      </c>
      <c r="C507" s="79">
        <v>31.959522</v>
      </c>
      <c r="D507" s="79">
        <f t="shared" si="14"/>
        <v>-3.7977849077057702E-3</v>
      </c>
      <c r="E507" s="79">
        <f t="shared" si="15"/>
        <v>-6.4007588276907557E-3</v>
      </c>
    </row>
    <row r="508" spans="1:5">
      <c r="A508" s="136">
        <v>43663</v>
      </c>
      <c r="B508" s="79">
        <v>5571.7099609999996</v>
      </c>
      <c r="C508" s="79">
        <v>32.165405</v>
      </c>
      <c r="D508" s="79">
        <f t="shared" si="14"/>
        <v>-7.6001130826935936E-3</v>
      </c>
      <c r="E508" s="79">
        <f t="shared" si="15"/>
        <v>-8.6530416554955192E-3</v>
      </c>
    </row>
    <row r="509" spans="1:5">
      <c r="A509" s="136">
        <v>43662</v>
      </c>
      <c r="B509" s="79">
        <v>5614.3798829999996</v>
      </c>
      <c r="C509" s="79">
        <v>32.446162999999999</v>
      </c>
      <c r="D509" s="79">
        <f t="shared" si="14"/>
        <v>6.48414495920413E-3</v>
      </c>
      <c r="E509" s="79">
        <f t="shared" si="15"/>
        <v>2.3166632788330421E-2</v>
      </c>
    </row>
    <row r="510" spans="1:5">
      <c r="A510" s="136">
        <v>43661</v>
      </c>
      <c r="B510" s="79">
        <v>5578.2099609999996</v>
      </c>
      <c r="C510" s="79">
        <v>31.711514000000001</v>
      </c>
      <c r="D510" s="79">
        <f t="shared" si="14"/>
        <v>9.6002737042089059E-4</v>
      </c>
      <c r="E510" s="79">
        <f t="shared" si="15"/>
        <v>5.7880640890162205E-3</v>
      </c>
    </row>
    <row r="511" spans="1:5">
      <c r="A511" s="136">
        <v>43658</v>
      </c>
      <c r="B511" s="79">
        <v>5572.8598629999997</v>
      </c>
      <c r="C511" s="79">
        <v>31.529022000000001</v>
      </c>
      <c r="D511" s="79">
        <f t="shared" si="14"/>
        <v>3.7661843614573698E-3</v>
      </c>
      <c r="E511" s="79">
        <f t="shared" si="15"/>
        <v>1.1711704368990938E-2</v>
      </c>
    </row>
    <row r="512" spans="1:5">
      <c r="A512" s="136">
        <v>43657</v>
      </c>
      <c r="B512" s="79">
        <v>5551.9501950000003</v>
      </c>
      <c r="C512" s="79">
        <v>31.164038000000001</v>
      </c>
      <c r="D512" s="79">
        <f t="shared" si="14"/>
        <v>-2.809051930586115E-3</v>
      </c>
      <c r="E512" s="79">
        <f t="shared" si="15"/>
        <v>-1.157612817803233E-2</v>
      </c>
    </row>
    <row r="513" spans="1:5">
      <c r="A513" s="136">
        <v>43656</v>
      </c>
      <c r="B513" s="79">
        <v>5567.5898440000001</v>
      </c>
      <c r="C513" s="79">
        <v>31.529022000000001</v>
      </c>
      <c r="D513" s="79">
        <f t="shared" si="14"/>
        <v>-8.0943520767307042E-4</v>
      </c>
      <c r="E513" s="79">
        <f t="shared" si="15"/>
        <v>9.1357948112680276E-3</v>
      </c>
    </row>
    <row r="514" spans="1:5">
      <c r="A514" s="136">
        <v>43655</v>
      </c>
      <c r="B514" s="79">
        <v>5572.1000979999999</v>
      </c>
      <c r="C514" s="79">
        <v>31.243587000000002</v>
      </c>
      <c r="D514" s="79">
        <f t="shared" si="14"/>
        <v>-3.0576600867749937E-3</v>
      </c>
      <c r="E514" s="79">
        <f t="shared" si="15"/>
        <v>-1.7221189839271567E-2</v>
      </c>
    </row>
    <row r="515" spans="1:5">
      <c r="A515" s="136">
        <v>43654</v>
      </c>
      <c r="B515" s="79">
        <v>5589.1899409999996</v>
      </c>
      <c r="C515" s="79">
        <v>31.791067000000002</v>
      </c>
      <c r="D515" s="79">
        <f t="shared" si="14"/>
        <v>-8.0988569786744069E-4</v>
      </c>
      <c r="E515" s="79">
        <f t="shared" si="15"/>
        <v>-2.3493742470799273E-3</v>
      </c>
    </row>
    <row r="516" spans="1:5">
      <c r="A516" s="136">
        <v>43651</v>
      </c>
      <c r="B516" s="79">
        <v>5593.7202150000003</v>
      </c>
      <c r="C516" s="79">
        <v>31.865932000000001</v>
      </c>
      <c r="D516" s="79">
        <f t="shared" si="14"/>
        <v>-4.8053838373498525E-3</v>
      </c>
      <c r="E516" s="79">
        <f t="shared" si="15"/>
        <v>-1.4329159333508756E-2</v>
      </c>
    </row>
    <row r="517" spans="1:5">
      <c r="A517" s="136">
        <v>43650</v>
      </c>
      <c r="B517" s="79">
        <v>5620.7299800000001</v>
      </c>
      <c r="C517" s="79">
        <v>32.329182000000003</v>
      </c>
      <c r="D517" s="79">
        <f t="shared" ref="D517:D580" si="16">B517/B518-1</f>
        <v>3.4169530200167664E-4</v>
      </c>
      <c r="E517" s="79">
        <f t="shared" ref="E517:E580" si="17">C517/C518-1</f>
        <v>-4.3415585286110669E-4</v>
      </c>
    </row>
    <row r="518" spans="1:5">
      <c r="A518" s="136">
        <v>43649</v>
      </c>
      <c r="B518" s="79">
        <v>5618.8100590000004</v>
      </c>
      <c r="C518" s="79">
        <v>32.343223999999999</v>
      </c>
      <c r="D518" s="79">
        <f t="shared" si="16"/>
        <v>7.5294229193660911E-3</v>
      </c>
      <c r="E518" s="79">
        <f t="shared" si="17"/>
        <v>1.2302442688939319E-2</v>
      </c>
    </row>
    <row r="519" spans="1:5">
      <c r="A519" s="136">
        <v>43648</v>
      </c>
      <c r="B519" s="79">
        <v>5576.8198240000002</v>
      </c>
      <c r="C519" s="79">
        <v>31.950158999999999</v>
      </c>
      <c r="D519" s="79">
        <f t="shared" si="16"/>
        <v>1.600181710978088E-3</v>
      </c>
      <c r="E519" s="79">
        <f t="shared" si="17"/>
        <v>-1.9951149332382956E-2</v>
      </c>
    </row>
    <row r="520" spans="1:5">
      <c r="A520" s="136">
        <v>43647</v>
      </c>
      <c r="B520" s="79">
        <v>5567.9101559999999</v>
      </c>
      <c r="C520" s="79">
        <v>32.600577999999999</v>
      </c>
      <c r="D520" s="79">
        <f t="shared" si="16"/>
        <v>5.2247872576798304E-3</v>
      </c>
      <c r="E520" s="79">
        <f t="shared" si="17"/>
        <v>1.633837856374587E-2</v>
      </c>
    </row>
    <row r="521" spans="1:5">
      <c r="A521" s="136">
        <v>43644</v>
      </c>
      <c r="B521" s="79">
        <v>5538.9702150000003</v>
      </c>
      <c r="C521" s="79">
        <v>32.076500000000003</v>
      </c>
      <c r="D521" s="79">
        <f t="shared" si="16"/>
        <v>8.2569299843271438E-3</v>
      </c>
      <c r="E521" s="79">
        <f t="shared" si="17"/>
        <v>9.2755876603982657E-3</v>
      </c>
    </row>
    <row r="522" spans="1:5">
      <c r="A522" s="136">
        <v>43643</v>
      </c>
      <c r="B522" s="79">
        <v>5493.6098629999997</v>
      </c>
      <c r="C522" s="79">
        <v>31.781706</v>
      </c>
      <c r="D522" s="79">
        <f t="shared" si="16"/>
        <v>-1.2926220062259297E-3</v>
      </c>
      <c r="E522" s="79">
        <f t="shared" si="17"/>
        <v>1.9176329834764694E-3</v>
      </c>
    </row>
    <row r="523" spans="1:5">
      <c r="A523" s="136">
        <v>43642</v>
      </c>
      <c r="B523" s="79">
        <v>5500.7202150000003</v>
      </c>
      <c r="C523" s="79">
        <v>31.720877000000002</v>
      </c>
      <c r="D523" s="79">
        <f t="shared" si="16"/>
        <v>-2.511457727804034E-3</v>
      </c>
      <c r="E523" s="79">
        <f t="shared" si="17"/>
        <v>-1.4751514055366677E-4</v>
      </c>
    </row>
    <row r="524" spans="1:5">
      <c r="A524" s="136">
        <v>43641</v>
      </c>
      <c r="B524" s="79">
        <v>5514.5698240000002</v>
      </c>
      <c r="C524" s="79">
        <v>31.725556999999998</v>
      </c>
      <c r="D524" s="79">
        <f t="shared" si="16"/>
        <v>-1.2931025081778236E-3</v>
      </c>
      <c r="E524" s="79">
        <f t="shared" si="17"/>
        <v>-8.0467026863156876E-3</v>
      </c>
    </row>
    <row r="525" spans="1:5">
      <c r="A525" s="136">
        <v>43640</v>
      </c>
      <c r="B525" s="79">
        <v>5521.7099609999996</v>
      </c>
      <c r="C525" s="79">
        <v>31.982914000000001</v>
      </c>
      <c r="D525" s="79">
        <f t="shared" si="16"/>
        <v>-1.1974894600351726E-3</v>
      </c>
      <c r="E525" s="79">
        <f t="shared" si="17"/>
        <v>4.5561485044722794E-3</v>
      </c>
    </row>
    <row r="526" spans="1:5">
      <c r="A526" s="136">
        <v>43637</v>
      </c>
      <c r="B526" s="79">
        <v>5528.330078</v>
      </c>
      <c r="C526" s="79">
        <v>31.837855999999999</v>
      </c>
      <c r="D526" s="79">
        <f t="shared" si="16"/>
        <v>-1.3078592141700929E-3</v>
      </c>
      <c r="E526" s="79">
        <f t="shared" si="17"/>
        <v>-1.0039324980454456E-2</v>
      </c>
    </row>
    <row r="527" spans="1:5">
      <c r="A527" s="136">
        <v>43636</v>
      </c>
      <c r="B527" s="79">
        <v>5535.5698240000002</v>
      </c>
      <c r="C527" s="79">
        <v>32.160727999999999</v>
      </c>
      <c r="D527" s="79">
        <f t="shared" si="16"/>
        <v>3.1022530592939024E-3</v>
      </c>
      <c r="E527" s="79">
        <f t="shared" si="17"/>
        <v>-6.5047750945776972E-3</v>
      </c>
    </row>
    <row r="528" spans="1:5">
      <c r="A528" s="136">
        <v>43635</v>
      </c>
      <c r="B528" s="79">
        <v>5518.4501950000003</v>
      </c>
      <c r="C528" s="79">
        <v>32.371296000000001</v>
      </c>
      <c r="D528" s="79">
        <f t="shared" si="16"/>
        <v>1.5826937130591912E-3</v>
      </c>
      <c r="E528" s="79">
        <f t="shared" si="17"/>
        <v>5.6693934428444503E-3</v>
      </c>
    </row>
    <row r="529" spans="1:5">
      <c r="A529" s="136">
        <v>43634</v>
      </c>
      <c r="B529" s="79">
        <v>5509.7299800000001</v>
      </c>
      <c r="C529" s="79">
        <v>32.188805000000002</v>
      </c>
      <c r="D529" s="79">
        <f t="shared" si="16"/>
        <v>2.2033181666223811E-2</v>
      </c>
      <c r="E529" s="79">
        <f t="shared" si="17"/>
        <v>3.6618498990893977E-2</v>
      </c>
    </row>
    <row r="530" spans="1:5">
      <c r="A530" s="136">
        <v>43633</v>
      </c>
      <c r="B530" s="79">
        <v>5390.9501950000003</v>
      </c>
      <c r="C530" s="79">
        <v>31.051736999999999</v>
      </c>
      <c r="D530" s="79">
        <f t="shared" si="16"/>
        <v>4.3464473065280007E-3</v>
      </c>
      <c r="E530" s="79">
        <f t="shared" si="17"/>
        <v>-2.5552430617624688E-3</v>
      </c>
    </row>
    <row r="531" spans="1:5">
      <c r="A531" s="136">
        <v>43630</v>
      </c>
      <c r="B531" s="79">
        <v>5367.6201170000004</v>
      </c>
      <c r="C531" s="79">
        <v>31.131284999999998</v>
      </c>
      <c r="D531" s="79">
        <f t="shared" si="16"/>
        <v>-1.4900144121398062E-3</v>
      </c>
      <c r="E531" s="79">
        <f t="shared" si="17"/>
        <v>-1.5100047531404148E-2</v>
      </c>
    </row>
    <row r="532" spans="1:5">
      <c r="A532" s="136">
        <v>43629</v>
      </c>
      <c r="B532" s="79">
        <v>5375.6298829999996</v>
      </c>
      <c r="C532" s="79">
        <v>31.608575999999999</v>
      </c>
      <c r="D532" s="79">
        <f t="shared" si="16"/>
        <v>1.3208773531547813E-4</v>
      </c>
      <c r="E532" s="79">
        <f t="shared" si="17"/>
        <v>8.5100900540215907E-3</v>
      </c>
    </row>
    <row r="533" spans="1:5">
      <c r="A533" s="136">
        <v>43628</v>
      </c>
      <c r="B533" s="79">
        <v>5374.919922</v>
      </c>
      <c r="C533" s="79">
        <v>31.341854000000001</v>
      </c>
      <c r="D533" s="79">
        <f t="shared" si="16"/>
        <v>-6.1996083519449963E-3</v>
      </c>
      <c r="E533" s="79">
        <f t="shared" si="17"/>
        <v>2.9876333172729197E-4</v>
      </c>
    </row>
    <row r="534" spans="1:5">
      <c r="A534" s="136">
        <v>43627</v>
      </c>
      <c r="B534" s="79">
        <v>5408.4501950000003</v>
      </c>
      <c r="C534" s="79">
        <v>31.332492999999999</v>
      </c>
      <c r="D534" s="79">
        <f t="shared" si="16"/>
        <v>4.821215977705684E-3</v>
      </c>
      <c r="E534" s="79">
        <f t="shared" si="17"/>
        <v>2.6836378432737673E-2</v>
      </c>
    </row>
    <row r="535" spans="1:5">
      <c r="A535" s="136">
        <v>43626</v>
      </c>
      <c r="B535" s="79">
        <v>5382.5</v>
      </c>
      <c r="C535" s="79">
        <v>30.513618000000001</v>
      </c>
      <c r="D535" s="79">
        <f t="shared" si="16"/>
        <v>3.439601732035058E-3</v>
      </c>
      <c r="E535" s="79">
        <f t="shared" si="17"/>
        <v>1.1478270762207199E-2</v>
      </c>
    </row>
    <row r="536" spans="1:5">
      <c r="A536" s="136">
        <v>43623</v>
      </c>
      <c r="B536" s="79">
        <v>5364.0498049999997</v>
      </c>
      <c r="C536" s="79">
        <v>30.167349000000002</v>
      </c>
      <c r="D536" s="79">
        <f t="shared" si="16"/>
        <v>1.622066147418133E-2</v>
      </c>
      <c r="E536" s="79">
        <f t="shared" si="17"/>
        <v>1.3741964036384946E-2</v>
      </c>
    </row>
    <row r="537" spans="1:5">
      <c r="A537" s="136">
        <v>43622</v>
      </c>
      <c r="B537" s="79">
        <v>5278.4301759999998</v>
      </c>
      <c r="C537" s="79">
        <v>29.758410000000001</v>
      </c>
      <c r="D537" s="79">
        <f t="shared" si="16"/>
        <v>-2.5642146636433161E-3</v>
      </c>
      <c r="E537" s="79">
        <f t="shared" si="17"/>
        <v>-7.9400374389295703E-3</v>
      </c>
    </row>
    <row r="538" spans="1:5">
      <c r="A538" s="136">
        <v>43621</v>
      </c>
      <c r="B538" s="79">
        <v>5292</v>
      </c>
      <c r="C538" s="79">
        <v>29.996583999999999</v>
      </c>
      <c r="D538" s="79">
        <f t="shared" si="16"/>
        <v>4.5062762761269859E-3</v>
      </c>
      <c r="E538" s="79">
        <f t="shared" si="17"/>
        <v>1.1516959945571337E-2</v>
      </c>
    </row>
    <row r="539" spans="1:5">
      <c r="A539" s="136">
        <v>43620</v>
      </c>
      <c r="B539" s="79">
        <v>5268.2597660000001</v>
      </c>
      <c r="C539" s="79">
        <v>29.655048000000001</v>
      </c>
      <c r="D539" s="79">
        <f t="shared" si="16"/>
        <v>5.1130420148983724E-3</v>
      </c>
      <c r="E539" s="79">
        <f t="shared" si="17"/>
        <v>9.7933279380162386E-3</v>
      </c>
    </row>
    <row r="540" spans="1:5">
      <c r="A540" s="136">
        <v>43619</v>
      </c>
      <c r="B540" s="79">
        <v>5241.4599609999996</v>
      </c>
      <c r="C540" s="79">
        <v>29.367443000000002</v>
      </c>
      <c r="D540" s="79">
        <f t="shared" si="16"/>
        <v>6.496252375852718E-3</v>
      </c>
      <c r="E540" s="79">
        <f t="shared" si="17"/>
        <v>8.0210381358261085E-3</v>
      </c>
    </row>
    <row r="541" spans="1:5">
      <c r="A541" s="136">
        <v>43616</v>
      </c>
      <c r="B541" s="79">
        <v>5207.6298829999996</v>
      </c>
      <c r="C541" s="79">
        <v>29.133759999999999</v>
      </c>
      <c r="D541" s="79">
        <f t="shared" si="16"/>
        <v>-7.8645417378335747E-3</v>
      </c>
      <c r="E541" s="79">
        <f t="shared" si="17"/>
        <v>-1.098412778377722E-2</v>
      </c>
    </row>
    <row r="542" spans="1:5">
      <c r="A542" s="136">
        <v>43615</v>
      </c>
      <c r="B542" s="79">
        <v>5248.9101559999999</v>
      </c>
      <c r="C542" s="79">
        <v>29.457322999999999</v>
      </c>
      <c r="D542" s="79">
        <f t="shared" si="16"/>
        <v>5.130107772279624E-3</v>
      </c>
      <c r="E542" s="79">
        <f t="shared" si="17"/>
        <v>1.0950175669413698E-2</v>
      </c>
    </row>
    <row r="543" spans="1:5">
      <c r="A543" s="136">
        <v>43614</v>
      </c>
      <c r="B543" s="79">
        <v>5222.1201170000004</v>
      </c>
      <c r="C543" s="79">
        <v>29.138254</v>
      </c>
      <c r="D543" s="79">
        <f t="shared" si="16"/>
        <v>-1.70478279376024E-2</v>
      </c>
      <c r="E543" s="79">
        <f t="shared" si="17"/>
        <v>-2.0839688679603507E-2</v>
      </c>
    </row>
    <row r="544" spans="1:5">
      <c r="A544" s="136">
        <v>43613</v>
      </c>
      <c r="B544" s="79">
        <v>5312.6899409999996</v>
      </c>
      <c r="C544" s="79">
        <v>29.758410000000001</v>
      </c>
      <c r="D544" s="79">
        <f t="shared" si="16"/>
        <v>-4.4038912144862552E-3</v>
      </c>
      <c r="E544" s="79">
        <f t="shared" si="17"/>
        <v>-3.461248394226013E-3</v>
      </c>
    </row>
    <row r="545" spans="1:5">
      <c r="A545" s="136">
        <v>43612</v>
      </c>
      <c r="B545" s="79">
        <v>5336.1899409999996</v>
      </c>
      <c r="C545" s="79">
        <v>29.861768999999999</v>
      </c>
      <c r="D545" s="79">
        <f t="shared" si="16"/>
        <v>3.7017095549898293E-3</v>
      </c>
      <c r="E545" s="79">
        <f t="shared" si="17"/>
        <v>7.5300023794122595E-4</v>
      </c>
    </row>
    <row r="546" spans="1:5">
      <c r="A546" s="136">
        <v>43609</v>
      </c>
      <c r="B546" s="79">
        <v>5316.5097660000001</v>
      </c>
      <c r="C546" s="79">
        <v>29.839300000000001</v>
      </c>
      <c r="D546" s="79">
        <f t="shared" si="16"/>
        <v>6.6535100213653831E-3</v>
      </c>
      <c r="E546" s="79">
        <f t="shared" si="17"/>
        <v>2.2641826815770205E-3</v>
      </c>
    </row>
    <row r="547" spans="1:5">
      <c r="A547" s="136">
        <v>43608</v>
      </c>
      <c r="B547" s="79">
        <v>5281.3701170000004</v>
      </c>
      <c r="C547" s="79">
        <v>29.771891</v>
      </c>
      <c r="D547" s="79">
        <f t="shared" si="16"/>
        <v>-1.8146537701001053E-2</v>
      </c>
      <c r="E547" s="79">
        <f t="shared" si="17"/>
        <v>-1.5601803056949137E-2</v>
      </c>
    </row>
    <row r="548" spans="1:5">
      <c r="A548" s="136">
        <v>43607</v>
      </c>
      <c r="B548" s="79">
        <v>5378.9799800000001</v>
      </c>
      <c r="C548" s="79">
        <v>30.243748</v>
      </c>
      <c r="D548" s="79">
        <f t="shared" si="16"/>
        <v>-1.2032363153613446E-3</v>
      </c>
      <c r="E548" s="79">
        <f t="shared" si="17"/>
        <v>-5.6146547133827385E-3</v>
      </c>
    </row>
    <row r="549" spans="1:5">
      <c r="A549" s="136">
        <v>43606</v>
      </c>
      <c r="B549" s="79">
        <v>5385.4599609999996</v>
      </c>
      <c r="C549" s="79">
        <v>30.414515000000002</v>
      </c>
      <c r="D549" s="79">
        <f t="shared" si="16"/>
        <v>5.0144007625598785E-3</v>
      </c>
      <c r="E549" s="79">
        <f t="shared" si="17"/>
        <v>-3.9734283447254715E-3</v>
      </c>
    </row>
    <row r="550" spans="1:5">
      <c r="A550" s="136">
        <v>43605</v>
      </c>
      <c r="B550" s="79">
        <v>5358.5898440000001</v>
      </c>
      <c r="C550" s="79">
        <v>30.535847</v>
      </c>
      <c r="D550" s="79">
        <f t="shared" si="16"/>
        <v>-1.464449578132776E-2</v>
      </c>
      <c r="E550" s="79">
        <f t="shared" si="17"/>
        <v>-3.6657297436276659E-3</v>
      </c>
    </row>
    <row r="551" spans="1:5">
      <c r="A551" s="136">
        <v>43602</v>
      </c>
      <c r="B551" s="79">
        <v>5438.2299800000001</v>
      </c>
      <c r="C551" s="79">
        <v>30.648195000000001</v>
      </c>
      <c r="D551" s="79">
        <f t="shared" si="16"/>
        <v>-1.8134514994084805E-3</v>
      </c>
      <c r="E551" s="79">
        <f t="shared" si="17"/>
        <v>-1.1307661174891126E-2</v>
      </c>
    </row>
    <row r="552" spans="1:5">
      <c r="A552" s="136">
        <v>43601</v>
      </c>
      <c r="B552" s="79">
        <v>5448.1098629999997</v>
      </c>
      <c r="C552" s="79">
        <v>30.998718</v>
      </c>
      <c r="D552" s="79">
        <f t="shared" si="16"/>
        <v>1.3741445373967265E-2</v>
      </c>
      <c r="E552" s="79">
        <f t="shared" si="17"/>
        <v>1.3071019444218734E-2</v>
      </c>
    </row>
    <row r="553" spans="1:5">
      <c r="A553" s="136">
        <v>43600</v>
      </c>
      <c r="B553" s="79">
        <v>5374.2597660000001</v>
      </c>
      <c r="C553" s="79">
        <v>30.598761</v>
      </c>
      <c r="D553" s="79">
        <f t="shared" si="16"/>
        <v>6.1613014305732516E-3</v>
      </c>
      <c r="E553" s="79">
        <f t="shared" si="17"/>
        <v>6.2065067301333432E-3</v>
      </c>
    </row>
    <row r="554" spans="1:5">
      <c r="A554" s="136">
        <v>43599</v>
      </c>
      <c r="B554" s="79">
        <v>5341.3500979999999</v>
      </c>
      <c r="C554" s="79">
        <v>30.410021</v>
      </c>
      <c r="D554" s="79">
        <f t="shared" si="16"/>
        <v>1.4969924701183412E-2</v>
      </c>
      <c r="E554" s="79">
        <f t="shared" si="17"/>
        <v>1.3327395325534841E-2</v>
      </c>
    </row>
    <row r="555" spans="1:5">
      <c r="A555" s="136">
        <v>43598</v>
      </c>
      <c r="B555" s="79">
        <v>5262.5698240000002</v>
      </c>
      <c r="C555" s="79">
        <v>30.010065000000001</v>
      </c>
      <c r="D555" s="79">
        <f t="shared" si="16"/>
        <v>-1.2176602217654042E-2</v>
      </c>
      <c r="E555" s="79">
        <f t="shared" si="17"/>
        <v>-1.837428610680425E-2</v>
      </c>
    </row>
    <row r="556" spans="1:5">
      <c r="A556" s="136">
        <v>43595</v>
      </c>
      <c r="B556" s="79">
        <v>5327.4399409999996</v>
      </c>
      <c r="C556" s="79">
        <v>30.5718</v>
      </c>
      <c r="D556" s="79">
        <f t="shared" si="16"/>
        <v>2.6876255525394299E-3</v>
      </c>
      <c r="E556" s="79">
        <f t="shared" si="17"/>
        <v>1.4721133627200178E-3</v>
      </c>
    </row>
    <row r="557" spans="1:5">
      <c r="A557" s="136">
        <v>43594</v>
      </c>
      <c r="B557" s="79">
        <v>5313.1601559999999</v>
      </c>
      <c r="C557" s="79">
        <v>30.526861</v>
      </c>
      <c r="D557" s="79">
        <f t="shared" si="16"/>
        <v>-1.9276041746803085E-2</v>
      </c>
      <c r="E557" s="79">
        <f t="shared" si="17"/>
        <v>-2.6093270872683316E-2</v>
      </c>
    </row>
    <row r="558" spans="1:5">
      <c r="A558" s="136">
        <v>43593</v>
      </c>
      <c r="B558" s="79">
        <v>5417.5898440000001</v>
      </c>
      <c r="C558" s="79">
        <v>31.344747999999999</v>
      </c>
      <c r="D558" s="79">
        <f t="shared" si="16"/>
        <v>4.0476011675856238E-3</v>
      </c>
      <c r="E558" s="79">
        <f t="shared" si="17"/>
        <v>5.0433090735826358E-3</v>
      </c>
    </row>
    <row r="559" spans="1:5">
      <c r="A559" s="136">
        <v>43592</v>
      </c>
      <c r="B559" s="79">
        <v>5395.75</v>
      </c>
      <c r="C559" s="79">
        <v>31.187460000000002</v>
      </c>
      <c r="D559" s="79">
        <f t="shared" si="16"/>
        <v>-1.6006145629062551E-2</v>
      </c>
      <c r="E559" s="79">
        <f t="shared" si="17"/>
        <v>-2.2122095757689753E-2</v>
      </c>
    </row>
    <row r="560" spans="1:5">
      <c r="A560" s="136">
        <v>43591</v>
      </c>
      <c r="B560" s="79">
        <v>5483.5200199999999</v>
      </c>
      <c r="C560" s="79">
        <v>31.893000000000001</v>
      </c>
      <c r="D560" s="79">
        <f t="shared" si="16"/>
        <v>-1.1771798400458611E-2</v>
      </c>
      <c r="E560" s="79">
        <f t="shared" si="17"/>
        <v>-1.7580179817973995E-2</v>
      </c>
    </row>
    <row r="561" spans="1:5">
      <c r="A561" s="136">
        <v>43588</v>
      </c>
      <c r="B561" s="79">
        <v>5548.8398440000001</v>
      </c>
      <c r="C561" s="79">
        <v>32.463718</v>
      </c>
      <c r="D561" s="79">
        <f t="shared" si="16"/>
        <v>1.8018114281366238E-3</v>
      </c>
      <c r="E561" s="79">
        <f t="shared" si="17"/>
        <v>-5.780391077401803E-3</v>
      </c>
    </row>
    <row r="562" spans="1:5">
      <c r="A562" s="136">
        <v>43587</v>
      </c>
      <c r="B562" s="79">
        <v>5538.8598629999997</v>
      </c>
      <c r="C562" s="79">
        <v>32.652462</v>
      </c>
      <c r="D562" s="79">
        <f t="shared" si="16"/>
        <v>-8.5117797784556304E-3</v>
      </c>
      <c r="E562" s="79">
        <f t="shared" si="17"/>
        <v>-3.0186867537096429E-3</v>
      </c>
    </row>
    <row r="563" spans="1:5">
      <c r="A563" s="136">
        <v>43585</v>
      </c>
      <c r="B563" s="79">
        <v>5586.4101559999999</v>
      </c>
      <c r="C563" s="79">
        <v>32.751328000000001</v>
      </c>
      <c r="D563" s="79">
        <f t="shared" si="16"/>
        <v>9.7297894266956675E-4</v>
      </c>
      <c r="E563" s="79">
        <f t="shared" si="17"/>
        <v>0</v>
      </c>
    </row>
    <row r="564" spans="1:5">
      <c r="A564" s="136">
        <v>43584</v>
      </c>
      <c r="B564" s="79">
        <v>5580.9799800000001</v>
      </c>
      <c r="C564" s="79">
        <v>32.751328000000001</v>
      </c>
      <c r="D564" s="79">
        <f t="shared" si="16"/>
        <v>2.0864367334563205E-3</v>
      </c>
      <c r="E564" s="79">
        <f t="shared" si="17"/>
        <v>8.3011375053634318E-3</v>
      </c>
    </row>
    <row r="565" spans="1:5">
      <c r="A565" s="136">
        <v>43581</v>
      </c>
      <c r="B565" s="79">
        <v>5569.3598629999997</v>
      </c>
      <c r="C565" s="79">
        <v>32.481693</v>
      </c>
      <c r="D565" s="79">
        <f t="shared" si="16"/>
        <v>2.103388859731492E-3</v>
      </c>
      <c r="E565" s="79">
        <f t="shared" si="17"/>
        <v>1.161644518570415E-2</v>
      </c>
    </row>
    <row r="566" spans="1:5">
      <c r="A566" s="136">
        <v>43580</v>
      </c>
      <c r="B566" s="79">
        <v>5557.669922</v>
      </c>
      <c r="C566" s="79">
        <v>32.108704000000003</v>
      </c>
      <c r="D566" s="79">
        <f t="shared" si="16"/>
        <v>-3.2980521740109126E-3</v>
      </c>
      <c r="E566" s="79">
        <f t="shared" si="17"/>
        <v>-1.2712477939259781E-2</v>
      </c>
    </row>
    <row r="567" spans="1:5">
      <c r="A567" s="136">
        <v>43579</v>
      </c>
      <c r="B567" s="79">
        <v>5576.0600590000004</v>
      </c>
      <c r="C567" s="79">
        <v>32.522140999999998</v>
      </c>
      <c r="D567" s="79">
        <f t="shared" si="16"/>
        <v>-2.7951982611547077E-3</v>
      </c>
      <c r="E567" s="79">
        <f t="shared" si="17"/>
        <v>-8.2226107003967597E-3</v>
      </c>
    </row>
    <row r="568" spans="1:5">
      <c r="A568" s="136">
        <v>43578</v>
      </c>
      <c r="B568" s="79">
        <v>5591.6899409999996</v>
      </c>
      <c r="C568" s="79">
        <v>32.791775000000001</v>
      </c>
      <c r="D568" s="79">
        <f t="shared" si="16"/>
        <v>2.0267541345087015E-3</v>
      </c>
      <c r="E568" s="79">
        <f t="shared" si="17"/>
        <v>-1.0441943064532944E-2</v>
      </c>
    </row>
    <row r="569" spans="1:5">
      <c r="A569" s="136">
        <v>43573</v>
      </c>
      <c r="B569" s="79">
        <v>5580.3798829999996</v>
      </c>
      <c r="C569" s="79">
        <v>33.137797999999997</v>
      </c>
      <c r="D569" s="79">
        <f t="shared" si="16"/>
        <v>3.1079920484562429E-3</v>
      </c>
      <c r="E569" s="79">
        <f t="shared" si="17"/>
        <v>-1.2191120651768861E-3</v>
      </c>
    </row>
    <row r="570" spans="1:5">
      <c r="A570" s="136">
        <v>43572</v>
      </c>
      <c r="B570" s="79">
        <v>5563.0898440000001</v>
      </c>
      <c r="C570" s="79">
        <v>33.178246000000001</v>
      </c>
      <c r="D570" s="79">
        <f t="shared" si="16"/>
        <v>6.2257147714741556E-3</v>
      </c>
      <c r="E570" s="79">
        <f t="shared" si="17"/>
        <v>4.2166313300735503E-3</v>
      </c>
    </row>
    <row r="571" spans="1:5">
      <c r="A571" s="136">
        <v>43571</v>
      </c>
      <c r="B571" s="79">
        <v>5528.669922</v>
      </c>
      <c r="C571" s="79">
        <v>33.038933</v>
      </c>
      <c r="D571" s="79">
        <f t="shared" si="16"/>
        <v>3.6196985643504043E-3</v>
      </c>
      <c r="E571" s="79">
        <f t="shared" si="17"/>
        <v>1.7718703692534588E-2</v>
      </c>
    </row>
    <row r="572" spans="1:5">
      <c r="A572" s="136">
        <v>43570</v>
      </c>
      <c r="B572" s="79">
        <v>5508.7299800000001</v>
      </c>
      <c r="C572" s="79">
        <v>32.463718</v>
      </c>
      <c r="D572" s="79">
        <f t="shared" si="16"/>
        <v>1.0957865750125251E-3</v>
      </c>
      <c r="E572" s="79">
        <f t="shared" si="17"/>
        <v>6.6888456021605425E-3</v>
      </c>
    </row>
    <row r="573" spans="1:5">
      <c r="A573" s="136">
        <v>43567</v>
      </c>
      <c r="B573" s="79">
        <v>5502.7001950000003</v>
      </c>
      <c r="C573" s="79">
        <v>32.248016</v>
      </c>
      <c r="D573" s="79">
        <f t="shared" si="16"/>
        <v>3.0953055085767289E-3</v>
      </c>
      <c r="E573" s="79">
        <f t="shared" si="17"/>
        <v>9.1408437975419865E-3</v>
      </c>
    </row>
    <row r="574" spans="1:5">
      <c r="A574" s="136">
        <v>43566</v>
      </c>
      <c r="B574" s="79">
        <v>5485.7202150000003</v>
      </c>
      <c r="C574" s="79">
        <v>31.955912000000001</v>
      </c>
      <c r="D574" s="79">
        <f t="shared" si="16"/>
        <v>6.5763526480278056E-3</v>
      </c>
      <c r="E574" s="79">
        <f t="shared" si="17"/>
        <v>1.5857220105229164E-2</v>
      </c>
    </row>
    <row r="575" spans="1:5">
      <c r="A575" s="136">
        <v>43565</v>
      </c>
      <c r="B575" s="79">
        <v>5449.8798829999996</v>
      </c>
      <c r="C575" s="79">
        <v>31.457090000000001</v>
      </c>
      <c r="D575" s="79">
        <f t="shared" si="16"/>
        <v>2.4758869243213244E-3</v>
      </c>
      <c r="E575" s="79">
        <f t="shared" si="17"/>
        <v>1.0246666543987093E-2</v>
      </c>
    </row>
    <row r="576" spans="1:5">
      <c r="A576" s="136">
        <v>43564</v>
      </c>
      <c r="B576" s="79">
        <v>5436.419922</v>
      </c>
      <c r="C576" s="79">
        <v>31.138029</v>
      </c>
      <c r="D576" s="79">
        <f t="shared" si="16"/>
        <v>-6.4622233330612344E-3</v>
      </c>
      <c r="E576" s="79">
        <f t="shared" si="17"/>
        <v>-8.1592506535128617E-3</v>
      </c>
    </row>
    <row r="577" spans="1:5">
      <c r="A577" s="136">
        <v>43563</v>
      </c>
      <c r="B577" s="79">
        <v>5471.7797849999997</v>
      </c>
      <c r="C577" s="79">
        <v>31.394182000000001</v>
      </c>
      <c r="D577" s="79">
        <f t="shared" si="16"/>
        <v>-8.0720387177168895E-4</v>
      </c>
      <c r="E577" s="79">
        <f t="shared" si="17"/>
        <v>-4.8431909625552549E-3</v>
      </c>
    </row>
    <row r="578" spans="1:5">
      <c r="A578" s="136">
        <v>43560</v>
      </c>
      <c r="B578" s="79">
        <v>5476.2001950000003</v>
      </c>
      <c r="C578" s="79">
        <v>31.546970000000002</v>
      </c>
      <c r="D578" s="79">
        <f t="shared" si="16"/>
        <v>2.2695542374471245E-3</v>
      </c>
      <c r="E578" s="79">
        <f t="shared" si="17"/>
        <v>8.3309560966333684E-3</v>
      </c>
    </row>
    <row r="579" spans="1:5">
      <c r="A579" s="136">
        <v>43559</v>
      </c>
      <c r="B579" s="79">
        <v>5463.7998049999997</v>
      </c>
      <c r="C579" s="79">
        <v>31.286325000000001</v>
      </c>
      <c r="D579" s="79">
        <f t="shared" si="16"/>
        <v>-9.3443681725025041E-4</v>
      </c>
      <c r="E579" s="79">
        <f t="shared" si="17"/>
        <v>9.5707187648710335E-3</v>
      </c>
    </row>
    <row r="580" spans="1:5">
      <c r="A580" s="136">
        <v>43558</v>
      </c>
      <c r="B580" s="79">
        <v>5468.9101559999999</v>
      </c>
      <c r="C580" s="79">
        <v>30.989730999999999</v>
      </c>
      <c r="D580" s="79">
        <f t="shared" si="16"/>
        <v>8.3783885959811677E-3</v>
      </c>
      <c r="E580" s="79">
        <f t="shared" si="17"/>
        <v>2.8179564244494637E-2</v>
      </c>
    </row>
    <row r="581" spans="1:5">
      <c r="A581" s="136">
        <v>43557</v>
      </c>
      <c r="B581" s="79">
        <v>5423.4702150000003</v>
      </c>
      <c r="C581" s="79">
        <v>30.140388000000002</v>
      </c>
      <c r="D581" s="79">
        <f t="shared" ref="D581:D644" si="18">B581/B582-1</f>
        <v>3.318903181291244E-3</v>
      </c>
      <c r="E581" s="79">
        <f t="shared" ref="E581:E644" si="19">C581/C582-1</f>
        <v>7.8135642469532307E-3</v>
      </c>
    </row>
    <row r="582" spans="1:5">
      <c r="A582" s="136">
        <v>43556</v>
      </c>
      <c r="B582" s="79">
        <v>5405.5297849999997</v>
      </c>
      <c r="C582" s="79">
        <v>29.90671</v>
      </c>
      <c r="D582" s="79">
        <f t="shared" si="18"/>
        <v>1.0279355916154476E-2</v>
      </c>
      <c r="E582" s="79">
        <f t="shared" si="19"/>
        <v>2.9866947627553708E-2</v>
      </c>
    </row>
    <row r="583" spans="1:5">
      <c r="A583" s="136">
        <v>43553</v>
      </c>
      <c r="B583" s="79">
        <v>5350.5297849999997</v>
      </c>
      <c r="C583" s="79">
        <v>29.039391999999999</v>
      </c>
      <c r="D583" s="79">
        <f t="shared" si="18"/>
        <v>1.0193399011893867E-2</v>
      </c>
      <c r="E583" s="79">
        <f t="shared" si="19"/>
        <v>1.651724588768344E-2</v>
      </c>
    </row>
    <row r="584" spans="1:5">
      <c r="A584" s="136">
        <v>43552</v>
      </c>
      <c r="B584" s="79">
        <v>5296.5400390000004</v>
      </c>
      <c r="C584" s="79">
        <v>28.567534999999999</v>
      </c>
      <c r="D584" s="79">
        <f t="shared" si="18"/>
        <v>-8.8662177010090382E-4</v>
      </c>
      <c r="E584" s="79">
        <f t="shared" si="19"/>
        <v>-7.9587878092512998E-3</v>
      </c>
    </row>
    <row r="585" spans="1:5">
      <c r="A585" s="136">
        <v>43551</v>
      </c>
      <c r="B585" s="79">
        <v>5301.2402339999999</v>
      </c>
      <c r="C585" s="79">
        <v>28.796721999999999</v>
      </c>
      <c r="D585" s="79">
        <f t="shared" si="18"/>
        <v>-1.1568135568486015E-3</v>
      </c>
      <c r="E585" s="79">
        <f t="shared" si="19"/>
        <v>3.0888026050355455E-2</v>
      </c>
    </row>
    <row r="586" spans="1:5">
      <c r="A586" s="136">
        <v>43550</v>
      </c>
      <c r="B586" s="79">
        <v>5307.3798829999996</v>
      </c>
      <c r="C586" s="79">
        <v>27.933899</v>
      </c>
      <c r="D586" s="79">
        <f t="shared" si="18"/>
        <v>8.8848019980043436E-3</v>
      </c>
      <c r="E586" s="79">
        <f t="shared" si="19"/>
        <v>1.1389597269679808E-2</v>
      </c>
    </row>
    <row r="587" spans="1:5">
      <c r="A587" s="136">
        <v>43549</v>
      </c>
      <c r="B587" s="79">
        <v>5260.6401370000003</v>
      </c>
      <c r="C587" s="79">
        <v>27.619326000000001</v>
      </c>
      <c r="D587" s="79">
        <f t="shared" si="18"/>
        <v>-1.76089677591873E-3</v>
      </c>
      <c r="E587" s="79">
        <f t="shared" si="19"/>
        <v>-1.2849355134001983E-2</v>
      </c>
    </row>
    <row r="588" spans="1:5">
      <c r="A588" s="136">
        <v>43546</v>
      </c>
      <c r="B588" s="79">
        <v>5269.919922</v>
      </c>
      <c r="C588" s="79">
        <v>27.978836000000001</v>
      </c>
      <c r="D588" s="79">
        <f t="shared" si="18"/>
        <v>-2.0251573108628351E-2</v>
      </c>
      <c r="E588" s="79">
        <f t="shared" si="19"/>
        <v>-3.8158605581352978E-2</v>
      </c>
    </row>
    <row r="589" spans="1:5">
      <c r="A589" s="136">
        <v>43545</v>
      </c>
      <c r="B589" s="79">
        <v>5378.8500979999999</v>
      </c>
      <c r="C589" s="79">
        <v>29.088825</v>
      </c>
      <c r="D589" s="79">
        <f t="shared" si="18"/>
        <v>-7.078392262519495E-4</v>
      </c>
      <c r="E589" s="79">
        <f t="shared" si="19"/>
        <v>-6.141433050928069E-3</v>
      </c>
    </row>
    <row r="590" spans="1:5">
      <c r="A590" s="136">
        <v>43544</v>
      </c>
      <c r="B590" s="79">
        <v>5382.6601559999999</v>
      </c>
      <c r="C590" s="79">
        <v>29.268575999999999</v>
      </c>
      <c r="D590" s="79">
        <f t="shared" si="18"/>
        <v>-7.9691381671198602E-3</v>
      </c>
      <c r="E590" s="79">
        <f t="shared" si="19"/>
        <v>-3.0614689001356998E-3</v>
      </c>
    </row>
    <row r="591" spans="1:5">
      <c r="A591" s="136">
        <v>43543</v>
      </c>
      <c r="B591" s="79">
        <v>5425.8999020000001</v>
      </c>
      <c r="C591" s="79">
        <v>29.358456</v>
      </c>
      <c r="D591" s="79">
        <f t="shared" si="18"/>
        <v>2.4146008301870747E-3</v>
      </c>
      <c r="E591" s="79">
        <f t="shared" si="19"/>
        <v>-8.4989549684565402E-3</v>
      </c>
    </row>
    <row r="592" spans="1:5">
      <c r="A592" s="136">
        <v>43542</v>
      </c>
      <c r="B592" s="79">
        <v>5412.830078</v>
      </c>
      <c r="C592" s="79">
        <v>29.610111</v>
      </c>
      <c r="D592" s="79">
        <f t="shared" si="18"/>
        <v>1.3894189880594432E-3</v>
      </c>
      <c r="E592" s="79">
        <f t="shared" si="19"/>
        <v>-4.8331453244675471E-3</v>
      </c>
    </row>
    <row r="593" spans="1:5">
      <c r="A593" s="136">
        <v>43539</v>
      </c>
      <c r="B593" s="79">
        <v>5405.3198240000002</v>
      </c>
      <c r="C593" s="79">
        <v>29.753916</v>
      </c>
      <c r="D593" s="79">
        <f t="shared" si="18"/>
        <v>1.0381743030942525E-2</v>
      </c>
      <c r="E593" s="79">
        <f t="shared" si="19"/>
        <v>1.238526931381978E-2</v>
      </c>
    </row>
    <row r="594" spans="1:5">
      <c r="A594" s="136">
        <v>43538</v>
      </c>
      <c r="B594" s="79">
        <v>5349.7797849999997</v>
      </c>
      <c r="C594" s="79">
        <v>29.389914000000001</v>
      </c>
      <c r="D594" s="79">
        <f t="shared" si="18"/>
        <v>8.1788154932216361E-3</v>
      </c>
      <c r="E594" s="79">
        <f t="shared" si="19"/>
        <v>1.600121906675156E-2</v>
      </c>
    </row>
    <row r="595" spans="1:5">
      <c r="A595" s="136">
        <v>43537</v>
      </c>
      <c r="B595" s="79">
        <v>5306.3798829999996</v>
      </c>
      <c r="C595" s="79">
        <v>28.927046000000001</v>
      </c>
      <c r="D595" s="79">
        <f t="shared" si="18"/>
        <v>6.8554400645128855E-3</v>
      </c>
      <c r="E595" s="79">
        <f t="shared" si="19"/>
        <v>8.3020700467488773E-3</v>
      </c>
    </row>
    <row r="596" spans="1:5">
      <c r="A596" s="136">
        <v>43536</v>
      </c>
      <c r="B596" s="79">
        <v>5270.25</v>
      </c>
      <c r="C596" s="79">
        <v>28.688869</v>
      </c>
      <c r="D596" s="79">
        <f t="shared" si="18"/>
        <v>8.1467368376753058E-4</v>
      </c>
      <c r="E596" s="79">
        <f t="shared" si="19"/>
        <v>1.7208484796352952E-2</v>
      </c>
    </row>
    <row r="597" spans="1:5">
      <c r="A597" s="136">
        <v>43535</v>
      </c>
      <c r="B597" s="79">
        <v>5265.9599609999996</v>
      </c>
      <c r="C597" s="79">
        <v>28.203529</v>
      </c>
      <c r="D597" s="79">
        <f t="shared" si="18"/>
        <v>6.6408494714840227E-3</v>
      </c>
      <c r="E597" s="79">
        <f t="shared" si="19"/>
        <v>6.8987137371712137E-3</v>
      </c>
    </row>
    <row r="598" spans="1:5">
      <c r="A598" s="136">
        <v>43532</v>
      </c>
      <c r="B598" s="79">
        <v>5231.2202150000003</v>
      </c>
      <c r="C598" s="79">
        <v>28.010293999999998</v>
      </c>
      <c r="D598" s="79">
        <f t="shared" si="18"/>
        <v>-6.9666410164538339E-3</v>
      </c>
      <c r="E598" s="79">
        <f t="shared" si="19"/>
        <v>9.6357367046739917E-4</v>
      </c>
    </row>
    <row r="599" spans="1:5">
      <c r="A599" s="136">
        <v>43531</v>
      </c>
      <c r="B599" s="79">
        <v>5267.919922</v>
      </c>
      <c r="C599" s="79">
        <v>27.983329999999999</v>
      </c>
      <c r="D599" s="79">
        <f t="shared" si="18"/>
        <v>-3.9498746914632399E-3</v>
      </c>
      <c r="E599" s="79">
        <f t="shared" si="19"/>
        <v>-8.5974627224926214E-3</v>
      </c>
    </row>
    <row r="600" spans="1:5">
      <c r="A600" s="136">
        <v>43530</v>
      </c>
      <c r="B600" s="79">
        <v>5288.8100590000004</v>
      </c>
      <c r="C600" s="79">
        <v>28.226002000000001</v>
      </c>
      <c r="D600" s="79">
        <f t="shared" si="18"/>
        <v>-1.6441582036720304E-3</v>
      </c>
      <c r="E600" s="79">
        <f t="shared" si="19"/>
        <v>-9.7744856798651636E-3</v>
      </c>
    </row>
    <row r="601" spans="1:5">
      <c r="A601" s="136">
        <v>43529</v>
      </c>
      <c r="B601" s="79">
        <v>5297.5200199999999</v>
      </c>
      <c r="C601" s="79">
        <v>28.504619999999999</v>
      </c>
      <c r="D601" s="79">
        <f t="shared" si="18"/>
        <v>2.0713234412015336E-3</v>
      </c>
      <c r="E601" s="79">
        <f t="shared" si="19"/>
        <v>-3.4564666888341478E-3</v>
      </c>
    </row>
    <row r="602" spans="1:5">
      <c r="A602" s="136">
        <v>43528</v>
      </c>
      <c r="B602" s="79">
        <v>5286.5698240000002</v>
      </c>
      <c r="C602" s="79">
        <v>28.603487000000001</v>
      </c>
      <c r="D602" s="79">
        <f t="shared" si="18"/>
        <v>4.060610013993049E-3</v>
      </c>
      <c r="E602" s="79">
        <f t="shared" si="19"/>
        <v>1.5637598495960248E-2</v>
      </c>
    </row>
    <row r="603" spans="1:5">
      <c r="A603" s="136">
        <v>43525</v>
      </c>
      <c r="B603" s="79">
        <v>5265.1899409999996</v>
      </c>
      <c r="C603" s="79">
        <v>28.163084000000001</v>
      </c>
      <c r="D603" s="79">
        <f t="shared" si="18"/>
        <v>4.7056608800477573E-3</v>
      </c>
      <c r="E603" s="79">
        <f t="shared" si="19"/>
        <v>-1.0265299628169688E-2</v>
      </c>
    </row>
    <row r="604" spans="1:5">
      <c r="A604" s="136">
        <v>43524</v>
      </c>
      <c r="B604" s="79">
        <v>5240.5297849999997</v>
      </c>
      <c r="C604" s="79">
        <v>28.455185</v>
      </c>
      <c r="D604" s="79">
        <f t="shared" si="18"/>
        <v>2.9050086052242463E-3</v>
      </c>
      <c r="E604" s="79">
        <f t="shared" si="19"/>
        <v>-7.52358847002077E-3</v>
      </c>
    </row>
    <row r="605" spans="1:5">
      <c r="A605" s="136">
        <v>43523</v>
      </c>
      <c r="B605" s="79">
        <v>5225.3500979999999</v>
      </c>
      <c r="C605" s="79">
        <v>28.670893</v>
      </c>
      <c r="D605" s="79">
        <f t="shared" si="18"/>
        <v>-2.5521723725038248E-3</v>
      </c>
      <c r="E605" s="79">
        <f t="shared" si="19"/>
        <v>-1.9969239546137163E-2</v>
      </c>
    </row>
    <row r="606" spans="1:5">
      <c r="A606" s="136">
        <v>43522</v>
      </c>
      <c r="B606" s="79">
        <v>5238.7202150000003</v>
      </c>
      <c r="C606" s="79">
        <v>29.255095000000001</v>
      </c>
      <c r="D606" s="79">
        <f t="shared" si="18"/>
        <v>1.3131333794571542E-3</v>
      </c>
      <c r="E606" s="79">
        <f t="shared" si="19"/>
        <v>-4.6059637476036919E-4</v>
      </c>
    </row>
    <row r="607" spans="1:5">
      <c r="A607" s="136">
        <v>43521</v>
      </c>
      <c r="B607" s="79">
        <v>5231.8500979999999</v>
      </c>
      <c r="C607" s="79">
        <v>29.268575999999999</v>
      </c>
      <c r="D607" s="79">
        <f t="shared" si="18"/>
        <v>3.0675728211850828E-3</v>
      </c>
      <c r="E607" s="79">
        <f t="shared" si="19"/>
        <v>4.782371984686451E-3</v>
      </c>
    </row>
    <row r="608" spans="1:5">
      <c r="A608" s="136">
        <v>43518</v>
      </c>
      <c r="B608" s="79">
        <v>5215.8500979999999</v>
      </c>
      <c r="C608" s="79">
        <v>29.129269000000001</v>
      </c>
      <c r="D608" s="79">
        <f t="shared" si="18"/>
        <v>3.7990411135384594E-3</v>
      </c>
      <c r="E608" s="79">
        <f t="shared" si="19"/>
        <v>-1.6388400250484492E-2</v>
      </c>
    </row>
    <row r="609" spans="1:5">
      <c r="A609" s="136">
        <v>43517</v>
      </c>
      <c r="B609" s="79">
        <v>5196.1098629999997</v>
      </c>
      <c r="C609" s="79">
        <v>29.614605000000001</v>
      </c>
      <c r="D609" s="79">
        <f t="shared" si="18"/>
        <v>3.072931687309044E-5</v>
      </c>
      <c r="E609" s="79">
        <f t="shared" si="19"/>
        <v>-6.632522858993628E-3</v>
      </c>
    </row>
    <row r="610" spans="1:5">
      <c r="A610" s="136">
        <v>43516</v>
      </c>
      <c r="B610" s="79">
        <v>5195.9501950000003</v>
      </c>
      <c r="C610" s="79">
        <v>29.812335999999998</v>
      </c>
      <c r="D610" s="79">
        <f t="shared" si="18"/>
        <v>6.8656210735911216E-3</v>
      </c>
      <c r="E610" s="79">
        <f t="shared" si="19"/>
        <v>1.17431402758994E-2</v>
      </c>
    </row>
    <row r="611" spans="1:5">
      <c r="A611" s="136">
        <v>43515</v>
      </c>
      <c r="B611" s="79">
        <v>5160.5200199999999</v>
      </c>
      <c r="C611" s="79">
        <v>29.466308999999999</v>
      </c>
      <c r="D611" s="79">
        <f t="shared" si="18"/>
        <v>-1.5516991141568681E-3</v>
      </c>
      <c r="E611" s="79">
        <f t="shared" si="19"/>
        <v>1.5273931320194389E-3</v>
      </c>
    </row>
    <row r="612" spans="1:5">
      <c r="A612" s="136">
        <v>43514</v>
      </c>
      <c r="B612" s="79">
        <v>5168.5400390000004</v>
      </c>
      <c r="C612" s="79">
        <v>29.421371000000001</v>
      </c>
      <c r="D612" s="79">
        <f t="shared" si="18"/>
        <v>2.9787564936956112E-3</v>
      </c>
      <c r="E612" s="79">
        <f t="shared" si="19"/>
        <v>1.9897185388102478E-3</v>
      </c>
    </row>
    <row r="613" spans="1:5">
      <c r="A613" s="136">
        <v>43511</v>
      </c>
      <c r="B613" s="79">
        <v>5153.1899409999996</v>
      </c>
      <c r="C613" s="79">
        <v>29.362946999999998</v>
      </c>
      <c r="D613" s="79">
        <f t="shared" si="18"/>
        <v>1.7910037025394177E-2</v>
      </c>
      <c r="E613" s="79">
        <f t="shared" si="19"/>
        <v>3.4024295793954273E-2</v>
      </c>
    </row>
    <row r="614" spans="1:5">
      <c r="A614" s="136">
        <v>43510</v>
      </c>
      <c r="B614" s="79">
        <v>5062.5200199999999</v>
      </c>
      <c r="C614" s="79">
        <v>28.396767000000001</v>
      </c>
      <c r="D614" s="79">
        <f t="shared" si="18"/>
        <v>-2.3156040087910501E-3</v>
      </c>
      <c r="E614" s="79">
        <f t="shared" si="19"/>
        <v>1.6079754166580251E-2</v>
      </c>
    </row>
    <row r="615" spans="1:5">
      <c r="A615" s="136">
        <v>43509</v>
      </c>
      <c r="B615" s="79">
        <v>5074.2700199999999</v>
      </c>
      <c r="C615" s="79">
        <v>27.947379999999999</v>
      </c>
      <c r="D615" s="79">
        <f t="shared" si="18"/>
        <v>3.5440429663065043E-3</v>
      </c>
      <c r="E615" s="79">
        <f t="shared" si="19"/>
        <v>7.4518048632004064E-3</v>
      </c>
    </row>
    <row r="616" spans="1:5">
      <c r="A616" s="136">
        <v>43508</v>
      </c>
      <c r="B616" s="79">
        <v>5056.3500979999999</v>
      </c>
      <c r="C616" s="79">
        <v>27.740662</v>
      </c>
      <c r="D616" s="79">
        <f t="shared" si="18"/>
        <v>8.351806113978455E-3</v>
      </c>
      <c r="E616" s="79">
        <f t="shared" si="19"/>
        <v>-4.1942738301320448E-3</v>
      </c>
    </row>
    <row r="617" spans="1:5">
      <c r="A617" s="136">
        <v>43507</v>
      </c>
      <c r="B617" s="79">
        <v>5014.4702150000003</v>
      </c>
      <c r="C617" s="79">
        <v>27.857503999999999</v>
      </c>
      <c r="D617" s="79">
        <f t="shared" si="18"/>
        <v>1.064770449715513E-2</v>
      </c>
      <c r="E617" s="79">
        <f t="shared" si="19"/>
        <v>3.7241647129944155E-3</v>
      </c>
    </row>
    <row r="618" spans="1:5">
      <c r="A618" s="136">
        <v>43504</v>
      </c>
      <c r="B618" s="79">
        <v>4961.6401370000003</v>
      </c>
      <c r="C618" s="79">
        <v>27.754142999999999</v>
      </c>
      <c r="D618" s="79">
        <f t="shared" si="18"/>
        <v>-4.7978405067690133E-3</v>
      </c>
      <c r="E618" s="79">
        <f t="shared" si="19"/>
        <v>-1.593367978879523E-2</v>
      </c>
    </row>
    <row r="619" spans="1:5">
      <c r="A619" s="136">
        <v>43503</v>
      </c>
      <c r="B619" s="79">
        <v>4985.5600590000004</v>
      </c>
      <c r="C619" s="79">
        <v>28.203529</v>
      </c>
      <c r="D619" s="79">
        <f t="shared" si="18"/>
        <v>-1.8406936255668249E-2</v>
      </c>
      <c r="E619" s="79">
        <f t="shared" si="19"/>
        <v>-1.7071266067436253E-2</v>
      </c>
    </row>
    <row r="620" spans="1:5">
      <c r="A620" s="136">
        <v>43502</v>
      </c>
      <c r="B620" s="79">
        <v>5079.0498049999997</v>
      </c>
      <c r="C620" s="79">
        <v>28.693360999999999</v>
      </c>
      <c r="D620" s="79">
        <f t="shared" si="18"/>
        <v>-8.4394101745211003E-4</v>
      </c>
      <c r="E620" s="79">
        <f t="shared" si="19"/>
        <v>7.7334924913858849E-3</v>
      </c>
    </row>
    <row r="621" spans="1:5">
      <c r="A621" s="136">
        <v>43501</v>
      </c>
      <c r="B621" s="79">
        <v>5083.3398440000001</v>
      </c>
      <c r="C621" s="79">
        <v>28.473164000000001</v>
      </c>
      <c r="D621" s="79">
        <f t="shared" si="18"/>
        <v>1.6629348880969008E-2</v>
      </c>
      <c r="E621" s="79">
        <f t="shared" si="19"/>
        <v>6.3265719712253254E-2</v>
      </c>
    </row>
    <row r="622" spans="1:5">
      <c r="A622" s="136">
        <v>43500</v>
      </c>
      <c r="B622" s="79">
        <v>5000.1899409999996</v>
      </c>
      <c r="C622" s="79">
        <v>26.778973000000001</v>
      </c>
      <c r="D622" s="79">
        <f t="shared" si="18"/>
        <v>-3.7993301580400152E-3</v>
      </c>
      <c r="E622" s="79">
        <f t="shared" si="19"/>
        <v>-1.2756828552491828E-2</v>
      </c>
    </row>
    <row r="623" spans="1:5">
      <c r="A623" s="136">
        <v>43497</v>
      </c>
      <c r="B623" s="79">
        <v>5019.2597660000001</v>
      </c>
      <c r="C623" s="79">
        <v>27.125001999999999</v>
      </c>
      <c r="D623" s="79">
        <f t="shared" si="18"/>
        <v>5.3156495571822227E-3</v>
      </c>
      <c r="E623" s="79">
        <f t="shared" si="19"/>
        <v>1.992052402795208E-3</v>
      </c>
    </row>
    <row r="624" spans="1:5">
      <c r="A624" s="136">
        <v>43496</v>
      </c>
      <c r="B624" s="79">
        <v>4992.7202150000003</v>
      </c>
      <c r="C624" s="79">
        <v>27.071075</v>
      </c>
      <c r="D624" s="79">
        <f t="shared" si="18"/>
        <v>3.6103148382662376E-3</v>
      </c>
      <c r="E624" s="79">
        <f t="shared" si="19"/>
        <v>-1.3267867270662204E-2</v>
      </c>
    </row>
    <row r="625" spans="1:5">
      <c r="A625" s="136">
        <v>43495</v>
      </c>
      <c r="B625" s="79">
        <v>4974.7597660000001</v>
      </c>
      <c r="C625" s="79">
        <v>27.435079999999999</v>
      </c>
      <c r="D625" s="79">
        <f t="shared" si="18"/>
        <v>9.4516816221210664E-3</v>
      </c>
      <c r="E625" s="79">
        <f t="shared" si="19"/>
        <v>-2.9396748825991637E-3</v>
      </c>
    </row>
    <row r="626" spans="1:5">
      <c r="A626" s="136">
        <v>43494</v>
      </c>
      <c r="B626" s="79">
        <v>4928.1801759999998</v>
      </c>
      <c r="C626" s="79">
        <v>27.515968000000001</v>
      </c>
      <c r="D626" s="79">
        <f t="shared" si="18"/>
        <v>8.1005317225366635E-3</v>
      </c>
      <c r="E626" s="79">
        <f t="shared" si="19"/>
        <v>-8.9025264802635729E-3</v>
      </c>
    </row>
    <row r="627" spans="1:5">
      <c r="A627" s="136">
        <v>43493</v>
      </c>
      <c r="B627" s="79">
        <v>4888.580078</v>
      </c>
      <c r="C627" s="79">
        <v>27.76313</v>
      </c>
      <c r="D627" s="79">
        <f t="shared" si="18"/>
        <v>-7.5601112770218304E-3</v>
      </c>
      <c r="E627" s="79">
        <f t="shared" si="19"/>
        <v>-2.2610470779786951E-3</v>
      </c>
    </row>
    <row r="628" spans="1:5">
      <c r="A628" s="136">
        <v>43490</v>
      </c>
      <c r="B628" s="79">
        <v>4925.8198240000002</v>
      </c>
      <c r="C628" s="79">
        <v>27.826046000000002</v>
      </c>
      <c r="D628" s="79">
        <f t="shared" si="18"/>
        <v>1.1055070942936451E-2</v>
      </c>
      <c r="E628" s="79">
        <f t="shared" si="19"/>
        <v>2.5505169918068615E-2</v>
      </c>
    </row>
    <row r="629" spans="1:5">
      <c r="A629" s="136">
        <v>43489</v>
      </c>
      <c r="B629" s="79">
        <v>4871.9599609999996</v>
      </c>
      <c r="C629" s="79">
        <v>27.133989</v>
      </c>
      <c r="D629" s="79">
        <f t="shared" si="18"/>
        <v>6.5242974236201512E-3</v>
      </c>
      <c r="E629" s="79">
        <f t="shared" si="19"/>
        <v>1.6156155409414064E-2</v>
      </c>
    </row>
    <row r="630" spans="1:5">
      <c r="A630" s="136">
        <v>43488</v>
      </c>
      <c r="B630" s="79">
        <v>4840.3798829999996</v>
      </c>
      <c r="C630" s="79">
        <v>26.702577999999999</v>
      </c>
      <c r="D630" s="79">
        <f t="shared" si="18"/>
        <v>-1.4749578274123598E-3</v>
      </c>
      <c r="E630" s="79">
        <f t="shared" si="19"/>
        <v>-1.3612204169949016E-2</v>
      </c>
    </row>
    <row r="631" spans="1:5">
      <c r="A631" s="136">
        <v>43487</v>
      </c>
      <c r="B631" s="79">
        <v>4847.5297849999997</v>
      </c>
      <c r="C631" s="79">
        <v>27.071075</v>
      </c>
      <c r="D631" s="79">
        <f t="shared" si="18"/>
        <v>-4.1600074149615862E-3</v>
      </c>
      <c r="E631" s="79">
        <f t="shared" si="19"/>
        <v>1.3118028915119151E-2</v>
      </c>
    </row>
    <row r="632" spans="1:5">
      <c r="A632" s="136">
        <v>43486</v>
      </c>
      <c r="B632" s="79">
        <v>4867.7797849999997</v>
      </c>
      <c r="C632" s="79">
        <v>26.720554</v>
      </c>
      <c r="D632" s="79">
        <f t="shared" si="18"/>
        <v>-1.6715561350975072E-3</v>
      </c>
      <c r="E632" s="79">
        <f t="shared" si="19"/>
        <v>-6.0180046879861893E-3</v>
      </c>
    </row>
    <row r="633" spans="1:5">
      <c r="A633" s="136">
        <v>43483</v>
      </c>
      <c r="B633" s="79">
        <v>4875.9301759999998</v>
      </c>
      <c r="C633" s="79">
        <v>26.882332000000002</v>
      </c>
      <c r="D633" s="79">
        <f t="shared" si="18"/>
        <v>1.7011631770105007E-2</v>
      </c>
      <c r="E633" s="79">
        <f t="shared" si="19"/>
        <v>2.0993264307819892E-2</v>
      </c>
    </row>
    <row r="634" spans="1:5">
      <c r="A634" s="136">
        <v>43482</v>
      </c>
      <c r="B634" s="79">
        <v>4794.3701170000004</v>
      </c>
      <c r="C634" s="79">
        <v>26.329588000000001</v>
      </c>
      <c r="D634" s="79">
        <f t="shared" si="18"/>
        <v>-3.4028270502537428E-3</v>
      </c>
      <c r="E634" s="79">
        <f t="shared" si="19"/>
        <v>1.0172515841214702E-2</v>
      </c>
    </row>
    <row r="635" spans="1:5">
      <c r="A635" s="136">
        <v>43481</v>
      </c>
      <c r="B635" s="79">
        <v>4810.7402339999999</v>
      </c>
      <c r="C635" s="79">
        <v>26.064447000000001</v>
      </c>
      <c r="D635" s="79">
        <f t="shared" si="18"/>
        <v>5.1336062865341425E-3</v>
      </c>
      <c r="E635" s="79">
        <f t="shared" si="19"/>
        <v>6.5948908538728812E-3</v>
      </c>
    </row>
    <row r="636" spans="1:5">
      <c r="A636" s="136">
        <v>43480</v>
      </c>
      <c r="B636" s="79">
        <v>4786.169922</v>
      </c>
      <c r="C636" s="79">
        <v>25.893681000000001</v>
      </c>
      <c r="D636" s="79">
        <f t="shared" si="18"/>
        <v>4.9173107973334851E-3</v>
      </c>
      <c r="E636" s="79">
        <f t="shared" si="19"/>
        <v>1.3902998681516454E-3</v>
      </c>
    </row>
    <row r="637" spans="1:5">
      <c r="A637" s="136">
        <v>43479</v>
      </c>
      <c r="B637" s="79">
        <v>4762.75</v>
      </c>
      <c r="C637" s="79">
        <v>25.857731000000001</v>
      </c>
      <c r="D637" s="79">
        <f t="shared" si="18"/>
        <v>-3.8879988887065009E-3</v>
      </c>
      <c r="E637" s="79">
        <f t="shared" si="19"/>
        <v>-4.1536138107746146E-3</v>
      </c>
    </row>
    <row r="638" spans="1:5">
      <c r="A638" s="136">
        <v>43476</v>
      </c>
      <c r="B638" s="79">
        <v>4781.3398440000001</v>
      </c>
      <c r="C638" s="79">
        <v>25.965582000000001</v>
      </c>
      <c r="D638" s="79">
        <f t="shared" si="18"/>
        <v>-5.060764017953967E-3</v>
      </c>
      <c r="E638" s="79">
        <f t="shared" si="19"/>
        <v>-2.3986502334711779E-2</v>
      </c>
    </row>
    <row r="639" spans="1:5">
      <c r="A639" s="136">
        <v>43475</v>
      </c>
      <c r="B639" s="79">
        <v>4805.6601559999999</v>
      </c>
      <c r="C639" s="79">
        <v>26.603712000000002</v>
      </c>
      <c r="D639" s="79">
        <f t="shared" si="18"/>
        <v>-1.6453288138276179E-3</v>
      </c>
      <c r="E639" s="79">
        <f t="shared" si="19"/>
        <v>-8.0429038393001751E-3</v>
      </c>
    </row>
    <row r="640" spans="1:5">
      <c r="A640" s="136">
        <v>43474</v>
      </c>
      <c r="B640" s="79">
        <v>4813.580078</v>
      </c>
      <c r="C640" s="79">
        <v>26.819417999999999</v>
      </c>
      <c r="D640" s="79">
        <f t="shared" si="18"/>
        <v>8.4449565666935289E-3</v>
      </c>
      <c r="E640" s="79">
        <f t="shared" si="19"/>
        <v>5.5602464388446737E-3</v>
      </c>
    </row>
    <row r="641" spans="1:5">
      <c r="A641" s="136">
        <v>43473</v>
      </c>
      <c r="B641" s="79">
        <v>4773.2700199999999</v>
      </c>
      <c r="C641" s="79">
        <v>26.671119999999998</v>
      </c>
      <c r="D641" s="79">
        <f t="shared" si="18"/>
        <v>1.1463901256827835E-2</v>
      </c>
      <c r="E641" s="79">
        <f t="shared" si="19"/>
        <v>1.8359599633100521E-2</v>
      </c>
    </row>
    <row r="642" spans="1:5">
      <c r="A642" s="136">
        <v>43472</v>
      </c>
      <c r="B642" s="79">
        <v>4719.169922</v>
      </c>
      <c r="C642" s="79">
        <v>26.190276999999998</v>
      </c>
      <c r="D642" s="79">
        <f t="shared" si="18"/>
        <v>-3.7892632140744675E-3</v>
      </c>
      <c r="E642" s="79">
        <f t="shared" si="19"/>
        <v>-7.8310810693066335E-3</v>
      </c>
    </row>
    <row r="643" spans="1:5">
      <c r="A643" s="136">
        <v>43469</v>
      </c>
      <c r="B643" s="79">
        <v>4737.1201170000004</v>
      </c>
      <c r="C643" s="79">
        <v>26.396993999999999</v>
      </c>
      <c r="D643" s="79">
        <f t="shared" si="18"/>
        <v>2.7242794980621543E-2</v>
      </c>
      <c r="E643" s="79">
        <f t="shared" si="19"/>
        <v>2.9442723766373691E-2</v>
      </c>
    </row>
    <row r="644" spans="1:5">
      <c r="A644" s="136">
        <v>43468</v>
      </c>
      <c r="B644" s="79">
        <v>4611.4902339999999</v>
      </c>
      <c r="C644" s="79">
        <v>25.642022999999998</v>
      </c>
      <c r="D644" s="79">
        <f t="shared" si="18"/>
        <v>-1.6611947550569162E-2</v>
      </c>
      <c r="E644" s="79">
        <f t="shared" si="19"/>
        <v>-8.6867217799552199E-3</v>
      </c>
    </row>
    <row r="645" spans="1:5">
      <c r="A645" s="136">
        <v>43467</v>
      </c>
      <c r="B645" s="79">
        <v>4689.3901370000003</v>
      </c>
      <c r="C645" s="79">
        <v>25.866720000000001</v>
      </c>
      <c r="D645" s="79">
        <f t="shared" ref="D645:D708" si="20">B645/B646-1</f>
        <v>-8.7301861916718737E-3</v>
      </c>
      <c r="E645" s="79">
        <f t="shared" ref="E645:E708" si="21">C645/C646-1</f>
        <v>-1.3200677258307758E-2</v>
      </c>
    </row>
    <row r="646" spans="1:5">
      <c r="A646" s="136">
        <v>43465</v>
      </c>
      <c r="B646" s="79">
        <v>4730.6899409999996</v>
      </c>
      <c r="C646" s="79">
        <v>26.212745999999999</v>
      </c>
      <c r="D646" s="79">
        <f t="shared" si="20"/>
        <v>1.1103353552839978E-2</v>
      </c>
      <c r="E646" s="79">
        <f t="shared" si="21"/>
        <v>5.6897044468273705E-3</v>
      </c>
    </row>
    <row r="647" spans="1:5">
      <c r="A647" s="136">
        <v>43462</v>
      </c>
      <c r="B647" s="79">
        <v>4678.7402339999999</v>
      </c>
      <c r="C647" s="79">
        <v>26.064447000000001</v>
      </c>
      <c r="D647" s="79">
        <f t="shared" si="20"/>
        <v>1.7424911742290217E-2</v>
      </c>
      <c r="E647" s="79">
        <f t="shared" si="21"/>
        <v>3.0012347369500647E-2</v>
      </c>
    </row>
    <row r="648" spans="1:5">
      <c r="A648" s="136">
        <v>43461</v>
      </c>
      <c r="B648" s="79">
        <v>4598.6098629999997</v>
      </c>
      <c r="C648" s="79">
        <v>25.304984999999999</v>
      </c>
      <c r="D648" s="79">
        <f t="shared" si="20"/>
        <v>-6.0047408837886618E-3</v>
      </c>
      <c r="E648" s="79">
        <f t="shared" si="21"/>
        <v>-7.928072723600299E-3</v>
      </c>
    </row>
    <row r="649" spans="1:5">
      <c r="A649" s="136">
        <v>43458</v>
      </c>
      <c r="B649" s="79">
        <v>4626.3901370000003</v>
      </c>
      <c r="C649" s="79">
        <v>25.507207999999999</v>
      </c>
      <c r="D649" s="79">
        <f t="shared" si="20"/>
        <v>-1.4483222000463591E-2</v>
      </c>
      <c r="E649" s="79">
        <f t="shared" si="21"/>
        <v>-7.6923349244283346E-3</v>
      </c>
    </row>
    <row r="650" spans="1:5">
      <c r="A650" s="136">
        <v>43455</v>
      </c>
      <c r="B650" s="79">
        <v>4694.3798829999996</v>
      </c>
      <c r="C650" s="79">
        <v>25.704939</v>
      </c>
      <c r="D650" s="79">
        <f t="shared" si="20"/>
        <v>4.0915042769817944E-4</v>
      </c>
      <c r="E650" s="79">
        <f t="shared" si="21"/>
        <v>4.0372117658362683E-3</v>
      </c>
    </row>
    <row r="651" spans="1:5">
      <c r="A651" s="136">
        <v>43454</v>
      </c>
      <c r="B651" s="79">
        <v>4692.4599609999996</v>
      </c>
      <c r="C651" s="79">
        <v>25.601579999999998</v>
      </c>
      <c r="D651" s="79">
        <f t="shared" si="20"/>
        <v>-1.7789873369888798E-2</v>
      </c>
      <c r="E651" s="79">
        <f t="shared" si="21"/>
        <v>-1.3847955832975933E-2</v>
      </c>
    </row>
    <row r="652" spans="1:5">
      <c r="A652" s="136">
        <v>43453</v>
      </c>
      <c r="B652" s="79">
        <v>4777.4501950000003</v>
      </c>
      <c r="C652" s="79">
        <v>25.961088</v>
      </c>
      <c r="D652" s="79">
        <f t="shared" si="20"/>
        <v>4.9158021355484305E-3</v>
      </c>
      <c r="E652" s="79">
        <f t="shared" si="21"/>
        <v>3.473977175866283E-3</v>
      </c>
    </row>
    <row r="653" spans="1:5">
      <c r="A653" s="136">
        <v>43452</v>
      </c>
      <c r="B653" s="79">
        <v>4754.080078</v>
      </c>
      <c r="C653" s="79">
        <v>25.871212</v>
      </c>
      <c r="D653" s="79">
        <f t="shared" si="20"/>
        <v>-9.5398495967261576E-3</v>
      </c>
      <c r="E653" s="79">
        <f t="shared" si="21"/>
        <v>-7.4137387223293105E-3</v>
      </c>
    </row>
    <row r="654" spans="1:5">
      <c r="A654" s="136">
        <v>43451</v>
      </c>
      <c r="B654" s="79">
        <v>4799.8701170000004</v>
      </c>
      <c r="C654" s="79">
        <v>26.064447000000001</v>
      </c>
      <c r="D654" s="79">
        <f t="shared" si="20"/>
        <v>-1.1090523896686633E-2</v>
      </c>
      <c r="E654" s="79">
        <f t="shared" si="21"/>
        <v>-2.0104763982159102E-2</v>
      </c>
    </row>
    <row r="655" spans="1:5">
      <c r="A655" s="136">
        <v>43448</v>
      </c>
      <c r="B655" s="79">
        <v>4853.7001950000003</v>
      </c>
      <c r="C655" s="79">
        <v>26.599218</v>
      </c>
      <c r="D655" s="79">
        <f t="shared" si="20"/>
        <v>-8.8259002982323809E-3</v>
      </c>
      <c r="E655" s="79">
        <f t="shared" si="21"/>
        <v>-2.4072617002365515E-2</v>
      </c>
    </row>
    <row r="656" spans="1:5">
      <c r="A656" s="136">
        <v>43447</v>
      </c>
      <c r="B656" s="79">
        <v>4896.919922</v>
      </c>
      <c r="C656" s="79">
        <v>27.255324999999999</v>
      </c>
      <c r="D656" s="79">
        <f t="shared" si="20"/>
        <v>-2.5522762228572526E-3</v>
      </c>
      <c r="E656" s="79">
        <f t="shared" si="21"/>
        <v>-9.1488048070414996E-3</v>
      </c>
    </row>
    <row r="657" spans="1:5">
      <c r="A657" s="136">
        <v>43446</v>
      </c>
      <c r="B657" s="79">
        <v>4909.4501950000003</v>
      </c>
      <c r="C657" s="79">
        <v>27.506981</v>
      </c>
      <c r="D657" s="79">
        <f t="shared" si="20"/>
        <v>2.1482667348607931E-2</v>
      </c>
      <c r="E657" s="79">
        <f t="shared" si="21"/>
        <v>9.2332782676411984E-3</v>
      </c>
    </row>
    <row r="658" spans="1:5">
      <c r="A658" s="136">
        <v>43445</v>
      </c>
      <c r="B658" s="79">
        <v>4806.2001950000003</v>
      </c>
      <c r="C658" s="79">
        <v>27.255324999999999</v>
      </c>
      <c r="D658" s="79">
        <f t="shared" si="20"/>
        <v>1.345744406279592E-2</v>
      </c>
      <c r="E658" s="79">
        <f t="shared" si="21"/>
        <v>2.6226814017349387E-2</v>
      </c>
    </row>
    <row r="659" spans="1:5">
      <c r="A659" s="136">
        <v>43444</v>
      </c>
      <c r="B659" s="79">
        <v>4742.3798829999996</v>
      </c>
      <c r="C659" s="79">
        <v>26.558772999999999</v>
      </c>
      <c r="D659" s="79">
        <f t="shared" si="20"/>
        <v>-1.4699374776876328E-2</v>
      </c>
      <c r="E659" s="79">
        <f t="shared" si="21"/>
        <v>-1.3026093287613394E-2</v>
      </c>
    </row>
    <row r="660" spans="1:5">
      <c r="A660" s="136">
        <v>43441</v>
      </c>
      <c r="B660" s="79">
        <v>4813.1298829999996</v>
      </c>
      <c r="C660" s="79">
        <v>26.909296000000001</v>
      </c>
      <c r="D660" s="79">
        <f t="shared" si="20"/>
        <v>6.8340541007618771E-3</v>
      </c>
      <c r="E660" s="79">
        <f t="shared" si="21"/>
        <v>4.5294225816805422E-3</v>
      </c>
    </row>
    <row r="661" spans="1:5">
      <c r="A661" s="136">
        <v>43440</v>
      </c>
      <c r="B661" s="79">
        <v>4780.4599609999996</v>
      </c>
      <c r="C661" s="79">
        <v>26.787962</v>
      </c>
      <c r="D661" s="79">
        <f t="shared" si="20"/>
        <v>-3.3150866970180104E-2</v>
      </c>
      <c r="E661" s="79">
        <f t="shared" si="21"/>
        <v>-4.0096592477819604E-2</v>
      </c>
    </row>
    <row r="662" spans="1:5">
      <c r="A662" s="136">
        <v>43439</v>
      </c>
      <c r="B662" s="79">
        <v>4944.3701170000004</v>
      </c>
      <c r="C662" s="79">
        <v>27.906935000000001</v>
      </c>
      <c r="D662" s="79">
        <f t="shared" si="20"/>
        <v>-1.3623512640939417E-2</v>
      </c>
      <c r="E662" s="79">
        <f t="shared" si="21"/>
        <v>-2.983911324995614E-2</v>
      </c>
    </row>
    <row r="663" spans="1:5">
      <c r="A663" s="136">
        <v>43438</v>
      </c>
      <c r="B663" s="79">
        <v>5012.6601559999999</v>
      </c>
      <c r="C663" s="79">
        <v>28.765264999999999</v>
      </c>
      <c r="D663" s="79">
        <f t="shared" si="20"/>
        <v>-8.1756999757645055E-3</v>
      </c>
      <c r="E663" s="79">
        <f t="shared" si="21"/>
        <v>-9.7462584657911355E-3</v>
      </c>
    </row>
    <row r="664" spans="1:5">
      <c r="A664" s="136">
        <v>43437</v>
      </c>
      <c r="B664" s="79">
        <v>5053.9799800000001</v>
      </c>
      <c r="C664" s="79">
        <v>29.048378</v>
      </c>
      <c r="D664" s="79">
        <f t="shared" si="20"/>
        <v>1.0004168487970366E-2</v>
      </c>
      <c r="E664" s="79">
        <f t="shared" si="21"/>
        <v>-1.267762131139305E-2</v>
      </c>
    </row>
    <row r="665" spans="1:5">
      <c r="A665" s="136">
        <v>43434</v>
      </c>
      <c r="B665" s="79">
        <v>5003.919922</v>
      </c>
      <c r="C665" s="79">
        <v>29.421371000000001</v>
      </c>
      <c r="D665" s="79">
        <f t="shared" si="20"/>
        <v>-4.6543380774033416E-4</v>
      </c>
      <c r="E665" s="79">
        <f t="shared" si="21"/>
        <v>-4.4098999275541395E-3</v>
      </c>
    </row>
    <row r="666" spans="1:5">
      <c r="A666" s="136">
        <v>43433</v>
      </c>
      <c r="B666" s="79">
        <v>5006.25</v>
      </c>
      <c r="C666" s="79">
        <v>29.551691000000002</v>
      </c>
      <c r="D666" s="79">
        <f t="shared" si="20"/>
        <v>4.6174306113133667E-3</v>
      </c>
      <c r="E666" s="79">
        <f t="shared" si="21"/>
        <v>-1.6700378222098688E-3</v>
      </c>
    </row>
    <row r="667" spans="1:5">
      <c r="A667" s="136">
        <v>43432</v>
      </c>
      <c r="B667" s="79">
        <v>4983.2402339999999</v>
      </c>
      <c r="C667" s="79">
        <v>29.601126000000001</v>
      </c>
      <c r="D667" s="79">
        <f t="shared" si="20"/>
        <v>1.8127489996633273E-5</v>
      </c>
      <c r="E667" s="79">
        <f t="shared" si="21"/>
        <v>-7.8324292717850685E-3</v>
      </c>
    </row>
    <row r="668" spans="1:5">
      <c r="A668" s="136">
        <v>43431</v>
      </c>
      <c r="B668" s="79">
        <v>4983.1499020000001</v>
      </c>
      <c r="C668" s="79">
        <v>29.834804999999999</v>
      </c>
      <c r="D668" s="79">
        <f t="shared" si="20"/>
        <v>-2.3683934765239556E-3</v>
      </c>
      <c r="E668" s="79">
        <f t="shared" si="21"/>
        <v>4.0834339386524032E-3</v>
      </c>
    </row>
    <row r="669" spans="1:5">
      <c r="A669" s="136">
        <v>43430</v>
      </c>
      <c r="B669" s="79">
        <v>4994.9799800000001</v>
      </c>
      <c r="C669" s="79">
        <v>29.713471999999999</v>
      </c>
      <c r="D669" s="79">
        <f t="shared" si="20"/>
        <v>9.7089687801070745E-3</v>
      </c>
      <c r="E669" s="79">
        <f t="shared" si="21"/>
        <v>4.0604394780817898E-2</v>
      </c>
    </row>
    <row r="670" spans="1:5">
      <c r="A670" s="136">
        <v>43427</v>
      </c>
      <c r="B670" s="79">
        <v>4946.9501950000003</v>
      </c>
      <c r="C670" s="79">
        <v>28.554051999999999</v>
      </c>
      <c r="D670" s="79">
        <f t="shared" si="20"/>
        <v>1.7840842413501257E-3</v>
      </c>
      <c r="E670" s="79">
        <f t="shared" si="21"/>
        <v>2.0067470656323305E-2</v>
      </c>
    </row>
    <row r="671" spans="1:5">
      <c r="A671" s="136">
        <v>43426</v>
      </c>
      <c r="B671" s="79">
        <v>4938.1401370000003</v>
      </c>
      <c r="C671" s="79">
        <v>27.992317</v>
      </c>
      <c r="D671" s="79">
        <f t="shared" si="20"/>
        <v>-7.5087655512008356E-3</v>
      </c>
      <c r="E671" s="79">
        <f t="shared" si="21"/>
        <v>-3.210564421154416E-4</v>
      </c>
    </row>
    <row r="672" spans="1:5">
      <c r="A672" s="136">
        <v>43425</v>
      </c>
      <c r="B672" s="79">
        <v>4975.5</v>
      </c>
      <c r="C672" s="79">
        <v>28.001307000000001</v>
      </c>
      <c r="D672" s="79">
        <f t="shared" si="20"/>
        <v>1.0276343551255174E-2</v>
      </c>
      <c r="E672" s="79">
        <f t="shared" si="21"/>
        <v>7.2745207917297439E-3</v>
      </c>
    </row>
    <row r="673" spans="1:5">
      <c r="A673" s="136">
        <v>43424</v>
      </c>
      <c r="B673" s="79">
        <v>4924.8901370000003</v>
      </c>
      <c r="C673" s="79">
        <v>27.799081999999999</v>
      </c>
      <c r="D673" s="79">
        <f t="shared" si="20"/>
        <v>-1.2147359943689096E-2</v>
      </c>
      <c r="E673" s="79">
        <f t="shared" si="21"/>
        <v>-1.0398316083733539E-2</v>
      </c>
    </row>
    <row r="674" spans="1:5">
      <c r="A674" s="136">
        <v>43423</v>
      </c>
      <c r="B674" s="79">
        <v>4985.4501950000003</v>
      </c>
      <c r="C674" s="79">
        <v>28.091183000000001</v>
      </c>
      <c r="D674" s="79">
        <f t="shared" si="20"/>
        <v>-7.9101326230844871E-3</v>
      </c>
      <c r="E674" s="79">
        <f t="shared" si="21"/>
        <v>-6.0423287833171191E-3</v>
      </c>
    </row>
    <row r="675" spans="1:5">
      <c r="A675" s="136">
        <v>43420</v>
      </c>
      <c r="B675" s="79">
        <v>5025.2001950000003</v>
      </c>
      <c r="C675" s="79">
        <v>28.261951</v>
      </c>
      <c r="D675" s="79">
        <f t="shared" si="20"/>
        <v>-1.6727368780896645E-3</v>
      </c>
      <c r="E675" s="79">
        <f t="shared" si="21"/>
        <v>-4.905028861395655E-3</v>
      </c>
    </row>
    <row r="676" spans="1:5">
      <c r="A676" s="136">
        <v>43419</v>
      </c>
      <c r="B676" s="79">
        <v>5033.6201170000004</v>
      </c>
      <c r="C676" s="79">
        <v>28.401260000000001</v>
      </c>
      <c r="D676" s="79">
        <f t="shared" si="20"/>
        <v>-6.9502905627254474E-3</v>
      </c>
      <c r="E676" s="79">
        <f t="shared" si="21"/>
        <v>-3.3118058234328229E-3</v>
      </c>
    </row>
    <row r="677" spans="1:5">
      <c r="A677" s="136">
        <v>43418</v>
      </c>
      <c r="B677" s="79">
        <v>5068.8500979999999</v>
      </c>
      <c r="C677" s="79">
        <v>28.495632000000001</v>
      </c>
      <c r="D677" s="79">
        <f t="shared" si="20"/>
        <v>-6.4682417880008725E-3</v>
      </c>
      <c r="E677" s="79">
        <f t="shared" si="21"/>
        <v>3.7992757376335007E-3</v>
      </c>
    </row>
    <row r="678" spans="1:5">
      <c r="A678" s="136">
        <v>43417</v>
      </c>
      <c r="B678" s="79">
        <v>5101.8500979999999</v>
      </c>
      <c r="C678" s="79">
        <v>28.387778999999998</v>
      </c>
      <c r="D678" s="79">
        <f t="shared" si="20"/>
        <v>8.4521633966854193E-3</v>
      </c>
      <c r="E678" s="79">
        <f t="shared" si="21"/>
        <v>1.5594912569719677E-2</v>
      </c>
    </row>
    <row r="679" spans="1:5">
      <c r="A679" s="136">
        <v>43416</v>
      </c>
      <c r="B679" s="79">
        <v>5059.0898440000001</v>
      </c>
      <c r="C679" s="79">
        <v>27.951872000000002</v>
      </c>
      <c r="D679" s="79">
        <f t="shared" si="20"/>
        <v>-9.3327764233611665E-3</v>
      </c>
      <c r="E679" s="79">
        <f t="shared" si="21"/>
        <v>-2.4772707885257428E-2</v>
      </c>
    </row>
    <row r="680" spans="1:5">
      <c r="A680" s="136">
        <v>43413</v>
      </c>
      <c r="B680" s="79">
        <v>5106.75</v>
      </c>
      <c r="C680" s="79">
        <v>28.661905000000001</v>
      </c>
      <c r="D680" s="79">
        <f t="shared" si="20"/>
        <v>-4.8134921048377244E-3</v>
      </c>
      <c r="E680" s="79">
        <f t="shared" si="21"/>
        <v>-1.2999135794578565E-2</v>
      </c>
    </row>
    <row r="681" spans="1:5">
      <c r="A681" s="136">
        <v>43412</v>
      </c>
      <c r="B681" s="79">
        <v>5131.4501950000003</v>
      </c>
      <c r="C681" s="79">
        <v>29.039391999999999</v>
      </c>
      <c r="D681" s="79">
        <f t="shared" si="20"/>
        <v>-1.2631027366069025E-3</v>
      </c>
      <c r="E681" s="79">
        <f t="shared" si="21"/>
        <v>-1.0413469427048461E-2</v>
      </c>
    </row>
    <row r="682" spans="1:5">
      <c r="A682" s="136">
        <v>43411</v>
      </c>
      <c r="B682" s="79">
        <v>5137.9399409999996</v>
      </c>
      <c r="C682" s="79">
        <v>29.344975000000002</v>
      </c>
      <c r="D682" s="79">
        <f t="shared" si="20"/>
        <v>1.2364069272180922E-2</v>
      </c>
      <c r="E682" s="79">
        <f t="shared" si="21"/>
        <v>1.2403148005496911E-2</v>
      </c>
    </row>
    <row r="683" spans="1:5">
      <c r="A683" s="136">
        <v>43410</v>
      </c>
      <c r="B683" s="79">
        <v>5075.1899409999996</v>
      </c>
      <c r="C683" s="79">
        <v>28.985464</v>
      </c>
      <c r="D683" s="79">
        <f t="shared" si="20"/>
        <v>-5.1358934126548572E-3</v>
      </c>
      <c r="E683" s="79">
        <f t="shared" si="21"/>
        <v>-6.7755089872785224E-3</v>
      </c>
    </row>
    <row r="684" spans="1:5">
      <c r="A684" s="136">
        <v>43409</v>
      </c>
      <c r="B684" s="79">
        <v>5101.3901370000003</v>
      </c>
      <c r="C684" s="79">
        <v>29.183195000000001</v>
      </c>
      <c r="D684" s="79">
        <f t="shared" si="20"/>
        <v>-1.4498768493997893E-4</v>
      </c>
      <c r="E684" s="79">
        <f t="shared" si="21"/>
        <v>-1.3219817570473635E-2</v>
      </c>
    </row>
    <row r="685" spans="1:5">
      <c r="A685" s="136">
        <v>43406</v>
      </c>
      <c r="B685" s="79">
        <v>5102.1298829999996</v>
      </c>
      <c r="C685" s="79">
        <v>29.574159999999999</v>
      </c>
      <c r="D685" s="79">
        <f t="shared" si="20"/>
        <v>3.2148655056247755E-3</v>
      </c>
      <c r="E685" s="79">
        <f t="shared" si="21"/>
        <v>-1.3491253046463925E-2</v>
      </c>
    </row>
    <row r="686" spans="1:5">
      <c r="A686" s="136">
        <v>43405</v>
      </c>
      <c r="B686" s="79">
        <v>5085.7797849999997</v>
      </c>
      <c r="C686" s="79">
        <v>29.978608999999999</v>
      </c>
      <c r="D686" s="79">
        <f t="shared" si="20"/>
        <v>-1.5039258514346621E-3</v>
      </c>
      <c r="E686" s="79">
        <f t="shared" si="21"/>
        <v>3.4596193531688524E-3</v>
      </c>
    </row>
    <row r="687" spans="1:5">
      <c r="A687" s="136">
        <v>43404</v>
      </c>
      <c r="B687" s="79">
        <v>5093.4399409999996</v>
      </c>
      <c r="C687" s="79">
        <v>29.875252</v>
      </c>
      <c r="D687" s="79">
        <f t="shared" si="20"/>
        <v>2.3081142618894601E-2</v>
      </c>
      <c r="E687" s="79">
        <f t="shared" si="21"/>
        <v>1.2488529745526833E-2</v>
      </c>
    </row>
    <row r="688" spans="1:5">
      <c r="A688" s="136">
        <v>43403</v>
      </c>
      <c r="B688" s="79">
        <v>4978.5297849999997</v>
      </c>
      <c r="C688" s="79">
        <v>29.506755999999999</v>
      </c>
      <c r="D688" s="79">
        <f t="shared" si="20"/>
        <v>-2.1686818498339866E-3</v>
      </c>
      <c r="E688" s="79">
        <f t="shared" si="21"/>
        <v>-2.5823146819157206E-3</v>
      </c>
    </row>
    <row r="689" spans="1:5">
      <c r="A689" s="136">
        <v>43402</v>
      </c>
      <c r="B689" s="79">
        <v>4989.3500979999999</v>
      </c>
      <c r="C689" s="79">
        <v>29.583148999999999</v>
      </c>
      <c r="D689" s="79">
        <f t="shared" si="20"/>
        <v>4.4248728164579809E-3</v>
      </c>
      <c r="E689" s="79">
        <f t="shared" si="21"/>
        <v>2.82725740373031E-2</v>
      </c>
    </row>
    <row r="690" spans="1:5">
      <c r="A690" s="136">
        <v>43399</v>
      </c>
      <c r="B690" s="79">
        <v>4967.3701170000004</v>
      </c>
      <c r="C690" s="79">
        <v>28.769753999999999</v>
      </c>
      <c r="D690" s="79">
        <f t="shared" si="20"/>
        <v>-1.2902587388670006E-2</v>
      </c>
      <c r="E690" s="79">
        <f t="shared" si="21"/>
        <v>1.4579923820159824E-2</v>
      </c>
    </row>
    <row r="691" spans="1:5">
      <c r="A691" s="136">
        <v>43398</v>
      </c>
      <c r="B691" s="79">
        <v>5032.2998049999997</v>
      </c>
      <c r="C691" s="79">
        <v>28.356321000000001</v>
      </c>
      <c r="D691" s="79">
        <f t="shared" si="20"/>
        <v>1.5992029923695306E-2</v>
      </c>
      <c r="E691" s="79">
        <f t="shared" si="21"/>
        <v>1.6921787205822714E-2</v>
      </c>
    </row>
    <row r="692" spans="1:5">
      <c r="A692" s="136">
        <v>43397</v>
      </c>
      <c r="B692" s="79">
        <v>4953.0898440000001</v>
      </c>
      <c r="C692" s="79">
        <v>27.884466</v>
      </c>
      <c r="D692" s="79">
        <f t="shared" si="20"/>
        <v>-2.9390113258680461E-3</v>
      </c>
      <c r="E692" s="79">
        <f t="shared" si="21"/>
        <v>-2.314231899629593E-2</v>
      </c>
    </row>
    <row r="693" spans="1:5">
      <c r="A693" s="136">
        <v>43396</v>
      </c>
      <c r="B693" s="79">
        <v>4967.6899409999996</v>
      </c>
      <c r="C693" s="79">
        <v>28.545065000000001</v>
      </c>
      <c r="D693" s="79">
        <f t="shared" si="20"/>
        <v>-1.6943373155484553E-2</v>
      </c>
      <c r="E693" s="79">
        <f t="shared" si="21"/>
        <v>-1.1977012708483725E-2</v>
      </c>
    </row>
    <row r="694" spans="1:5">
      <c r="A694" s="136">
        <v>43395</v>
      </c>
      <c r="B694" s="79">
        <v>5053.3100590000004</v>
      </c>
      <c r="C694" s="79">
        <v>28.891093999999999</v>
      </c>
      <c r="D694" s="79">
        <f t="shared" si="20"/>
        <v>-6.1656228810111902E-3</v>
      </c>
      <c r="E694" s="79">
        <f t="shared" si="21"/>
        <v>9.3416985026051336E-4</v>
      </c>
    </row>
    <row r="695" spans="1:5">
      <c r="A695" s="136">
        <v>43392</v>
      </c>
      <c r="B695" s="79">
        <v>5084.6601559999999</v>
      </c>
      <c r="C695" s="79">
        <v>28.864129999999999</v>
      </c>
      <c r="D695" s="79">
        <f t="shared" si="20"/>
        <v>-6.2793045552206328E-3</v>
      </c>
      <c r="E695" s="79">
        <f t="shared" si="21"/>
        <v>-7.571087248700703E-3</v>
      </c>
    </row>
    <row r="696" spans="1:5">
      <c r="A696" s="136">
        <v>43391</v>
      </c>
      <c r="B696" s="79">
        <v>5116.7900390000004</v>
      </c>
      <c r="C696" s="79">
        <v>29.084330000000001</v>
      </c>
      <c r="D696" s="79">
        <f t="shared" si="20"/>
        <v>-5.4733583285930809E-3</v>
      </c>
      <c r="E696" s="79">
        <f t="shared" si="21"/>
        <v>-3.5613106719353471E-2</v>
      </c>
    </row>
    <row r="697" spans="1:5">
      <c r="A697" s="136">
        <v>43390</v>
      </c>
      <c r="B697" s="79">
        <v>5144.9501950000003</v>
      </c>
      <c r="C697" s="79">
        <v>30.158363000000001</v>
      </c>
      <c r="D697" s="79">
        <f t="shared" si="20"/>
        <v>-5.4319233448786308E-3</v>
      </c>
      <c r="E697" s="79">
        <f t="shared" si="21"/>
        <v>-9.007675974186613E-3</v>
      </c>
    </row>
    <row r="698" spans="1:5">
      <c r="A698" s="136">
        <v>43389</v>
      </c>
      <c r="B698" s="79">
        <v>5173.0498049999997</v>
      </c>
      <c r="C698" s="79">
        <v>30.432489</v>
      </c>
      <c r="D698" s="79">
        <f t="shared" si="20"/>
        <v>1.5304987702559059E-2</v>
      </c>
      <c r="E698" s="79">
        <f t="shared" si="21"/>
        <v>1.6969469651524793E-2</v>
      </c>
    </row>
    <row r="699" spans="1:5">
      <c r="A699" s="136">
        <v>43388</v>
      </c>
      <c r="B699" s="79">
        <v>5095.0698240000002</v>
      </c>
      <c r="C699" s="79">
        <v>29.924683000000002</v>
      </c>
      <c r="D699" s="79">
        <f t="shared" si="20"/>
        <v>-1.7860274246994656E-4</v>
      </c>
      <c r="E699" s="79">
        <f t="shared" si="21"/>
        <v>-1.6491562803438997E-3</v>
      </c>
    </row>
    <row r="700" spans="1:5">
      <c r="A700" s="136">
        <v>43385</v>
      </c>
      <c r="B700" s="79">
        <v>5095.9799800000001</v>
      </c>
      <c r="C700" s="79">
        <v>29.974115000000001</v>
      </c>
      <c r="D700" s="79">
        <f t="shared" si="20"/>
        <v>-2.0347402875106058E-3</v>
      </c>
      <c r="E700" s="79">
        <f t="shared" si="21"/>
        <v>1.3511540683117662E-3</v>
      </c>
    </row>
    <row r="701" spans="1:5">
      <c r="A701" s="136">
        <v>43384</v>
      </c>
      <c r="B701" s="79">
        <v>5106.3701170000004</v>
      </c>
      <c r="C701" s="79">
        <v>29.933669999999999</v>
      </c>
      <c r="D701" s="79">
        <f t="shared" si="20"/>
        <v>-1.9179000095369547E-2</v>
      </c>
      <c r="E701" s="79">
        <f t="shared" si="21"/>
        <v>-2.0873157615842075E-2</v>
      </c>
    </row>
    <row r="702" spans="1:5">
      <c r="A702" s="136">
        <v>43383</v>
      </c>
      <c r="B702" s="79">
        <v>5206.2202150000003</v>
      </c>
      <c r="C702" s="79">
        <v>30.5718</v>
      </c>
      <c r="D702" s="79">
        <f t="shared" si="20"/>
        <v>-2.1120341844763302E-2</v>
      </c>
      <c r="E702" s="79">
        <f t="shared" si="21"/>
        <v>-1.1766367007391643E-2</v>
      </c>
    </row>
    <row r="703" spans="1:5">
      <c r="A703" s="136">
        <v>43382</v>
      </c>
      <c r="B703" s="79">
        <v>5318.5498049999997</v>
      </c>
      <c r="C703" s="79">
        <v>30.935801999999999</v>
      </c>
      <c r="D703" s="79">
        <f t="shared" si="20"/>
        <v>3.4526305362954091E-3</v>
      </c>
      <c r="E703" s="79">
        <f t="shared" si="21"/>
        <v>-2.2020270068415781E-2</v>
      </c>
    </row>
    <row r="704" spans="1:5">
      <c r="A704" s="136">
        <v>43381</v>
      </c>
      <c r="B704" s="79">
        <v>5300.25</v>
      </c>
      <c r="C704" s="79">
        <v>31.632355</v>
      </c>
      <c r="D704" s="79">
        <f t="shared" si="20"/>
        <v>-1.1029276725394555E-2</v>
      </c>
      <c r="E704" s="79">
        <f t="shared" si="21"/>
        <v>-6.3522441762691173E-3</v>
      </c>
    </row>
    <row r="705" spans="1:5">
      <c r="A705" s="136">
        <v>43378</v>
      </c>
      <c r="B705" s="79">
        <v>5359.3598629999997</v>
      </c>
      <c r="C705" s="79">
        <v>31.834575999999998</v>
      </c>
      <c r="D705" s="79">
        <f t="shared" si="20"/>
        <v>-9.516108202486051E-3</v>
      </c>
      <c r="E705" s="79">
        <f t="shared" si="21"/>
        <v>-1.8700697414557044E-2</v>
      </c>
    </row>
    <row r="706" spans="1:5">
      <c r="A706" s="136">
        <v>43377</v>
      </c>
      <c r="B706" s="79">
        <v>5410.8500979999999</v>
      </c>
      <c r="C706" s="79">
        <v>32.441249999999997</v>
      </c>
      <c r="D706" s="79">
        <f t="shared" si="20"/>
        <v>-1.466835514395215E-2</v>
      </c>
      <c r="E706" s="79">
        <f t="shared" si="21"/>
        <v>-1.2988798158753534E-2</v>
      </c>
    </row>
    <row r="707" spans="1:5">
      <c r="A707" s="136">
        <v>43376</v>
      </c>
      <c r="B707" s="79">
        <v>5491.3999020000001</v>
      </c>
      <c r="C707" s="79">
        <v>32.868167999999997</v>
      </c>
      <c r="D707" s="79">
        <f t="shared" si="20"/>
        <v>4.299604492949527E-3</v>
      </c>
      <c r="E707" s="79">
        <f t="shared" si="21"/>
        <v>8.4103719575725489E-3</v>
      </c>
    </row>
    <row r="708" spans="1:5">
      <c r="A708" s="136">
        <v>43375</v>
      </c>
      <c r="B708" s="79">
        <v>5467.8901370000003</v>
      </c>
      <c r="C708" s="79">
        <v>32.59404</v>
      </c>
      <c r="D708" s="79">
        <f t="shared" si="20"/>
        <v>-7.0693591299891834E-3</v>
      </c>
      <c r="E708" s="79">
        <f t="shared" si="21"/>
        <v>-5.757412183175159E-3</v>
      </c>
    </row>
    <row r="709" spans="1:5">
      <c r="A709" s="136">
        <v>43374</v>
      </c>
      <c r="B709" s="79">
        <v>5506.8198240000002</v>
      </c>
      <c r="C709" s="79">
        <v>32.782783999999999</v>
      </c>
      <c r="D709" s="79">
        <f t="shared" ref="D709:D772" si="22">B709/B710-1</f>
        <v>2.4264337301451722E-3</v>
      </c>
      <c r="E709" s="79">
        <f t="shared" ref="E709:E772" si="23">C709/C710-1</f>
        <v>-1.8037461415264633E-2</v>
      </c>
    </row>
    <row r="710" spans="1:5">
      <c r="A710" s="136">
        <v>43371</v>
      </c>
      <c r="B710" s="79">
        <v>5493.4902339999999</v>
      </c>
      <c r="C710" s="79">
        <v>33.384963999999997</v>
      </c>
      <c r="D710" s="79">
        <f t="shared" si="22"/>
        <v>-8.4686730185828951E-3</v>
      </c>
      <c r="E710" s="79">
        <f t="shared" si="23"/>
        <v>1.0781129634731546E-3</v>
      </c>
    </row>
    <row r="711" spans="1:5">
      <c r="A711" s="136">
        <v>43370</v>
      </c>
      <c r="B711" s="79">
        <v>5540.4101559999999</v>
      </c>
      <c r="C711" s="79">
        <v>33.34901</v>
      </c>
      <c r="D711" s="79">
        <f t="shared" si="22"/>
        <v>5.0211376396853691E-3</v>
      </c>
      <c r="E711" s="79">
        <f t="shared" si="23"/>
        <v>-5.2280620399359767E-3</v>
      </c>
    </row>
    <row r="712" spans="1:5">
      <c r="A712" s="136">
        <v>43369</v>
      </c>
      <c r="B712" s="79">
        <v>5512.7299800000001</v>
      </c>
      <c r="C712" s="79">
        <v>33.524276999999998</v>
      </c>
      <c r="D712" s="79">
        <f t="shared" si="22"/>
        <v>6.1378477119400365E-3</v>
      </c>
      <c r="E712" s="79">
        <f t="shared" si="23"/>
        <v>1.3430877743059177E-4</v>
      </c>
    </row>
    <row r="713" spans="1:5">
      <c r="A713" s="136">
        <v>43368</v>
      </c>
      <c r="B713" s="79">
        <v>5479.1000979999999</v>
      </c>
      <c r="C713" s="79">
        <v>33.519775000000003</v>
      </c>
      <c r="D713" s="79">
        <f t="shared" si="22"/>
        <v>5.3507762573756779E-4</v>
      </c>
      <c r="E713" s="79">
        <f t="shared" si="23"/>
        <v>-1.362083418634219E-2</v>
      </c>
    </row>
    <row r="714" spans="1:5">
      <c r="A714" s="136">
        <v>43367</v>
      </c>
      <c r="B714" s="79">
        <v>5476.169922</v>
      </c>
      <c r="C714" s="79">
        <v>33.982647</v>
      </c>
      <c r="D714" s="79">
        <f t="shared" si="22"/>
        <v>-3.2762000912864853E-3</v>
      </c>
      <c r="E714" s="79">
        <f t="shared" si="23"/>
        <v>-1.9195826890753276E-2</v>
      </c>
    </row>
    <row r="715" spans="1:5">
      <c r="A715" s="136">
        <v>43364</v>
      </c>
      <c r="B715" s="79">
        <v>5494.169922</v>
      </c>
      <c r="C715" s="79">
        <v>34.647739000000001</v>
      </c>
      <c r="D715" s="79">
        <f t="shared" si="22"/>
        <v>7.8105798892524891E-3</v>
      </c>
      <c r="E715" s="79">
        <f t="shared" si="23"/>
        <v>7.5796746547018845E-3</v>
      </c>
    </row>
    <row r="716" spans="1:5">
      <c r="A716" s="136">
        <v>43363</v>
      </c>
      <c r="B716" s="79">
        <v>5451.5898440000001</v>
      </c>
      <c r="C716" s="79">
        <v>34.387096</v>
      </c>
      <c r="D716" s="79">
        <f t="shared" si="22"/>
        <v>1.0725323706792356E-2</v>
      </c>
      <c r="E716" s="79">
        <f t="shared" si="23"/>
        <v>3.0572465567386464E-2</v>
      </c>
    </row>
    <row r="717" spans="1:5">
      <c r="A717" s="136">
        <v>43362</v>
      </c>
      <c r="B717" s="79">
        <v>5393.7402339999999</v>
      </c>
      <c r="C717" s="79">
        <v>33.366985</v>
      </c>
      <c r="D717" s="79">
        <f t="shared" si="22"/>
        <v>5.5837746783957698E-3</v>
      </c>
      <c r="E717" s="79">
        <f t="shared" si="23"/>
        <v>9.7919020324375161E-3</v>
      </c>
    </row>
    <row r="718" spans="1:5">
      <c r="A718" s="136">
        <v>43361</v>
      </c>
      <c r="B718" s="79">
        <v>5363.7900390000004</v>
      </c>
      <c r="C718" s="79">
        <v>33.043427000000001</v>
      </c>
      <c r="D718" s="79">
        <f t="shared" si="22"/>
        <v>2.7893595607380028E-3</v>
      </c>
      <c r="E718" s="79">
        <f t="shared" si="23"/>
        <v>8.6417961925218112E-3</v>
      </c>
    </row>
    <row r="719" spans="1:5">
      <c r="A719" s="136">
        <v>43360</v>
      </c>
      <c r="B719" s="79">
        <v>5348.8701170000004</v>
      </c>
      <c r="C719" s="79">
        <v>32.760319000000003</v>
      </c>
      <c r="D719" s="79">
        <f t="shared" si="22"/>
        <v>-6.9120200607397653E-4</v>
      </c>
      <c r="E719" s="79">
        <f t="shared" si="23"/>
        <v>8.9965829967375566E-3</v>
      </c>
    </row>
    <row r="720" spans="1:5">
      <c r="A720" s="136">
        <v>43357</v>
      </c>
      <c r="B720" s="79">
        <v>5352.5698240000002</v>
      </c>
      <c r="C720" s="79">
        <v>32.468215999999998</v>
      </c>
      <c r="D720" s="79">
        <f t="shared" si="22"/>
        <v>4.588805519228023E-3</v>
      </c>
      <c r="E720" s="79">
        <f t="shared" si="23"/>
        <v>2.0805037998128384E-3</v>
      </c>
    </row>
    <row r="721" spans="1:5">
      <c r="A721" s="136">
        <v>43356</v>
      </c>
      <c r="B721" s="79">
        <v>5328.1201170000004</v>
      </c>
      <c r="C721" s="79">
        <v>32.400806000000003</v>
      </c>
      <c r="D721" s="79">
        <f t="shared" si="22"/>
        <v>-7.5200081168003141E-4</v>
      </c>
      <c r="E721" s="79">
        <f t="shared" si="23"/>
        <v>1.1108655429397096E-3</v>
      </c>
    </row>
    <row r="722" spans="1:5">
      <c r="A722" s="136">
        <v>43355</v>
      </c>
      <c r="B722" s="79">
        <v>5332.1298829999996</v>
      </c>
      <c r="C722" s="79">
        <v>32.364852999999997</v>
      </c>
      <c r="D722" s="79">
        <f t="shared" si="22"/>
        <v>9.1487064480608726E-3</v>
      </c>
      <c r="E722" s="79">
        <f t="shared" si="23"/>
        <v>6.0065687724939476E-3</v>
      </c>
    </row>
    <row r="723" spans="1:5">
      <c r="A723" s="136">
        <v>43354</v>
      </c>
      <c r="B723" s="79">
        <v>5283.7900390000004</v>
      </c>
      <c r="C723" s="79">
        <v>32.171612000000003</v>
      </c>
      <c r="D723" s="79">
        <f t="shared" si="22"/>
        <v>2.6871253417022345E-3</v>
      </c>
      <c r="E723" s="79">
        <f t="shared" si="23"/>
        <v>5.6185220836610927E-3</v>
      </c>
    </row>
    <row r="724" spans="1:5">
      <c r="A724" s="136">
        <v>43353</v>
      </c>
      <c r="B724" s="79">
        <v>5269.6298829999996</v>
      </c>
      <c r="C724" s="79">
        <v>31.991865000000001</v>
      </c>
      <c r="D724" s="79">
        <f t="shared" si="22"/>
        <v>3.3147254470173859E-3</v>
      </c>
      <c r="E724" s="79">
        <f t="shared" si="23"/>
        <v>6.503540379817041E-3</v>
      </c>
    </row>
    <row r="725" spans="1:5">
      <c r="A725" s="136">
        <v>43350</v>
      </c>
      <c r="B725" s="79">
        <v>5252.2202150000003</v>
      </c>
      <c r="C725" s="79">
        <v>31.785149000000001</v>
      </c>
      <c r="D725" s="79">
        <f t="shared" si="22"/>
        <v>1.5981363369801382E-3</v>
      </c>
      <c r="E725" s="79">
        <f t="shared" si="23"/>
        <v>-1.3803551829507654E-2</v>
      </c>
    </row>
    <row r="726" spans="1:5">
      <c r="A726" s="136">
        <v>43349</v>
      </c>
      <c r="B726" s="79">
        <v>5243.8398440000001</v>
      </c>
      <c r="C726" s="79">
        <v>32.230038</v>
      </c>
      <c r="D726" s="79">
        <f t="shared" si="22"/>
        <v>-3.1140086023946356E-3</v>
      </c>
      <c r="E726" s="79">
        <f t="shared" si="23"/>
        <v>-1.4293642831511799E-2</v>
      </c>
    </row>
    <row r="727" spans="1:5">
      <c r="A727" s="136">
        <v>43348</v>
      </c>
      <c r="B727" s="79">
        <v>5260.2202150000003</v>
      </c>
      <c r="C727" s="79">
        <v>32.697403000000001</v>
      </c>
      <c r="D727" s="79">
        <f t="shared" si="22"/>
        <v>-1.5437882903702738E-2</v>
      </c>
      <c r="E727" s="79">
        <f t="shared" si="23"/>
        <v>5.3890056008305542E-3</v>
      </c>
    </row>
    <row r="728" spans="1:5">
      <c r="A728" s="136">
        <v>43347</v>
      </c>
      <c r="B728" s="79">
        <v>5342.7001950000003</v>
      </c>
      <c r="C728" s="79">
        <v>32.522140999999998</v>
      </c>
      <c r="D728" s="79">
        <f t="shared" si="22"/>
        <v>-1.3133032723953719E-2</v>
      </c>
      <c r="E728" s="79">
        <f t="shared" si="23"/>
        <v>-8.9016833330575196E-3</v>
      </c>
    </row>
    <row r="729" spans="1:5">
      <c r="A729" s="136">
        <v>43346</v>
      </c>
      <c r="B729" s="79">
        <v>5413.7998049999997</v>
      </c>
      <c r="C729" s="79">
        <v>32.814242999999998</v>
      </c>
      <c r="D729" s="79">
        <f t="shared" si="22"/>
        <v>1.285352261304773E-3</v>
      </c>
      <c r="E729" s="79">
        <f t="shared" si="23"/>
        <v>-1.4973646522605688E-2</v>
      </c>
    </row>
    <row r="730" spans="1:5">
      <c r="A730" s="136">
        <v>43343</v>
      </c>
      <c r="B730" s="79">
        <v>5406.8500979999999</v>
      </c>
      <c r="C730" s="79">
        <v>33.313060999999998</v>
      </c>
      <c r="D730" s="79">
        <f t="shared" si="22"/>
        <v>-1.2999120169010947E-2</v>
      </c>
      <c r="E730" s="79">
        <f t="shared" si="23"/>
        <v>1.9669768155256895E-2</v>
      </c>
    </row>
    <row r="731" spans="1:5">
      <c r="A731" s="136">
        <v>43342</v>
      </c>
      <c r="B731" s="79">
        <v>5478.0600590000004</v>
      </c>
      <c r="C731" s="79">
        <v>32.670440999999997</v>
      </c>
      <c r="D731" s="79">
        <f t="shared" si="22"/>
        <v>-4.229889621249483E-3</v>
      </c>
      <c r="E731" s="79">
        <f t="shared" si="23"/>
        <v>2.8970963804251237E-3</v>
      </c>
    </row>
    <row r="732" spans="1:5">
      <c r="A732" s="136">
        <v>43341</v>
      </c>
      <c r="B732" s="79">
        <v>5501.330078</v>
      </c>
      <c r="C732" s="79">
        <v>32.576065</v>
      </c>
      <c r="D732" s="79">
        <f t="shared" si="22"/>
        <v>2.9790105912521625E-3</v>
      </c>
      <c r="E732" s="79">
        <f t="shared" si="23"/>
        <v>-8.4804338571236038E-3</v>
      </c>
    </row>
    <row r="733" spans="1:5">
      <c r="A733" s="136">
        <v>43340</v>
      </c>
      <c r="B733" s="79">
        <v>5484.9902339999999</v>
      </c>
      <c r="C733" s="79">
        <v>32.854686999999998</v>
      </c>
      <c r="D733" s="79">
        <f t="shared" si="22"/>
        <v>1.0750188707357999E-3</v>
      </c>
      <c r="E733" s="79">
        <f t="shared" si="23"/>
        <v>-9.483811787408758E-3</v>
      </c>
    </row>
    <row r="734" spans="1:5">
      <c r="A734" s="136">
        <v>43339</v>
      </c>
      <c r="B734" s="79">
        <v>5479.1000979999999</v>
      </c>
      <c r="C734" s="79">
        <v>33.169257999999999</v>
      </c>
      <c r="D734" s="79">
        <f t="shared" si="22"/>
        <v>8.5780208007362191E-3</v>
      </c>
      <c r="E734" s="79">
        <f t="shared" si="23"/>
        <v>7.7827053995664919E-3</v>
      </c>
    </row>
    <row r="735" spans="1:5">
      <c r="A735" s="136">
        <v>43336</v>
      </c>
      <c r="B735" s="79">
        <v>5432.5</v>
      </c>
      <c r="C735" s="79">
        <v>32.913105000000002</v>
      </c>
      <c r="D735" s="79">
        <f t="shared" si="22"/>
        <v>2.4301752818975952E-3</v>
      </c>
      <c r="E735" s="79">
        <f t="shared" si="23"/>
        <v>-8.1851685365419424E-4</v>
      </c>
    </row>
    <row r="736" spans="1:5">
      <c r="A736" s="136">
        <v>43335</v>
      </c>
      <c r="B736" s="79">
        <v>5419.330078</v>
      </c>
      <c r="C736" s="79">
        <v>32.940066999999999</v>
      </c>
      <c r="D736" s="79">
        <f t="shared" si="22"/>
        <v>-2.3609612799013746E-4</v>
      </c>
      <c r="E736" s="79">
        <f t="shared" si="23"/>
        <v>-1.9063731299683306E-3</v>
      </c>
    </row>
    <row r="737" spans="1:5">
      <c r="A737" s="136">
        <v>43334</v>
      </c>
      <c r="B737" s="79">
        <v>5420.6098629999997</v>
      </c>
      <c r="C737" s="79">
        <v>33.002983</v>
      </c>
      <c r="D737" s="79">
        <f t="shared" si="22"/>
        <v>2.220494172686438E-3</v>
      </c>
      <c r="E737" s="79">
        <f t="shared" si="23"/>
        <v>9.4844420238040517E-3</v>
      </c>
    </row>
    <row r="738" spans="1:5">
      <c r="A738" s="136">
        <v>43333</v>
      </c>
      <c r="B738" s="79">
        <v>5408.6000979999999</v>
      </c>
      <c r="C738" s="79">
        <v>32.692909</v>
      </c>
      <c r="D738" s="79">
        <f t="shared" si="22"/>
        <v>5.38142751431403E-3</v>
      </c>
      <c r="E738" s="79">
        <f t="shared" si="23"/>
        <v>2.2487692301437212E-2</v>
      </c>
    </row>
    <row r="739" spans="1:5">
      <c r="A739" s="136">
        <v>43332</v>
      </c>
      <c r="B739" s="79">
        <v>5379.6499020000001</v>
      </c>
      <c r="C739" s="79">
        <v>31.973890000000001</v>
      </c>
      <c r="D739" s="79">
        <f t="shared" si="22"/>
        <v>6.4958240532122513E-3</v>
      </c>
      <c r="E739" s="79">
        <f t="shared" si="23"/>
        <v>2.1127055659946326E-3</v>
      </c>
    </row>
    <row r="740" spans="1:5">
      <c r="A740" s="136">
        <v>43329</v>
      </c>
      <c r="B740" s="79">
        <v>5344.9301759999998</v>
      </c>
      <c r="C740" s="79">
        <v>31.906480999999999</v>
      </c>
      <c r="D740" s="79">
        <f t="shared" si="22"/>
        <v>-7.6459687656960096E-4</v>
      </c>
      <c r="E740" s="79">
        <f t="shared" si="23"/>
        <v>-5.4629204817780996E-3</v>
      </c>
    </row>
    <row r="741" spans="1:5">
      <c r="A741" s="136">
        <v>43328</v>
      </c>
      <c r="B741" s="79">
        <v>5349.0200199999999</v>
      </c>
      <c r="C741" s="79">
        <v>32.081741000000001</v>
      </c>
      <c r="D741" s="79">
        <f t="shared" si="22"/>
        <v>8.2559824521817315E-3</v>
      </c>
      <c r="E741" s="79">
        <f t="shared" si="23"/>
        <v>5.4929279101634254E-3</v>
      </c>
    </row>
    <row r="742" spans="1:5">
      <c r="A742" s="136">
        <v>43327</v>
      </c>
      <c r="B742" s="79">
        <v>5305.2202150000003</v>
      </c>
      <c r="C742" s="79">
        <v>31.906480999999999</v>
      </c>
      <c r="D742" s="79">
        <f t="shared" si="22"/>
        <v>-1.8171846697768945E-2</v>
      </c>
      <c r="E742" s="79">
        <f t="shared" si="23"/>
        <v>-1.7437072544915444E-2</v>
      </c>
    </row>
    <row r="743" spans="1:5">
      <c r="A743" s="136">
        <v>43326</v>
      </c>
      <c r="B743" s="79">
        <v>5403.4101559999999</v>
      </c>
      <c r="C743" s="79">
        <v>32.472709999999999</v>
      </c>
      <c r="D743" s="79">
        <f t="shared" si="22"/>
        <v>-1.6461828365152975E-3</v>
      </c>
      <c r="E743" s="79">
        <f t="shared" si="23"/>
        <v>-1.5199183842170561E-3</v>
      </c>
    </row>
    <row r="744" spans="1:5">
      <c r="A744" s="136">
        <v>43325</v>
      </c>
      <c r="B744" s="79">
        <v>5412.3198240000002</v>
      </c>
      <c r="C744" s="79">
        <v>32.522140999999998</v>
      </c>
      <c r="D744" s="79">
        <f t="shared" si="22"/>
        <v>-4.3591715914481632E-4</v>
      </c>
      <c r="E744" s="79">
        <f t="shared" si="23"/>
        <v>-8.4942244322525617E-3</v>
      </c>
    </row>
    <row r="745" spans="1:5">
      <c r="A745" s="136">
        <v>43322</v>
      </c>
      <c r="B745" s="79">
        <v>5414.6801759999998</v>
      </c>
      <c r="C745" s="79">
        <v>32.800758000000002</v>
      </c>
      <c r="D745" s="79">
        <f t="shared" si="22"/>
        <v>-1.591527538734161E-2</v>
      </c>
      <c r="E745" s="79">
        <f t="shared" si="23"/>
        <v>-1.0707486747481454E-2</v>
      </c>
    </row>
    <row r="746" spans="1:5">
      <c r="A746" s="136">
        <v>43321</v>
      </c>
      <c r="B746" s="79">
        <v>5502.25</v>
      </c>
      <c r="C746" s="79">
        <v>33.155773000000003</v>
      </c>
      <c r="D746" s="79">
        <f t="shared" si="22"/>
        <v>6.3632200918872783E-5</v>
      </c>
      <c r="E746" s="79">
        <f t="shared" si="23"/>
        <v>-1.0328727372412416E-2</v>
      </c>
    </row>
    <row r="747" spans="1:5">
      <c r="A747" s="136">
        <v>43320</v>
      </c>
      <c r="B747" s="79">
        <v>5501.8999020000001</v>
      </c>
      <c r="C747" s="79">
        <v>33.501804</v>
      </c>
      <c r="D747" s="79">
        <f t="shared" si="22"/>
        <v>-3.5154984582618232E-3</v>
      </c>
      <c r="E747" s="79">
        <f t="shared" si="23"/>
        <v>-3.2091070481193862E-3</v>
      </c>
    </row>
    <row r="748" spans="1:5">
      <c r="A748" s="136">
        <v>43319</v>
      </c>
      <c r="B748" s="79">
        <v>5521.3100590000004</v>
      </c>
      <c r="C748" s="79">
        <v>33.609661000000003</v>
      </c>
      <c r="D748" s="79">
        <f t="shared" si="22"/>
        <v>8.057044242102851E-3</v>
      </c>
      <c r="E748" s="79">
        <f t="shared" si="23"/>
        <v>8.6311911403296193E-3</v>
      </c>
    </row>
    <row r="749" spans="1:5">
      <c r="A749" s="136">
        <v>43318</v>
      </c>
      <c r="B749" s="79">
        <v>5477.1801759999998</v>
      </c>
      <c r="C749" s="79">
        <v>33.322051999999999</v>
      </c>
      <c r="D749" s="79">
        <f t="shared" si="22"/>
        <v>-3.2849253083055974E-4</v>
      </c>
      <c r="E749" s="79">
        <f t="shared" si="23"/>
        <v>3.6546804384991471E-3</v>
      </c>
    </row>
    <row r="750" spans="1:5">
      <c r="A750" s="136">
        <v>43315</v>
      </c>
      <c r="B750" s="79">
        <v>5478.9799800000001</v>
      </c>
      <c r="C750" s="79">
        <v>33.200713999999998</v>
      </c>
      <c r="D750" s="79">
        <f t="shared" si="22"/>
        <v>3.296111698984916E-3</v>
      </c>
      <c r="E750" s="79">
        <f t="shared" si="23"/>
        <v>-2.02626393961991E-3</v>
      </c>
    </row>
    <row r="751" spans="1:5">
      <c r="A751" s="136">
        <v>43314</v>
      </c>
      <c r="B751" s="79">
        <v>5460.9799800000001</v>
      </c>
      <c r="C751" s="79">
        <v>33.268124</v>
      </c>
      <c r="D751" s="79">
        <f t="shared" si="22"/>
        <v>-6.8002219211101833E-3</v>
      </c>
      <c r="E751" s="79">
        <f t="shared" si="23"/>
        <v>-1.4903453169816339E-2</v>
      </c>
    </row>
    <row r="752" spans="1:5">
      <c r="A752" s="136">
        <v>43313</v>
      </c>
      <c r="B752" s="79">
        <v>5498.3701170000004</v>
      </c>
      <c r="C752" s="79">
        <v>33.771434999999997</v>
      </c>
      <c r="D752" s="79">
        <f t="shared" si="22"/>
        <v>-2.3460324165760493E-3</v>
      </c>
      <c r="E752" s="79">
        <f t="shared" si="23"/>
        <v>-1.3131946775911785E-2</v>
      </c>
    </row>
    <row r="753" spans="1:5">
      <c r="A753" s="136">
        <v>43312</v>
      </c>
      <c r="B753" s="79">
        <v>5511.2998049999997</v>
      </c>
      <c r="C753" s="79">
        <v>34.220821000000001</v>
      </c>
      <c r="D753" s="79">
        <f t="shared" si="22"/>
        <v>3.6566717803721005E-3</v>
      </c>
      <c r="E753" s="79">
        <f t="shared" si="23"/>
        <v>1.2229192297162017E-2</v>
      </c>
    </row>
    <row r="754" spans="1:5">
      <c r="A754" s="136">
        <v>43311</v>
      </c>
      <c r="B754" s="79">
        <v>5491.2202150000003</v>
      </c>
      <c r="C754" s="79">
        <v>33.807383999999999</v>
      </c>
      <c r="D754" s="79">
        <f t="shared" si="22"/>
        <v>-3.726496050626249E-3</v>
      </c>
      <c r="E754" s="79">
        <f t="shared" si="23"/>
        <v>-3.18019264554259E-3</v>
      </c>
    </row>
    <row r="755" spans="1:5">
      <c r="A755" s="136">
        <v>43308</v>
      </c>
      <c r="B755" s="79">
        <v>5511.7597660000001</v>
      </c>
      <c r="C755" s="79">
        <v>33.915241000000002</v>
      </c>
      <c r="D755" s="79">
        <f t="shared" si="22"/>
        <v>5.694677014252747E-3</v>
      </c>
      <c r="E755" s="79">
        <f t="shared" si="23"/>
        <v>1.5473654536910297E-2</v>
      </c>
    </row>
    <row r="756" spans="1:5">
      <c r="A756" s="136">
        <v>43307</v>
      </c>
      <c r="B756" s="79">
        <v>5480.5498049999997</v>
      </c>
      <c r="C756" s="79">
        <v>33.398445000000002</v>
      </c>
      <c r="D756" s="79">
        <f t="shared" si="22"/>
        <v>9.977065397487106E-3</v>
      </c>
      <c r="E756" s="79">
        <f t="shared" si="23"/>
        <v>7.0460625017565448E-3</v>
      </c>
    </row>
    <row r="757" spans="1:5">
      <c r="A757" s="136">
        <v>43306</v>
      </c>
      <c r="B757" s="79">
        <v>5426.4101559999999</v>
      </c>
      <c r="C757" s="79">
        <v>33.164763999999998</v>
      </c>
      <c r="D757" s="79">
        <f t="shared" si="22"/>
        <v>-1.4316365611923842E-3</v>
      </c>
      <c r="E757" s="79">
        <f t="shared" si="23"/>
        <v>-7.3974185145747606E-3</v>
      </c>
    </row>
    <row r="758" spans="1:5">
      <c r="A758" s="136">
        <v>43305</v>
      </c>
      <c r="B758" s="79">
        <v>5434.1899409999996</v>
      </c>
      <c r="C758" s="79">
        <v>33.411926000000001</v>
      </c>
      <c r="D758" s="79">
        <f t="shared" si="22"/>
        <v>1.0401141821224202E-2</v>
      </c>
      <c r="E758" s="79">
        <f t="shared" si="23"/>
        <v>4.7296855578840002E-3</v>
      </c>
    </row>
    <row r="759" spans="1:5">
      <c r="A759" s="136">
        <v>43304</v>
      </c>
      <c r="B759" s="79">
        <v>5378.25</v>
      </c>
      <c r="C759" s="79">
        <v>33.254641999999997</v>
      </c>
      <c r="D759" s="79">
        <f t="shared" si="22"/>
        <v>-3.7177908412860949E-3</v>
      </c>
      <c r="E759" s="79">
        <f t="shared" si="23"/>
        <v>-1.2279791787348504E-2</v>
      </c>
    </row>
    <row r="760" spans="1:5">
      <c r="A760" s="136">
        <v>43301</v>
      </c>
      <c r="B760" s="79">
        <v>5398.3198240000002</v>
      </c>
      <c r="C760" s="79">
        <v>33.668078999999999</v>
      </c>
      <c r="D760" s="79">
        <f t="shared" si="22"/>
        <v>-3.4612808417069374E-3</v>
      </c>
      <c r="E760" s="79">
        <f t="shared" si="23"/>
        <v>-8.0020674851810636E-4</v>
      </c>
    </row>
    <row r="761" spans="1:5">
      <c r="A761" s="136">
        <v>43300</v>
      </c>
      <c r="B761" s="79">
        <v>5417.0698240000002</v>
      </c>
      <c r="C761" s="79">
        <v>33.695042000000001</v>
      </c>
      <c r="D761" s="79">
        <f t="shared" si="22"/>
        <v>-5.5751173631891637E-3</v>
      </c>
      <c r="E761" s="79">
        <f t="shared" si="23"/>
        <v>6.672789750874486E-4</v>
      </c>
    </row>
    <row r="762" spans="1:5">
      <c r="A762" s="136">
        <v>43299</v>
      </c>
      <c r="B762" s="79">
        <v>5447.4399409999996</v>
      </c>
      <c r="C762" s="79">
        <v>33.672573</v>
      </c>
      <c r="D762" s="79">
        <f t="shared" si="22"/>
        <v>4.5919258909872251E-3</v>
      </c>
      <c r="E762" s="79">
        <f t="shared" si="23"/>
        <v>1.29782470594213E-2</v>
      </c>
    </row>
    <row r="763" spans="1:5">
      <c r="A763" s="136">
        <v>43298</v>
      </c>
      <c r="B763" s="79">
        <v>5422.5400390000004</v>
      </c>
      <c r="C763" s="79">
        <v>33.241160999999998</v>
      </c>
      <c r="D763" s="79">
        <f t="shared" si="22"/>
        <v>2.423520144166913E-3</v>
      </c>
      <c r="E763" s="79">
        <f t="shared" si="23"/>
        <v>1.3530238774861481E-4</v>
      </c>
    </row>
    <row r="764" spans="1:5">
      <c r="A764" s="136">
        <v>43297</v>
      </c>
      <c r="B764" s="79">
        <v>5409.4301759999998</v>
      </c>
      <c r="C764" s="79">
        <v>33.236663999999998</v>
      </c>
      <c r="D764" s="79">
        <f t="shared" si="22"/>
        <v>-3.6414238359100404E-3</v>
      </c>
      <c r="E764" s="79">
        <f t="shared" si="23"/>
        <v>2.1679635651861151E-3</v>
      </c>
    </row>
    <row r="765" spans="1:5">
      <c r="A765" s="136">
        <v>43294</v>
      </c>
      <c r="B765" s="79">
        <v>5429.2001950000003</v>
      </c>
      <c r="C765" s="79">
        <v>33.164763999999998</v>
      </c>
      <c r="D765" s="79">
        <f t="shared" si="22"/>
        <v>4.310159903512023E-3</v>
      </c>
      <c r="E765" s="79">
        <f t="shared" si="23"/>
        <v>1.3561410708784472E-4</v>
      </c>
    </row>
    <row r="766" spans="1:5">
      <c r="A766" s="136">
        <v>43293</v>
      </c>
      <c r="B766" s="79">
        <v>5405.8999020000001</v>
      </c>
      <c r="C766" s="79">
        <v>33.160266999999997</v>
      </c>
      <c r="D766" s="79">
        <f t="shared" si="22"/>
        <v>9.7068367146371237E-3</v>
      </c>
      <c r="E766" s="79">
        <f t="shared" si="23"/>
        <v>-6.061447688020638E-3</v>
      </c>
    </row>
    <row r="767" spans="1:5">
      <c r="A767" s="136">
        <v>43292</v>
      </c>
      <c r="B767" s="79">
        <v>5353.9301759999998</v>
      </c>
      <c r="C767" s="79">
        <v>33.362492000000003</v>
      </c>
      <c r="D767" s="79">
        <f t="shared" si="22"/>
        <v>-1.4800213645696836E-2</v>
      </c>
      <c r="E767" s="79">
        <f t="shared" si="23"/>
        <v>-2.315797635000838E-2</v>
      </c>
    </row>
    <row r="768" spans="1:5">
      <c r="A768" s="136">
        <v>43291</v>
      </c>
      <c r="B768" s="79">
        <v>5434.3598629999997</v>
      </c>
      <c r="C768" s="79">
        <v>34.153416</v>
      </c>
      <c r="D768" s="79">
        <f t="shared" si="22"/>
        <v>6.7153134930555414E-3</v>
      </c>
      <c r="E768" s="79">
        <f t="shared" si="23"/>
        <v>-3.2786663258794757E-3</v>
      </c>
    </row>
    <row r="769" spans="1:5">
      <c r="A769" s="136">
        <v>43290</v>
      </c>
      <c r="B769" s="79">
        <v>5398.1098629999997</v>
      </c>
      <c r="C769" s="79">
        <v>34.265762000000002</v>
      </c>
      <c r="D769" s="79">
        <f t="shared" si="22"/>
        <v>4.1556545233309983E-3</v>
      </c>
      <c r="E769" s="79">
        <f t="shared" si="23"/>
        <v>3.025636460718184E-3</v>
      </c>
    </row>
    <row r="770" spans="1:5">
      <c r="A770" s="136">
        <v>43287</v>
      </c>
      <c r="B770" s="79">
        <v>5375.7700199999999</v>
      </c>
      <c r="C770" s="79">
        <v>34.162399000000001</v>
      </c>
      <c r="D770" s="79">
        <f t="shared" si="22"/>
        <v>1.7610199000319682E-3</v>
      </c>
      <c r="E770" s="79">
        <f t="shared" si="23"/>
        <v>-5.8848010809254836E-3</v>
      </c>
    </row>
    <row r="771" spans="1:5">
      <c r="A771" s="136">
        <v>43286</v>
      </c>
      <c r="B771" s="79">
        <v>5366.3198240000002</v>
      </c>
      <c r="C771" s="79">
        <v>34.364628000000003</v>
      </c>
      <c r="D771" s="79">
        <f t="shared" si="22"/>
        <v>8.6119394793722215E-3</v>
      </c>
      <c r="E771" s="79">
        <f t="shared" si="23"/>
        <v>7.2445599851478359E-3</v>
      </c>
    </row>
    <row r="772" spans="1:5">
      <c r="A772" s="136">
        <v>43285</v>
      </c>
      <c r="B772" s="79">
        <v>5320.5</v>
      </c>
      <c r="C772" s="79">
        <v>34.117462000000003</v>
      </c>
      <c r="D772" s="79">
        <f t="shared" si="22"/>
        <v>7.0154999858362821E-4</v>
      </c>
      <c r="E772" s="79">
        <f t="shared" si="23"/>
        <v>-5.6320909542423303E-3</v>
      </c>
    </row>
    <row r="773" spans="1:5">
      <c r="A773" s="136">
        <v>43284</v>
      </c>
      <c r="B773" s="79">
        <v>5316.7700199999999</v>
      </c>
      <c r="C773" s="79">
        <v>34.310702999999997</v>
      </c>
      <c r="D773" s="79">
        <f t="shared" ref="D773:D836" si="24">B773/B774-1</f>
        <v>7.5823527646263766E-3</v>
      </c>
      <c r="E773" s="79">
        <f t="shared" ref="E773:E836" si="25">C773/C774-1</f>
        <v>9.6536329262402187E-3</v>
      </c>
    </row>
    <row r="774" spans="1:5">
      <c r="A774" s="136">
        <v>43283</v>
      </c>
      <c r="B774" s="79">
        <v>5276.7597660000001</v>
      </c>
      <c r="C774" s="79">
        <v>33.982647</v>
      </c>
      <c r="D774" s="79">
        <f t="shared" si="24"/>
        <v>-8.7855278149814309E-3</v>
      </c>
      <c r="E774" s="79">
        <f t="shared" si="25"/>
        <v>-1.2020000646585149E-2</v>
      </c>
    </row>
    <row r="775" spans="1:5">
      <c r="A775" s="136">
        <v>43280</v>
      </c>
      <c r="B775" s="79">
        <v>5323.5297849999997</v>
      </c>
      <c r="C775" s="79">
        <v>34.396087999999999</v>
      </c>
      <c r="D775" s="79">
        <f t="shared" si="24"/>
        <v>9.0775046736284448E-3</v>
      </c>
      <c r="E775" s="79">
        <f t="shared" si="25"/>
        <v>2.4885820614051202E-3</v>
      </c>
    </row>
    <row r="776" spans="1:5">
      <c r="A776" s="136">
        <v>43279</v>
      </c>
      <c r="B776" s="79">
        <v>5275.6401370000003</v>
      </c>
      <c r="C776" s="79">
        <v>34.310702999999997</v>
      </c>
      <c r="D776" s="79">
        <f t="shared" si="24"/>
        <v>-9.6786409582266808E-3</v>
      </c>
      <c r="E776" s="79">
        <f t="shared" si="25"/>
        <v>-1.7879943650191521E-2</v>
      </c>
    </row>
    <row r="777" spans="1:5">
      <c r="A777" s="136">
        <v>43278</v>
      </c>
      <c r="B777" s="79">
        <v>5327.2001950000003</v>
      </c>
      <c r="C777" s="79">
        <v>34.935344999999998</v>
      </c>
      <c r="D777" s="79">
        <f t="shared" si="24"/>
        <v>8.6929813854141891E-3</v>
      </c>
      <c r="E777" s="79">
        <f t="shared" si="25"/>
        <v>2.0343732841104245E-2</v>
      </c>
    </row>
    <row r="778" spans="1:5">
      <c r="A778" s="136">
        <v>43277</v>
      </c>
      <c r="B778" s="79">
        <v>5281.2900390000004</v>
      </c>
      <c r="C778" s="79">
        <v>34.238799999999998</v>
      </c>
      <c r="D778" s="79">
        <f t="shared" si="24"/>
        <v>-4.863535496075766E-4</v>
      </c>
      <c r="E778" s="79">
        <f t="shared" si="25"/>
        <v>-1.0776271412287208E-2</v>
      </c>
    </row>
    <row r="779" spans="1:5">
      <c r="A779" s="136">
        <v>43276</v>
      </c>
      <c r="B779" s="79">
        <v>5283.8598629999997</v>
      </c>
      <c r="C779" s="79">
        <v>34.611786000000002</v>
      </c>
      <c r="D779" s="79">
        <f t="shared" si="24"/>
        <v>-1.9215281314514221E-2</v>
      </c>
      <c r="E779" s="79">
        <f t="shared" si="25"/>
        <v>-1.9103510838757831E-2</v>
      </c>
    </row>
    <row r="780" spans="1:5">
      <c r="A780" s="136">
        <v>43273</v>
      </c>
      <c r="B780" s="79">
        <v>5387.3798829999996</v>
      </c>
      <c r="C780" s="79">
        <v>35.285870000000003</v>
      </c>
      <c r="D780" s="79">
        <f t="shared" si="24"/>
        <v>1.3425505245770353E-2</v>
      </c>
      <c r="E780" s="79">
        <f t="shared" si="25"/>
        <v>8.9951479639105436E-3</v>
      </c>
    </row>
    <row r="781" spans="1:5">
      <c r="A781" s="136">
        <v>43272</v>
      </c>
      <c r="B781" s="79">
        <v>5316.0097660000001</v>
      </c>
      <c r="C781" s="79">
        <v>34.971297999999997</v>
      </c>
      <c r="D781" s="79">
        <f t="shared" si="24"/>
        <v>-1.0479717734400484E-2</v>
      </c>
      <c r="E781" s="79">
        <f t="shared" si="25"/>
        <v>-2.0515969786517929E-2</v>
      </c>
    </row>
    <row r="782" spans="1:5">
      <c r="A782" s="136">
        <v>43271</v>
      </c>
      <c r="B782" s="79">
        <v>5372.3100590000004</v>
      </c>
      <c r="C782" s="79">
        <v>35.703795999999997</v>
      </c>
      <c r="D782" s="79">
        <f t="shared" si="24"/>
        <v>-3.3984570259169011E-3</v>
      </c>
      <c r="E782" s="79">
        <f t="shared" si="25"/>
        <v>-1.5082892987975383E-3</v>
      </c>
    </row>
    <row r="783" spans="1:5">
      <c r="A783" s="136">
        <v>43270</v>
      </c>
      <c r="B783" s="79">
        <v>5390.6298829999996</v>
      </c>
      <c r="C783" s="79">
        <v>35.757728999999998</v>
      </c>
      <c r="D783" s="79">
        <f t="shared" si="24"/>
        <v>-1.098070210689972E-2</v>
      </c>
      <c r="E783" s="79">
        <f t="shared" si="25"/>
        <v>-2.0797436429464966E-2</v>
      </c>
    </row>
    <row r="784" spans="1:5">
      <c r="A784" s="136">
        <v>43269</v>
      </c>
      <c r="B784" s="79">
        <v>5450.4799800000001</v>
      </c>
      <c r="C784" s="79">
        <v>36.517192999999999</v>
      </c>
      <c r="D784" s="79">
        <f t="shared" si="24"/>
        <v>-9.3422437590500174E-3</v>
      </c>
      <c r="E784" s="79">
        <f t="shared" si="25"/>
        <v>-6.6014395429841999E-3</v>
      </c>
    </row>
    <row r="785" spans="1:5">
      <c r="A785" s="136">
        <v>43266</v>
      </c>
      <c r="B785" s="79">
        <v>5501.8798829999996</v>
      </c>
      <c r="C785" s="79">
        <v>36.759861000000001</v>
      </c>
      <c r="D785" s="79">
        <f t="shared" si="24"/>
        <v>-4.8078629830923258E-3</v>
      </c>
      <c r="E785" s="79">
        <f t="shared" si="25"/>
        <v>-1.4576548189600524E-2</v>
      </c>
    </row>
    <row r="786" spans="1:5">
      <c r="A786" s="136">
        <v>43265</v>
      </c>
      <c r="B786" s="79">
        <v>5528.4599609999996</v>
      </c>
      <c r="C786" s="79">
        <v>37.303618999999998</v>
      </c>
      <c r="D786" s="79">
        <f t="shared" si="24"/>
        <v>1.3888452440844912E-2</v>
      </c>
      <c r="E786" s="79">
        <f t="shared" si="25"/>
        <v>7.280717967564021E-3</v>
      </c>
    </row>
    <row r="787" spans="1:5">
      <c r="A787" s="136">
        <v>43264</v>
      </c>
      <c r="B787" s="79">
        <v>5452.7299800000001</v>
      </c>
      <c r="C787" s="79">
        <v>37.033985000000001</v>
      </c>
      <c r="D787" s="79">
        <f t="shared" si="24"/>
        <v>-1.1738374367897819E-4</v>
      </c>
      <c r="E787" s="79">
        <f t="shared" si="25"/>
        <v>-2.6623867542393542E-3</v>
      </c>
    </row>
    <row r="788" spans="1:5">
      <c r="A788" s="136">
        <v>43263</v>
      </c>
      <c r="B788" s="79">
        <v>5453.3701170000004</v>
      </c>
      <c r="C788" s="79">
        <v>37.132846999999998</v>
      </c>
      <c r="D788" s="79">
        <f t="shared" si="24"/>
        <v>-3.7523522335282111E-3</v>
      </c>
      <c r="E788" s="79">
        <f t="shared" si="25"/>
        <v>-5.1771029420495385E-3</v>
      </c>
    </row>
    <row r="789" spans="1:5">
      <c r="A789" s="136">
        <v>43262</v>
      </c>
      <c r="B789" s="79">
        <v>5473.9101559999999</v>
      </c>
      <c r="C789" s="79">
        <v>37.326087999999999</v>
      </c>
      <c r="D789" s="79">
        <f t="shared" si="24"/>
        <v>4.3466025344811587E-3</v>
      </c>
      <c r="E789" s="79">
        <f t="shared" si="25"/>
        <v>8.00975093068379E-3</v>
      </c>
    </row>
    <row r="790" spans="1:5">
      <c r="A790" s="136">
        <v>43259</v>
      </c>
      <c r="B790" s="79">
        <v>5450.2202150000003</v>
      </c>
      <c r="C790" s="79">
        <v>37.029491</v>
      </c>
      <c r="D790" s="79">
        <f t="shared" si="24"/>
        <v>3.4145174819211199E-4</v>
      </c>
      <c r="E790" s="79">
        <f t="shared" si="25"/>
        <v>-3.8570470949084501E-2</v>
      </c>
    </row>
    <row r="791" spans="1:5">
      <c r="A791" s="136">
        <v>43258</v>
      </c>
      <c r="B791" s="79">
        <v>5448.3598629999997</v>
      </c>
      <c r="C791" s="79">
        <v>38.515034</v>
      </c>
      <c r="D791" s="79">
        <f t="shared" si="24"/>
        <v>-1.6857709123747622E-3</v>
      </c>
      <c r="E791" s="79">
        <f t="shared" si="25"/>
        <v>2.3811443515540098E-3</v>
      </c>
    </row>
    <row r="792" spans="1:5">
      <c r="A792" s="136">
        <v>43257</v>
      </c>
      <c r="B792" s="79">
        <v>5457.5600590000004</v>
      </c>
      <c r="C792" s="79">
        <v>38.423541999999998</v>
      </c>
      <c r="D792" s="79">
        <f t="shared" si="24"/>
        <v>-6.2079599317788059E-4</v>
      </c>
      <c r="E792" s="79">
        <f t="shared" si="25"/>
        <v>1.671460202573738E-2</v>
      </c>
    </row>
    <row r="793" spans="1:5">
      <c r="A793" s="136">
        <v>43256</v>
      </c>
      <c r="B793" s="79">
        <v>5460.9501950000003</v>
      </c>
      <c r="C793" s="79">
        <v>37.791865999999999</v>
      </c>
      <c r="D793" s="79">
        <f t="shared" si="24"/>
        <v>-2.1853019068635016E-3</v>
      </c>
      <c r="E793" s="79">
        <f t="shared" si="25"/>
        <v>-5.1605374173843144E-3</v>
      </c>
    </row>
    <row r="794" spans="1:5">
      <c r="A794" s="136">
        <v>43255</v>
      </c>
      <c r="B794" s="79">
        <v>5472.9101559999999</v>
      </c>
      <c r="C794" s="79">
        <v>37.987904</v>
      </c>
      <c r="D794" s="79">
        <f t="shared" si="24"/>
        <v>1.3503486926840225E-3</v>
      </c>
      <c r="E794" s="79">
        <f t="shared" si="25"/>
        <v>1.60819850602123E-3</v>
      </c>
    </row>
    <row r="795" spans="1:5">
      <c r="A795" s="136">
        <v>43252</v>
      </c>
      <c r="B795" s="79">
        <v>5465.5297849999997</v>
      </c>
      <c r="C795" s="79">
        <v>37.926909999999999</v>
      </c>
      <c r="D795" s="79">
        <f t="shared" si="24"/>
        <v>1.2435144527757069E-2</v>
      </c>
      <c r="E795" s="79">
        <f t="shared" si="25"/>
        <v>1.5276865242054516E-2</v>
      </c>
    </row>
    <row r="796" spans="1:5">
      <c r="A796" s="136">
        <v>43251</v>
      </c>
      <c r="B796" s="79">
        <v>5398.3999020000001</v>
      </c>
      <c r="C796" s="79">
        <v>37.356223999999997</v>
      </c>
      <c r="D796" s="79">
        <f t="shared" si="24"/>
        <v>-5.3341309252683544E-3</v>
      </c>
      <c r="E796" s="79">
        <f t="shared" si="25"/>
        <v>-9.929507859518738E-3</v>
      </c>
    </row>
    <row r="797" spans="1:5">
      <c r="A797" s="136">
        <v>43250</v>
      </c>
      <c r="B797" s="79">
        <v>5427.3500979999999</v>
      </c>
      <c r="C797" s="79">
        <v>37.730873000000003</v>
      </c>
      <c r="D797" s="79">
        <f t="shared" si="24"/>
        <v>-1.9694451484174591E-3</v>
      </c>
      <c r="E797" s="79">
        <f t="shared" si="25"/>
        <v>4.4067760244146381E-3</v>
      </c>
    </row>
    <row r="798" spans="1:5">
      <c r="A798" s="136">
        <v>43249</v>
      </c>
      <c r="B798" s="79">
        <v>5438.0600590000004</v>
      </c>
      <c r="C798" s="79">
        <v>37.565331</v>
      </c>
      <c r="D798" s="79">
        <f t="shared" si="24"/>
        <v>-1.2864587993645205E-2</v>
      </c>
      <c r="E798" s="79">
        <f t="shared" si="25"/>
        <v>-1.1123883012866376E-2</v>
      </c>
    </row>
    <row r="799" spans="1:5">
      <c r="A799" s="136">
        <v>43248</v>
      </c>
      <c r="B799" s="79">
        <v>5508.9301759999998</v>
      </c>
      <c r="C799" s="79">
        <v>37.987904</v>
      </c>
      <c r="D799" s="79">
        <f t="shared" si="24"/>
        <v>-6.0657333145966996E-3</v>
      </c>
      <c r="E799" s="79">
        <f t="shared" si="25"/>
        <v>-1.1562108938578786E-2</v>
      </c>
    </row>
    <row r="800" spans="1:5">
      <c r="A800" s="136">
        <v>43245</v>
      </c>
      <c r="B800" s="79">
        <v>5542.5498049999997</v>
      </c>
      <c r="C800" s="79">
        <v>38.432262000000001</v>
      </c>
      <c r="D800" s="79">
        <f t="shared" si="24"/>
        <v>-1.0634302900146553E-3</v>
      </c>
      <c r="E800" s="79">
        <f t="shared" si="25"/>
        <v>-1.4961856431566667E-2</v>
      </c>
    </row>
    <row r="801" spans="1:5">
      <c r="A801" s="136">
        <v>43244</v>
      </c>
      <c r="B801" s="79">
        <v>5548.4501950000003</v>
      </c>
      <c r="C801" s="79">
        <v>39.016013999999998</v>
      </c>
      <c r="D801" s="79">
        <f t="shared" si="24"/>
        <v>-3.12618965542244E-3</v>
      </c>
      <c r="E801" s="79">
        <f t="shared" si="25"/>
        <v>-1.8946496803946555E-3</v>
      </c>
    </row>
    <row r="802" spans="1:5">
      <c r="A802" s="136">
        <v>43243</v>
      </c>
      <c r="B802" s="79">
        <v>5565.8500979999999</v>
      </c>
      <c r="C802" s="79">
        <v>39.090076000000003</v>
      </c>
      <c r="D802" s="79">
        <f t="shared" si="24"/>
        <v>-1.3164659972316639E-2</v>
      </c>
      <c r="E802" s="79">
        <f t="shared" si="25"/>
        <v>-1.5470705588030209E-2</v>
      </c>
    </row>
    <row r="803" spans="1:5">
      <c r="A803" s="136">
        <v>43242</v>
      </c>
      <c r="B803" s="79">
        <v>5640.1000979999999</v>
      </c>
      <c r="C803" s="79">
        <v>39.704329999999999</v>
      </c>
      <c r="D803" s="79">
        <f t="shared" si="24"/>
        <v>4.5948159870556893E-4</v>
      </c>
      <c r="E803" s="79">
        <f t="shared" si="25"/>
        <v>-1.6431111985926172E-3</v>
      </c>
    </row>
    <row r="804" spans="1:5">
      <c r="A804" s="136">
        <v>43241</v>
      </c>
      <c r="B804" s="79">
        <v>5637.5097660000001</v>
      </c>
      <c r="C804" s="79">
        <v>39.769675999999997</v>
      </c>
      <c r="D804" s="79">
        <f t="shared" si="24"/>
        <v>4.0965286300296277E-3</v>
      </c>
      <c r="E804" s="79">
        <f t="shared" si="25"/>
        <v>1.4260554145899551E-3</v>
      </c>
    </row>
    <row r="805" spans="1:5">
      <c r="A805" s="136">
        <v>43238</v>
      </c>
      <c r="B805" s="79">
        <v>5614.5097660000001</v>
      </c>
      <c r="C805" s="79">
        <v>39.713042999999999</v>
      </c>
      <c r="D805" s="79">
        <f t="shared" si="24"/>
        <v>-1.3180828085085361E-3</v>
      </c>
      <c r="E805" s="79">
        <f t="shared" si="25"/>
        <v>-2.2983315440477936E-3</v>
      </c>
    </row>
    <row r="806" spans="1:5">
      <c r="A806" s="136">
        <v>43237</v>
      </c>
      <c r="B806" s="79">
        <v>5621.919922</v>
      </c>
      <c r="C806" s="79">
        <v>39.804527</v>
      </c>
      <c r="D806" s="79">
        <f t="shared" si="24"/>
        <v>9.7673088328191771E-3</v>
      </c>
      <c r="E806" s="79">
        <f t="shared" si="25"/>
        <v>1.3083400317339011E-2</v>
      </c>
    </row>
    <row r="807" spans="1:5">
      <c r="A807" s="136">
        <v>43236</v>
      </c>
      <c r="B807" s="79">
        <v>5567.5400390000004</v>
      </c>
      <c r="C807" s="79">
        <v>39.290474000000003</v>
      </c>
      <c r="D807" s="79">
        <f t="shared" si="24"/>
        <v>2.5894954577283524E-3</v>
      </c>
      <c r="E807" s="79">
        <f t="shared" si="25"/>
        <v>3.4492289164171908E-3</v>
      </c>
    </row>
    <row r="808" spans="1:5">
      <c r="A808" s="136">
        <v>43235</v>
      </c>
      <c r="B808" s="79">
        <v>5553.1601559999999</v>
      </c>
      <c r="C808" s="79">
        <v>39.155417999999997</v>
      </c>
      <c r="D808" s="79">
        <f t="shared" si="24"/>
        <v>2.2524274283250989E-3</v>
      </c>
      <c r="E808" s="79">
        <f t="shared" si="25"/>
        <v>2.9010180687767395E-3</v>
      </c>
    </row>
    <row r="809" spans="1:5">
      <c r="A809" s="136">
        <v>43234</v>
      </c>
      <c r="B809" s="79">
        <v>5540.6801759999998</v>
      </c>
      <c r="C809" s="79">
        <v>39.042155999999999</v>
      </c>
      <c r="D809" s="79">
        <f t="shared" si="24"/>
        <v>-2.2731480553950245E-4</v>
      </c>
      <c r="E809" s="79">
        <f t="shared" si="25"/>
        <v>-9.6142777323510176E-3</v>
      </c>
    </row>
    <row r="810" spans="1:5">
      <c r="A810" s="136">
        <v>43231</v>
      </c>
      <c r="B810" s="79">
        <v>5541.9399409999996</v>
      </c>
      <c r="C810" s="79">
        <v>39.421162000000002</v>
      </c>
      <c r="D810" s="79">
        <f t="shared" si="24"/>
        <v>-7.2309592747810125E-4</v>
      </c>
      <c r="E810" s="79">
        <f t="shared" si="25"/>
        <v>2.6545603478006941E-2</v>
      </c>
    </row>
    <row r="811" spans="1:5">
      <c r="A811" s="136">
        <v>43230</v>
      </c>
      <c r="B811" s="79">
        <v>5545.9501950000003</v>
      </c>
      <c r="C811" s="79">
        <v>38.401764</v>
      </c>
      <c r="D811" s="79">
        <f t="shared" si="24"/>
        <v>2.0453602570194018E-3</v>
      </c>
      <c r="E811" s="79">
        <f t="shared" si="25"/>
        <v>-7.9901431815202484E-3</v>
      </c>
    </row>
    <row r="812" spans="1:5">
      <c r="A812" s="136">
        <v>43229</v>
      </c>
      <c r="B812" s="79">
        <v>5534.6298829999996</v>
      </c>
      <c r="C812" s="79">
        <v>38.711070999999997</v>
      </c>
      <c r="D812" s="79">
        <f t="shared" si="24"/>
        <v>2.299867364349728E-3</v>
      </c>
      <c r="E812" s="79">
        <f t="shared" si="25"/>
        <v>4.6355472005776832E-3</v>
      </c>
    </row>
    <row r="813" spans="1:5">
      <c r="A813" s="136">
        <v>43228</v>
      </c>
      <c r="B813" s="79">
        <v>5521.9301759999998</v>
      </c>
      <c r="C813" s="79">
        <v>38.532451999999999</v>
      </c>
      <c r="D813" s="79">
        <f t="shared" si="24"/>
        <v>-1.7156075896999079E-3</v>
      </c>
      <c r="E813" s="79">
        <f t="shared" si="25"/>
        <v>3.4031769998899009E-3</v>
      </c>
    </row>
    <row r="814" spans="1:5">
      <c r="A814" s="136">
        <v>43227</v>
      </c>
      <c r="B814" s="79">
        <v>5531.419922</v>
      </c>
      <c r="C814" s="79">
        <v>38.401764</v>
      </c>
      <c r="D814" s="79">
        <f t="shared" si="24"/>
        <v>2.7864355006490538E-3</v>
      </c>
      <c r="E814" s="79">
        <f t="shared" si="25"/>
        <v>-6.4247729151001298E-3</v>
      </c>
    </row>
    <row r="815" spans="1:5">
      <c r="A815" s="136">
        <v>43224</v>
      </c>
      <c r="B815" s="79">
        <v>5516.0498049999997</v>
      </c>
      <c r="C815" s="79">
        <v>38.650081999999998</v>
      </c>
      <c r="D815" s="79">
        <f t="shared" si="24"/>
        <v>2.6155103354223996E-3</v>
      </c>
      <c r="E815" s="79">
        <f t="shared" si="25"/>
        <v>1.5567873607183813E-2</v>
      </c>
    </row>
    <row r="816" spans="1:5">
      <c r="A816" s="136">
        <v>43223</v>
      </c>
      <c r="B816" s="79">
        <v>5501.6601559999999</v>
      </c>
      <c r="C816" s="79">
        <v>38.057606</v>
      </c>
      <c r="D816" s="79">
        <f t="shared" si="24"/>
        <v>-4.9844386601267665E-3</v>
      </c>
      <c r="E816" s="79">
        <f t="shared" si="25"/>
        <v>-4.4444177039543176E-3</v>
      </c>
    </row>
    <row r="817" spans="1:5">
      <c r="A817" s="136">
        <v>43222</v>
      </c>
      <c r="B817" s="79">
        <v>5529.2202150000003</v>
      </c>
      <c r="C817" s="79">
        <v>38.227505000000001</v>
      </c>
      <c r="D817" s="79">
        <f t="shared" si="24"/>
        <v>1.5796060139481316E-3</v>
      </c>
      <c r="E817" s="79">
        <f t="shared" si="25"/>
        <v>8.7365772281393639E-3</v>
      </c>
    </row>
    <row r="818" spans="1:5">
      <c r="A818" s="136">
        <v>43220</v>
      </c>
      <c r="B818" s="79">
        <v>5520.5</v>
      </c>
      <c r="C818" s="79">
        <v>37.896419999999999</v>
      </c>
      <c r="D818" s="79">
        <f t="shared" si="24"/>
        <v>6.8044440191681321E-3</v>
      </c>
      <c r="E818" s="79">
        <f t="shared" si="25"/>
        <v>-4.8048046155367841E-3</v>
      </c>
    </row>
    <row r="819" spans="1:5">
      <c r="A819" s="136">
        <v>43217</v>
      </c>
      <c r="B819" s="79">
        <v>5483.1899409999996</v>
      </c>
      <c r="C819" s="79">
        <v>38.079383999999997</v>
      </c>
      <c r="D819" s="79">
        <f t="shared" si="24"/>
        <v>5.4294358158317735E-3</v>
      </c>
      <c r="E819" s="79">
        <f t="shared" si="25"/>
        <v>2.1025447352724713E-2</v>
      </c>
    </row>
    <row r="820" spans="1:5">
      <c r="A820" s="136">
        <v>43216</v>
      </c>
      <c r="B820" s="79">
        <v>5453.580078</v>
      </c>
      <c r="C820" s="79">
        <v>37.295234999999998</v>
      </c>
      <c r="D820" s="79">
        <f t="shared" si="24"/>
        <v>7.4409832174444634E-3</v>
      </c>
      <c r="E820" s="79">
        <f t="shared" si="25"/>
        <v>-1.4277490701176232E-2</v>
      </c>
    </row>
    <row r="821" spans="1:5">
      <c r="A821" s="136">
        <v>43215</v>
      </c>
      <c r="B821" s="79">
        <v>5413.2998049999997</v>
      </c>
      <c r="C821" s="79">
        <v>37.835430000000002</v>
      </c>
      <c r="D821" s="79">
        <f t="shared" si="24"/>
        <v>-5.6685237237168451E-3</v>
      </c>
      <c r="E821" s="79">
        <f t="shared" si="25"/>
        <v>-1.3628534564034123E-2</v>
      </c>
    </row>
    <row r="822" spans="1:5">
      <c r="A822" s="136">
        <v>43214</v>
      </c>
      <c r="B822" s="79">
        <v>5444.1601559999999</v>
      </c>
      <c r="C822" s="79">
        <v>38.358196</v>
      </c>
      <c r="D822" s="79">
        <f t="shared" si="24"/>
        <v>1.0315895231560734E-3</v>
      </c>
      <c r="E822" s="79">
        <f t="shared" si="25"/>
        <v>-1.2227987472319457E-2</v>
      </c>
    </row>
    <row r="823" spans="1:5">
      <c r="A823" s="136">
        <v>43213</v>
      </c>
      <c r="B823" s="79">
        <v>5438.5498049999997</v>
      </c>
      <c r="C823" s="79">
        <v>38.833046000000003</v>
      </c>
      <c r="D823" s="79">
        <f t="shared" si="24"/>
        <v>4.7516228348891687E-3</v>
      </c>
      <c r="E823" s="79">
        <f t="shared" si="25"/>
        <v>1.2839465330522604E-2</v>
      </c>
    </row>
    <row r="824" spans="1:5">
      <c r="A824" s="136">
        <v>43210</v>
      </c>
      <c r="B824" s="79">
        <v>5412.830078</v>
      </c>
      <c r="C824" s="79">
        <v>38.340770999999997</v>
      </c>
      <c r="D824" s="79">
        <f t="shared" si="24"/>
        <v>3.9301474990112162E-3</v>
      </c>
      <c r="E824" s="79">
        <f t="shared" si="25"/>
        <v>7.5557805852528581E-3</v>
      </c>
    </row>
    <row r="825" spans="1:5">
      <c r="A825" s="136">
        <v>43209</v>
      </c>
      <c r="B825" s="79">
        <v>5391.6401370000003</v>
      </c>
      <c r="C825" s="79">
        <v>38.053249000000001</v>
      </c>
      <c r="D825" s="79">
        <f t="shared" si="24"/>
        <v>2.1319428877324409E-3</v>
      </c>
      <c r="E825" s="79">
        <f t="shared" si="25"/>
        <v>2.8702304480721086E-3</v>
      </c>
    </row>
    <row r="826" spans="1:5">
      <c r="A826" s="136">
        <v>43208</v>
      </c>
      <c r="B826" s="79">
        <v>5380.169922</v>
      </c>
      <c r="C826" s="79">
        <v>37.944339999999997</v>
      </c>
      <c r="D826" s="79">
        <f t="shared" si="24"/>
        <v>4.9742568106343477E-3</v>
      </c>
      <c r="E826" s="79">
        <f t="shared" si="25"/>
        <v>8.919219063530992E-3</v>
      </c>
    </row>
    <row r="827" spans="1:5">
      <c r="A827" s="136">
        <v>43207</v>
      </c>
      <c r="B827" s="79">
        <v>5353.5400390000004</v>
      </c>
      <c r="C827" s="79">
        <v>37.608898000000003</v>
      </c>
      <c r="D827" s="79">
        <f t="shared" si="24"/>
        <v>7.6379416178327109E-3</v>
      </c>
      <c r="E827" s="79">
        <f t="shared" si="25"/>
        <v>4.187673410016135E-3</v>
      </c>
    </row>
    <row r="828" spans="1:5">
      <c r="A828" s="136">
        <v>43206</v>
      </c>
      <c r="B828" s="79">
        <v>5312.9599609999996</v>
      </c>
      <c r="C828" s="79">
        <v>37.452061</v>
      </c>
      <c r="D828" s="79">
        <f t="shared" si="24"/>
        <v>-3.8759195492177323E-4</v>
      </c>
      <c r="E828" s="79">
        <f t="shared" si="25"/>
        <v>-5.8975828794246565E-3</v>
      </c>
    </row>
    <row r="829" spans="1:5">
      <c r="A829" s="136">
        <v>43203</v>
      </c>
      <c r="B829" s="79">
        <v>5315.0200199999999</v>
      </c>
      <c r="C829" s="79">
        <v>37.674247999999999</v>
      </c>
      <c r="D829" s="79">
        <f t="shared" si="24"/>
        <v>1.0924024178944336E-3</v>
      </c>
      <c r="E829" s="79">
        <f t="shared" si="25"/>
        <v>-7.4599665114127856E-3</v>
      </c>
    </row>
    <row r="830" spans="1:5">
      <c r="A830" s="136">
        <v>43202</v>
      </c>
      <c r="B830" s="79">
        <v>5309.2202150000003</v>
      </c>
      <c r="C830" s="79">
        <v>37.957408999999998</v>
      </c>
      <c r="D830" s="79">
        <f t="shared" si="24"/>
        <v>5.9266066589749311E-3</v>
      </c>
      <c r="E830" s="79">
        <f t="shared" si="25"/>
        <v>1.1375554252851305E-2</v>
      </c>
    </row>
    <row r="831" spans="1:5">
      <c r="A831" s="136">
        <v>43201</v>
      </c>
      <c r="B831" s="79">
        <v>5277.9399409999996</v>
      </c>
      <c r="C831" s="79">
        <v>37.530479</v>
      </c>
      <c r="D831" s="79">
        <f t="shared" si="24"/>
        <v>-5.5807409941172059E-3</v>
      </c>
      <c r="E831" s="79">
        <f t="shared" si="25"/>
        <v>-4.5065595894026034E-3</v>
      </c>
    </row>
    <row r="832" spans="1:5">
      <c r="A832" s="136">
        <v>43200</v>
      </c>
      <c r="B832" s="79">
        <v>5307.5600590000004</v>
      </c>
      <c r="C832" s="79">
        <v>37.700378000000001</v>
      </c>
      <c r="D832" s="79">
        <f t="shared" si="24"/>
        <v>8.3919148781124164E-3</v>
      </c>
      <c r="E832" s="79">
        <f t="shared" si="25"/>
        <v>-8.7056594477409321E-3</v>
      </c>
    </row>
    <row r="833" spans="1:5">
      <c r="A833" s="136">
        <v>43199</v>
      </c>
      <c r="B833" s="79">
        <v>5263.3901370000003</v>
      </c>
      <c r="C833" s="79">
        <v>38.031466999999999</v>
      </c>
      <c r="D833" s="79">
        <f t="shared" si="24"/>
        <v>9.7939667470892111E-4</v>
      </c>
      <c r="E833" s="79">
        <f t="shared" si="25"/>
        <v>4.718560734228161E-3</v>
      </c>
    </row>
    <row r="834" spans="1:5">
      <c r="A834" s="136">
        <v>43196</v>
      </c>
      <c r="B834" s="79">
        <v>5258.2402339999999</v>
      </c>
      <c r="C834" s="79">
        <v>37.852856000000003</v>
      </c>
      <c r="D834" s="79">
        <f t="shared" si="24"/>
        <v>-3.4926740297249736E-3</v>
      </c>
      <c r="E834" s="79">
        <f t="shared" si="25"/>
        <v>-2.7544820037636031E-3</v>
      </c>
    </row>
    <row r="835" spans="1:5">
      <c r="A835" s="136">
        <v>43195</v>
      </c>
      <c r="B835" s="79">
        <v>5276.669922</v>
      </c>
      <c r="C835" s="79">
        <v>37.957408999999998</v>
      </c>
      <c r="D835" s="79">
        <f t="shared" si="24"/>
        <v>2.6230137717312418E-2</v>
      </c>
      <c r="E835" s="79">
        <f t="shared" si="25"/>
        <v>2.6508053675756704E-2</v>
      </c>
    </row>
    <row r="836" spans="1:5">
      <c r="A836" s="136">
        <v>43194</v>
      </c>
      <c r="B836" s="79">
        <v>5141.7998049999997</v>
      </c>
      <c r="C836" s="79">
        <v>36.977215000000001</v>
      </c>
      <c r="D836" s="79">
        <f t="shared" si="24"/>
        <v>-2.0031194470695457E-3</v>
      </c>
      <c r="E836" s="79">
        <f t="shared" si="25"/>
        <v>-4.6905003015492719E-3</v>
      </c>
    </row>
    <row r="837" spans="1:5">
      <c r="A837" s="136">
        <v>43193</v>
      </c>
      <c r="B837" s="79">
        <v>5152.1201170000004</v>
      </c>
      <c r="C837" s="79">
        <v>37.151474</v>
      </c>
      <c r="D837" s="79">
        <f t="shared" ref="D837:D900" si="26">B837/B838-1</f>
        <v>-2.9376441415903676E-3</v>
      </c>
      <c r="E837" s="79">
        <f t="shared" ref="E837:E900" si="27">C837/C838-1</f>
        <v>-5.1329621184927898E-3</v>
      </c>
    </row>
    <row r="838" spans="1:5">
      <c r="A838" s="136">
        <v>43188</v>
      </c>
      <c r="B838" s="79">
        <v>5167.2998049999997</v>
      </c>
      <c r="C838" s="79">
        <v>37.343155000000003</v>
      </c>
      <c r="D838" s="79">
        <f t="shared" si="26"/>
        <v>7.1845425390195672E-3</v>
      </c>
      <c r="E838" s="79">
        <f t="shared" si="27"/>
        <v>3.159712985170815E-3</v>
      </c>
    </row>
    <row r="839" spans="1:5">
      <c r="A839" s="136">
        <v>43187</v>
      </c>
      <c r="B839" s="79">
        <v>5130.4399409999996</v>
      </c>
      <c r="C839" s="79">
        <v>37.225532999999999</v>
      </c>
      <c r="D839" s="79">
        <f t="shared" si="26"/>
        <v>2.8734271733157346E-3</v>
      </c>
      <c r="E839" s="79">
        <f t="shared" si="27"/>
        <v>9.3711647818439658E-4</v>
      </c>
    </row>
    <row r="840" spans="1:5">
      <c r="A840" s="136">
        <v>43186</v>
      </c>
      <c r="B840" s="79">
        <v>5115.7402339999999</v>
      </c>
      <c r="C840" s="79">
        <v>37.190680999999998</v>
      </c>
      <c r="D840" s="79">
        <f t="shared" si="26"/>
        <v>9.7626761842961596E-3</v>
      </c>
      <c r="E840" s="79">
        <f t="shared" si="27"/>
        <v>7.9103114464424973E-3</v>
      </c>
    </row>
    <row r="841" spans="1:5">
      <c r="A841" s="136">
        <v>43185</v>
      </c>
      <c r="B841" s="79">
        <v>5066.2797849999997</v>
      </c>
      <c r="C841" s="79">
        <v>36.898800000000001</v>
      </c>
      <c r="D841" s="79">
        <f t="shared" si="26"/>
        <v>-5.6799174086336057E-3</v>
      </c>
      <c r="E841" s="79">
        <f t="shared" si="27"/>
        <v>-8.6610912024918107E-3</v>
      </c>
    </row>
    <row r="842" spans="1:5">
      <c r="A842" s="136">
        <v>43182</v>
      </c>
      <c r="B842" s="79">
        <v>5095.2202150000003</v>
      </c>
      <c r="C842" s="79">
        <v>37.221176</v>
      </c>
      <c r="D842" s="79">
        <f t="shared" si="26"/>
        <v>-1.3932034220275225E-2</v>
      </c>
      <c r="E842" s="79">
        <f t="shared" si="27"/>
        <v>-2.6657497348235526E-2</v>
      </c>
    </row>
    <row r="843" spans="1:5">
      <c r="A843" s="136">
        <v>43181</v>
      </c>
      <c r="B843" s="79">
        <v>5167.2099609999996</v>
      </c>
      <c r="C843" s="79">
        <v>38.240574000000002</v>
      </c>
      <c r="D843" s="79">
        <f t="shared" si="26"/>
        <v>-1.3842341368253464E-2</v>
      </c>
      <c r="E843" s="79">
        <f t="shared" si="27"/>
        <v>-2.4666811009050993E-2</v>
      </c>
    </row>
    <row r="844" spans="1:5">
      <c r="A844" s="136">
        <v>43180</v>
      </c>
      <c r="B844" s="79">
        <v>5239.7402339999999</v>
      </c>
      <c r="C844" s="79">
        <v>39.207703000000002</v>
      </c>
      <c r="D844" s="79">
        <f t="shared" si="26"/>
        <v>-2.4160134594428673E-3</v>
      </c>
      <c r="E844" s="79">
        <f t="shared" si="27"/>
        <v>-1.7681614339551843E-2</v>
      </c>
    </row>
    <row r="845" spans="1:5">
      <c r="A845" s="136">
        <v>43179</v>
      </c>
      <c r="B845" s="79">
        <v>5252.4301759999998</v>
      </c>
      <c r="C845" s="79">
        <v>39.913437000000002</v>
      </c>
      <c r="D845" s="79">
        <f t="shared" si="26"/>
        <v>5.6655637323423935E-3</v>
      </c>
      <c r="E845" s="79">
        <f t="shared" si="27"/>
        <v>-1.0912426947051745E-4</v>
      </c>
    </row>
    <row r="846" spans="1:5">
      <c r="A846" s="136">
        <v>43178</v>
      </c>
      <c r="B846" s="79">
        <v>5222.8398440000001</v>
      </c>
      <c r="C846" s="79">
        <v>39.917793000000003</v>
      </c>
      <c r="D846" s="79">
        <f t="shared" si="26"/>
        <v>-1.1340713832757587E-2</v>
      </c>
      <c r="E846" s="79">
        <f t="shared" si="27"/>
        <v>-3.805265005569769E-3</v>
      </c>
    </row>
    <row r="847" spans="1:5">
      <c r="A847" s="136">
        <v>43175</v>
      </c>
      <c r="B847" s="79">
        <v>5282.75</v>
      </c>
      <c r="C847" s="79">
        <v>40.070270999999998</v>
      </c>
      <c r="D847" s="79">
        <f t="shared" si="26"/>
        <v>2.94085249031939E-3</v>
      </c>
      <c r="E847" s="79">
        <f t="shared" si="27"/>
        <v>-7.6598876451742237E-3</v>
      </c>
    </row>
    <row r="848" spans="1:5">
      <c r="A848" s="136">
        <v>43174</v>
      </c>
      <c r="B848" s="79">
        <v>5267.2597660000001</v>
      </c>
      <c r="C848" s="79">
        <v>40.379573999999998</v>
      </c>
      <c r="D848" s="79">
        <f t="shared" si="26"/>
        <v>6.4776556337495794E-3</v>
      </c>
      <c r="E848" s="79">
        <f t="shared" si="27"/>
        <v>8.8158897324119856E-3</v>
      </c>
    </row>
    <row r="849" spans="1:5">
      <c r="A849" s="136">
        <v>43173</v>
      </c>
      <c r="B849" s="79">
        <v>5233.3598629999997</v>
      </c>
      <c r="C849" s="79">
        <v>40.026702999999998</v>
      </c>
      <c r="D849" s="79">
        <f t="shared" si="26"/>
        <v>-1.7986941933305634E-3</v>
      </c>
      <c r="E849" s="79">
        <f t="shared" si="27"/>
        <v>2.618922077092467E-3</v>
      </c>
    </row>
    <row r="850" spans="1:5">
      <c r="A850" s="136">
        <v>43172</v>
      </c>
      <c r="B850" s="79">
        <v>5242.7900390000004</v>
      </c>
      <c r="C850" s="79">
        <v>39.922150000000002</v>
      </c>
      <c r="D850" s="79">
        <f t="shared" si="26"/>
        <v>-6.4282331700434847E-3</v>
      </c>
      <c r="E850" s="79">
        <f t="shared" si="27"/>
        <v>-1.1434746444934807E-2</v>
      </c>
    </row>
    <row r="851" spans="1:5">
      <c r="A851" s="136">
        <v>43171</v>
      </c>
      <c r="B851" s="79">
        <v>5276.7099609999996</v>
      </c>
      <c r="C851" s="79">
        <v>40.383929999999999</v>
      </c>
      <c r="D851" s="79">
        <f t="shared" si="26"/>
        <v>4.3797570205539316E-4</v>
      </c>
      <c r="E851" s="79">
        <f t="shared" si="27"/>
        <v>8.7050668809036669E-3</v>
      </c>
    </row>
    <row r="852" spans="1:5">
      <c r="A852" s="136">
        <v>43168</v>
      </c>
      <c r="B852" s="79">
        <v>5274.3999020000001</v>
      </c>
      <c r="C852" s="79">
        <v>40.035418999999997</v>
      </c>
      <c r="D852" s="79">
        <f t="shared" si="26"/>
        <v>3.8636119642501132E-3</v>
      </c>
      <c r="E852" s="79">
        <f t="shared" si="27"/>
        <v>4.4814180283998528E-3</v>
      </c>
    </row>
    <row r="853" spans="1:5">
      <c r="A853" s="136">
        <v>43167</v>
      </c>
      <c r="B853" s="79">
        <v>5254.1000979999999</v>
      </c>
      <c r="C853" s="79">
        <v>39.856803999999997</v>
      </c>
      <c r="D853" s="79">
        <f t="shared" si="26"/>
        <v>1.2774130802978734E-2</v>
      </c>
      <c r="E853" s="79">
        <f t="shared" si="27"/>
        <v>7.4882144001680029E-3</v>
      </c>
    </row>
    <row r="854" spans="1:5">
      <c r="A854" s="136">
        <v>43166</v>
      </c>
      <c r="B854" s="79">
        <v>5187.830078</v>
      </c>
      <c r="C854" s="79">
        <v>39.560566000000001</v>
      </c>
      <c r="D854" s="79">
        <f t="shared" si="26"/>
        <v>3.4041228471619611E-3</v>
      </c>
      <c r="E854" s="79">
        <f t="shared" si="27"/>
        <v>1.2261649823685827E-2</v>
      </c>
    </row>
    <row r="855" spans="1:5">
      <c r="A855" s="136">
        <v>43165</v>
      </c>
      <c r="B855" s="79">
        <v>5170.2299800000001</v>
      </c>
      <c r="C855" s="79">
        <v>39.081364000000001</v>
      </c>
      <c r="D855" s="79">
        <f t="shared" si="26"/>
        <v>5.8058186138643109E-4</v>
      </c>
      <c r="E855" s="79">
        <f t="shared" si="27"/>
        <v>-3.2223004749857287E-3</v>
      </c>
    </row>
    <row r="856" spans="1:5">
      <c r="A856" s="136">
        <v>43164</v>
      </c>
      <c r="B856" s="79">
        <v>5167.2299800000001</v>
      </c>
      <c r="C856" s="79">
        <v>39.207703000000002</v>
      </c>
      <c r="D856" s="79">
        <f t="shared" si="26"/>
        <v>5.9669861142190861E-3</v>
      </c>
      <c r="E856" s="79">
        <f t="shared" si="27"/>
        <v>3.4564329919666292E-3</v>
      </c>
    </row>
    <row r="857" spans="1:5">
      <c r="A857" s="136">
        <v>43161</v>
      </c>
      <c r="B857" s="79">
        <v>5136.580078</v>
      </c>
      <c r="C857" s="79">
        <v>39.072651</v>
      </c>
      <c r="D857" s="79">
        <f t="shared" si="26"/>
        <v>-2.3938915582454978E-2</v>
      </c>
      <c r="E857" s="79">
        <f t="shared" si="27"/>
        <v>-3.2887538021004858E-2</v>
      </c>
    </row>
    <row r="858" spans="1:5">
      <c r="A858" s="136">
        <v>43160</v>
      </c>
      <c r="B858" s="79">
        <v>5262.5600590000004</v>
      </c>
      <c r="C858" s="79">
        <v>40.401352000000003</v>
      </c>
      <c r="D858" s="79">
        <f t="shared" si="26"/>
        <v>-1.0888127306352913E-2</v>
      </c>
      <c r="E858" s="79">
        <f t="shared" si="27"/>
        <v>-8.0223751235264373E-3</v>
      </c>
    </row>
    <row r="859" spans="1:5">
      <c r="A859" s="136">
        <v>43159</v>
      </c>
      <c r="B859" s="79">
        <v>5320.4902339999999</v>
      </c>
      <c r="C859" s="79">
        <v>40.728088</v>
      </c>
      <c r="D859" s="79">
        <f t="shared" si="26"/>
        <v>-4.3862740020950142E-3</v>
      </c>
      <c r="E859" s="79">
        <f t="shared" si="27"/>
        <v>-1.0696632622964053E-4</v>
      </c>
    </row>
    <row r="860" spans="1:5">
      <c r="A860" s="136">
        <v>43158</v>
      </c>
      <c r="B860" s="79">
        <v>5343.9301759999998</v>
      </c>
      <c r="C860" s="79">
        <v>40.732444999999998</v>
      </c>
      <c r="D860" s="79">
        <f t="shared" si="26"/>
        <v>-6.1671777651484128E-5</v>
      </c>
      <c r="E860" s="79">
        <f t="shared" si="27"/>
        <v>1.9184719182046894E-2</v>
      </c>
    </row>
    <row r="861" spans="1:5">
      <c r="A861" s="136">
        <v>43157</v>
      </c>
      <c r="B861" s="79">
        <v>5344.2597660000001</v>
      </c>
      <c r="C861" s="79">
        <v>39.965713999999998</v>
      </c>
      <c r="D861" s="79">
        <f t="shared" si="26"/>
        <v>5.0569451455018122E-3</v>
      </c>
      <c r="E861" s="79">
        <f t="shared" si="27"/>
        <v>1.0909047862608601E-2</v>
      </c>
    </row>
    <row r="862" spans="1:5">
      <c r="A862" s="136">
        <v>43154</v>
      </c>
      <c r="B862" s="79">
        <v>5317.3701170000004</v>
      </c>
      <c r="C862" s="79">
        <v>39.534430999999998</v>
      </c>
      <c r="D862" s="79">
        <f t="shared" si="26"/>
        <v>1.5332048207865601E-3</v>
      </c>
      <c r="E862" s="79">
        <f t="shared" si="27"/>
        <v>2.9028254604749559E-2</v>
      </c>
    </row>
    <row r="863" spans="1:5">
      <c r="A863" s="136">
        <v>43153</v>
      </c>
      <c r="B863" s="79">
        <v>5309.2299800000001</v>
      </c>
      <c r="C863" s="79">
        <v>38.419189000000003</v>
      </c>
      <c r="D863" s="79">
        <f t="shared" si="26"/>
        <v>1.3315412564780527E-3</v>
      </c>
      <c r="E863" s="79">
        <f t="shared" si="27"/>
        <v>-6.197763007928625E-3</v>
      </c>
    </row>
    <row r="864" spans="1:5">
      <c r="A864" s="136">
        <v>43152</v>
      </c>
      <c r="B864" s="79">
        <v>5302.169922</v>
      </c>
      <c r="C864" s="79">
        <v>38.658786999999997</v>
      </c>
      <c r="D864" s="79">
        <f t="shared" si="26"/>
        <v>2.3271049363904339E-3</v>
      </c>
      <c r="E864" s="79">
        <f t="shared" si="27"/>
        <v>2.4853132330708849E-3</v>
      </c>
    </row>
    <row r="865" spans="1:5">
      <c r="A865" s="136">
        <v>43151</v>
      </c>
      <c r="B865" s="79">
        <v>5289.8598629999997</v>
      </c>
      <c r="C865" s="79">
        <v>38.562945999999997</v>
      </c>
      <c r="D865" s="79">
        <f t="shared" si="26"/>
        <v>6.407635558952629E-3</v>
      </c>
      <c r="E865" s="79">
        <f t="shared" si="27"/>
        <v>2.9541553952359134E-2</v>
      </c>
    </row>
    <row r="866" spans="1:5">
      <c r="A866" s="136">
        <v>43150</v>
      </c>
      <c r="B866" s="79">
        <v>5256.1801759999998</v>
      </c>
      <c r="C866" s="79">
        <v>37.456425000000003</v>
      </c>
      <c r="D866" s="79">
        <f t="shared" si="26"/>
        <v>-4.8091483277517E-3</v>
      </c>
      <c r="E866" s="79">
        <f t="shared" si="27"/>
        <v>-1.4442712961933557E-2</v>
      </c>
    </row>
    <row r="867" spans="1:5">
      <c r="A867" s="136">
        <v>43147</v>
      </c>
      <c r="B867" s="79">
        <v>5281.580078</v>
      </c>
      <c r="C867" s="79">
        <v>38.005324999999999</v>
      </c>
      <c r="D867" s="79">
        <f t="shared" si="26"/>
        <v>1.1308727927097584E-2</v>
      </c>
      <c r="E867" s="79">
        <f t="shared" si="27"/>
        <v>-3.882348778419753E-3</v>
      </c>
    </row>
    <row r="868" spans="1:5">
      <c r="A868" s="136">
        <v>43146</v>
      </c>
      <c r="B868" s="79">
        <v>5222.5200199999999</v>
      </c>
      <c r="C868" s="79">
        <v>38.153449999999999</v>
      </c>
      <c r="D868" s="79">
        <f t="shared" si="26"/>
        <v>1.1085648465719355E-2</v>
      </c>
      <c r="E868" s="79">
        <f t="shared" si="27"/>
        <v>1.2719616858709371E-2</v>
      </c>
    </row>
    <row r="869" spans="1:5">
      <c r="A869" s="136">
        <v>43145</v>
      </c>
      <c r="B869" s="79">
        <v>5165.2597660000001</v>
      </c>
      <c r="C869" s="79">
        <v>37.674247999999999</v>
      </c>
      <c r="D869" s="79">
        <f t="shared" si="26"/>
        <v>1.0964356623361038E-2</v>
      </c>
      <c r="E869" s="79">
        <f t="shared" si="27"/>
        <v>1.5261921245362631E-2</v>
      </c>
    </row>
    <row r="870" spans="1:5">
      <c r="A870" s="136">
        <v>43144</v>
      </c>
      <c r="B870" s="79">
        <v>5109.2402339999999</v>
      </c>
      <c r="C870" s="79">
        <v>37.107909999999997</v>
      </c>
      <c r="D870" s="79">
        <f t="shared" si="26"/>
        <v>-5.9960048416236589E-3</v>
      </c>
      <c r="E870" s="79">
        <f t="shared" si="27"/>
        <v>-5.9517670597634131E-3</v>
      </c>
    </row>
    <row r="871" spans="1:5">
      <c r="A871" s="136">
        <v>43143</v>
      </c>
      <c r="B871" s="79">
        <v>5140.0600590000004</v>
      </c>
      <c r="C871" s="79">
        <v>37.330089999999998</v>
      </c>
      <c r="D871" s="79">
        <f t="shared" si="26"/>
        <v>1.1980228907099599E-2</v>
      </c>
      <c r="E871" s="79">
        <f t="shared" si="27"/>
        <v>7.5250577733123603E-3</v>
      </c>
    </row>
    <row r="872" spans="1:5">
      <c r="A872" s="136">
        <v>43140</v>
      </c>
      <c r="B872" s="79">
        <v>5079.2099609999996</v>
      </c>
      <c r="C872" s="79">
        <v>37.051276999999999</v>
      </c>
      <c r="D872" s="79">
        <f t="shared" si="26"/>
        <v>-1.4067296983538591E-2</v>
      </c>
      <c r="E872" s="79">
        <f t="shared" si="27"/>
        <v>-8.9721175021663102E-3</v>
      </c>
    </row>
    <row r="873" spans="1:5">
      <c r="A873" s="136">
        <v>43139</v>
      </c>
      <c r="B873" s="79">
        <v>5151.6801759999998</v>
      </c>
      <c r="C873" s="79">
        <v>37.386715000000002</v>
      </c>
      <c r="D873" s="79">
        <f t="shared" si="26"/>
        <v>-1.9829092627951739E-2</v>
      </c>
      <c r="E873" s="79">
        <f t="shared" si="27"/>
        <v>-3.2687304518525861E-2</v>
      </c>
    </row>
    <row r="874" spans="1:5">
      <c r="A874" s="136">
        <v>43138</v>
      </c>
      <c r="B874" s="79">
        <v>5255.8999020000001</v>
      </c>
      <c r="C874" s="79">
        <v>38.650081999999998</v>
      </c>
      <c r="D874" s="79">
        <f t="shared" si="26"/>
        <v>1.8228071533927803E-2</v>
      </c>
      <c r="E874" s="79">
        <f t="shared" si="27"/>
        <v>8.5257954387851775E-3</v>
      </c>
    </row>
    <row r="875" spans="1:5">
      <c r="A875" s="136">
        <v>43137</v>
      </c>
      <c r="B875" s="79">
        <v>5161.8100590000004</v>
      </c>
      <c r="C875" s="79">
        <v>38.323345000000003</v>
      </c>
      <c r="D875" s="79">
        <f t="shared" si="26"/>
        <v>-2.346273284799294E-2</v>
      </c>
      <c r="E875" s="79">
        <f t="shared" si="27"/>
        <v>-1.8630161597684158E-2</v>
      </c>
    </row>
    <row r="876" spans="1:5">
      <c r="A876" s="136">
        <v>43136</v>
      </c>
      <c r="B876" s="79">
        <v>5285.830078</v>
      </c>
      <c r="C876" s="79">
        <v>39.050868999999999</v>
      </c>
      <c r="D876" s="79">
        <f t="shared" si="26"/>
        <v>-1.4753065676863963E-2</v>
      </c>
      <c r="E876" s="79">
        <f t="shared" si="27"/>
        <v>-1.7859000386308499E-2</v>
      </c>
    </row>
    <row r="877" spans="1:5">
      <c r="A877" s="136">
        <v>43133</v>
      </c>
      <c r="B877" s="79">
        <v>5364.9799800000001</v>
      </c>
      <c r="C877" s="79">
        <v>39.760959999999997</v>
      </c>
      <c r="D877" s="79">
        <f t="shared" si="26"/>
        <v>-1.6421121486120405E-2</v>
      </c>
      <c r="E877" s="79">
        <f t="shared" si="27"/>
        <v>-1.4894846527989558E-2</v>
      </c>
    </row>
    <row r="878" spans="1:5">
      <c r="A878" s="136">
        <v>43132</v>
      </c>
      <c r="B878" s="79">
        <v>5454.5498049999997</v>
      </c>
      <c r="C878" s="79">
        <v>40.362147999999998</v>
      </c>
      <c r="D878" s="79">
        <f t="shared" si="26"/>
        <v>-4.9946588374788492E-3</v>
      </c>
      <c r="E878" s="79">
        <f t="shared" si="27"/>
        <v>-1.0466675463139952E-2</v>
      </c>
    </row>
    <row r="879" spans="1:5">
      <c r="A879" s="136">
        <v>43131</v>
      </c>
      <c r="B879" s="79">
        <v>5481.9301759999998</v>
      </c>
      <c r="C879" s="79">
        <v>40.789073999999999</v>
      </c>
      <c r="D879" s="79">
        <f t="shared" si="26"/>
        <v>1.4889877415849018E-3</v>
      </c>
      <c r="E879" s="79">
        <f t="shared" si="27"/>
        <v>-2.2378363817833202E-3</v>
      </c>
    </row>
    <row r="880" spans="1:5">
      <c r="A880" s="136">
        <v>43130</v>
      </c>
      <c r="B880" s="79">
        <v>5473.7797849999997</v>
      </c>
      <c r="C880" s="79">
        <v>40.880558000000001</v>
      </c>
      <c r="D880" s="79">
        <f t="shared" si="26"/>
        <v>-8.6587487210686431E-3</v>
      </c>
      <c r="E880" s="79">
        <f t="shared" si="27"/>
        <v>-1.892322005450997E-2</v>
      </c>
    </row>
    <row r="881" spans="1:5">
      <c r="A881" s="136">
        <v>43129</v>
      </c>
      <c r="B881" s="79">
        <v>5521.5898440000001</v>
      </c>
      <c r="C881" s="79">
        <v>41.669071000000002</v>
      </c>
      <c r="D881" s="79">
        <f t="shared" si="26"/>
        <v>-1.3673092851517188E-3</v>
      </c>
      <c r="E881" s="79">
        <f t="shared" si="27"/>
        <v>-2.1906796976236542E-3</v>
      </c>
    </row>
    <row r="882" spans="1:5">
      <c r="A882" s="136">
        <v>43126</v>
      </c>
      <c r="B882" s="79">
        <v>5529.1499020000001</v>
      </c>
      <c r="C882" s="79">
        <v>41.760554999999997</v>
      </c>
      <c r="D882" s="79">
        <f t="shared" si="26"/>
        <v>8.7462332844578938E-3</v>
      </c>
      <c r="E882" s="79">
        <f t="shared" si="27"/>
        <v>7.7795882121567406E-3</v>
      </c>
    </row>
    <row r="883" spans="1:5">
      <c r="A883" s="136">
        <v>43125</v>
      </c>
      <c r="B883" s="79">
        <v>5481.2099609999996</v>
      </c>
      <c r="C883" s="79">
        <v>41.438183000000002</v>
      </c>
      <c r="D883" s="79">
        <f t="shared" si="26"/>
        <v>-2.5386330159583581E-3</v>
      </c>
      <c r="E883" s="79">
        <f t="shared" si="27"/>
        <v>8.695683712910629E-3</v>
      </c>
    </row>
    <row r="884" spans="1:5">
      <c r="A884" s="136">
        <v>43124</v>
      </c>
      <c r="B884" s="79">
        <v>5495.1601559999999</v>
      </c>
      <c r="C884" s="79">
        <v>41.080956</v>
      </c>
      <c r="D884" s="79">
        <f t="shared" si="26"/>
        <v>-7.2443953301540853E-3</v>
      </c>
      <c r="E884" s="79">
        <f t="shared" si="27"/>
        <v>-1.7401326654337246E-2</v>
      </c>
    </row>
    <row r="885" spans="1:5">
      <c r="A885" s="136">
        <v>43123</v>
      </c>
      <c r="B885" s="79">
        <v>5535.2597660000001</v>
      </c>
      <c r="C885" s="79">
        <v>41.808478999999998</v>
      </c>
      <c r="D885" s="79">
        <f t="shared" si="26"/>
        <v>-1.2144496319586029E-3</v>
      </c>
      <c r="E885" s="79">
        <f t="shared" si="27"/>
        <v>-2.0795499709123089E-3</v>
      </c>
    </row>
    <row r="886" spans="1:5">
      <c r="A886" s="136">
        <v>43122</v>
      </c>
      <c r="B886" s="79">
        <v>5541.9902339999999</v>
      </c>
      <c r="C886" s="79">
        <v>41.895603000000001</v>
      </c>
      <c r="D886" s="79">
        <f t="shared" si="26"/>
        <v>2.8011292217808847E-3</v>
      </c>
      <c r="E886" s="79">
        <f t="shared" si="27"/>
        <v>-4.1576570378631938E-4</v>
      </c>
    </row>
    <row r="887" spans="1:5">
      <c r="A887" s="136">
        <v>43119</v>
      </c>
      <c r="B887" s="79">
        <v>5526.5097660000001</v>
      </c>
      <c r="C887" s="79">
        <v>41.913029000000002</v>
      </c>
      <c r="D887" s="79">
        <f t="shared" si="26"/>
        <v>5.7653626318379114E-3</v>
      </c>
      <c r="E887" s="79">
        <f t="shared" si="27"/>
        <v>5.3292270445248757E-3</v>
      </c>
    </row>
    <row r="888" spans="1:5">
      <c r="A888" s="136">
        <v>43118</v>
      </c>
      <c r="B888" s="79">
        <v>5494.830078</v>
      </c>
      <c r="C888" s="79">
        <v>41.690849</v>
      </c>
      <c r="D888" s="79">
        <f t="shared" si="26"/>
        <v>1.5286594337249326E-4</v>
      </c>
      <c r="E888" s="79">
        <f t="shared" si="27"/>
        <v>-7.3092084473602714E-4</v>
      </c>
    </row>
    <row r="889" spans="1:5">
      <c r="A889" s="136">
        <v>43117</v>
      </c>
      <c r="B889" s="79">
        <v>5493.9902339999999</v>
      </c>
      <c r="C889" s="79">
        <v>41.721344000000002</v>
      </c>
      <c r="D889" s="79">
        <f t="shared" si="26"/>
        <v>-3.5963434847269271E-3</v>
      </c>
      <c r="E889" s="79">
        <f t="shared" si="27"/>
        <v>-1.14735072685479E-3</v>
      </c>
    </row>
    <row r="890" spans="1:5">
      <c r="A890" s="136">
        <v>43116</v>
      </c>
      <c r="B890" s="79">
        <v>5513.8198240000002</v>
      </c>
      <c r="C890" s="79">
        <v>41.769267999999997</v>
      </c>
      <c r="D890" s="79">
        <f t="shared" si="26"/>
        <v>7.495672250570351E-4</v>
      </c>
      <c r="E890" s="79">
        <f t="shared" si="27"/>
        <v>1.0429807681622272E-4</v>
      </c>
    </row>
    <row r="891" spans="1:5">
      <c r="A891" s="136">
        <v>43115</v>
      </c>
      <c r="B891" s="79">
        <v>5509.6899409999996</v>
      </c>
      <c r="C891" s="79">
        <v>41.764912000000002</v>
      </c>
      <c r="D891" s="79">
        <f t="shared" si="26"/>
        <v>-1.3358777901969487E-3</v>
      </c>
      <c r="E891" s="79">
        <f t="shared" si="27"/>
        <v>-3.3268169009781356E-3</v>
      </c>
    </row>
    <row r="892" spans="1:5">
      <c r="A892" s="136">
        <v>43112</v>
      </c>
      <c r="B892" s="79">
        <v>5517.0600590000004</v>
      </c>
      <c r="C892" s="79">
        <v>41.904319999999998</v>
      </c>
      <c r="D892" s="79">
        <f t="shared" si="26"/>
        <v>5.1944967273556131E-3</v>
      </c>
      <c r="E892" s="79">
        <f t="shared" si="27"/>
        <v>8.8096839597500143E-3</v>
      </c>
    </row>
    <row r="893" spans="1:5">
      <c r="A893" s="136">
        <v>43111</v>
      </c>
      <c r="B893" s="79">
        <v>5488.5498049999997</v>
      </c>
      <c r="C893" s="79">
        <v>41.538379999999997</v>
      </c>
      <c r="D893" s="79">
        <f t="shared" si="26"/>
        <v>-2.9303012135614148E-3</v>
      </c>
      <c r="E893" s="79">
        <f t="shared" si="27"/>
        <v>-1.0481444564765741E-2</v>
      </c>
    </row>
    <row r="894" spans="1:5">
      <c r="A894" s="136">
        <v>43110</v>
      </c>
      <c r="B894" s="79">
        <v>5504.6801759999998</v>
      </c>
      <c r="C894" s="79">
        <v>41.978374000000002</v>
      </c>
      <c r="D894" s="79">
        <f t="shared" si="26"/>
        <v>-3.4865992761885511E-3</v>
      </c>
      <c r="E894" s="79">
        <f t="shared" si="27"/>
        <v>-7.4166205941647023E-3</v>
      </c>
    </row>
    <row r="895" spans="1:5">
      <c r="A895" s="136">
        <v>43109</v>
      </c>
      <c r="B895" s="79">
        <v>5523.9399409999996</v>
      </c>
      <c r="C895" s="79">
        <v>42.292037999999998</v>
      </c>
      <c r="D895" s="79">
        <f t="shared" si="26"/>
        <v>6.6552258655447893E-3</v>
      </c>
      <c r="E895" s="79">
        <f t="shared" si="27"/>
        <v>1.3043947125342958E-2</v>
      </c>
    </row>
    <row r="896" spans="1:5">
      <c r="A896" s="136">
        <v>43108</v>
      </c>
      <c r="B896" s="79">
        <v>5487.419922</v>
      </c>
      <c r="C896" s="79">
        <v>41.747486000000002</v>
      </c>
      <c r="D896" s="79">
        <f t="shared" si="26"/>
        <v>3.0470999405931565E-3</v>
      </c>
      <c r="E896" s="79">
        <f t="shared" si="27"/>
        <v>3.1404391559166633E-3</v>
      </c>
    </row>
    <row r="897" spans="1:5">
      <c r="A897" s="136">
        <v>43105</v>
      </c>
      <c r="B897" s="79">
        <v>5470.75</v>
      </c>
      <c r="C897" s="79">
        <v>41.616790999999999</v>
      </c>
      <c r="D897" s="79">
        <f t="shared" si="26"/>
        <v>1.0539956965001318E-2</v>
      </c>
      <c r="E897" s="79">
        <f t="shared" si="27"/>
        <v>8.7644685661647515E-3</v>
      </c>
    </row>
    <row r="898" spans="1:5">
      <c r="A898" s="136">
        <v>43104</v>
      </c>
      <c r="B898" s="79">
        <v>5413.6899409999996</v>
      </c>
      <c r="C898" s="79">
        <v>41.255211000000003</v>
      </c>
      <c r="D898" s="79">
        <f t="shared" si="26"/>
        <v>1.5457856147761628E-2</v>
      </c>
      <c r="E898" s="79">
        <f t="shared" si="27"/>
        <v>2.1244348250289979E-2</v>
      </c>
    </row>
    <row r="899" spans="1:5">
      <c r="A899" s="136">
        <v>43103</v>
      </c>
      <c r="B899" s="79">
        <v>5331.2797849999997</v>
      </c>
      <c r="C899" s="79">
        <v>40.397002999999998</v>
      </c>
      <c r="D899" s="79">
        <f t="shared" si="26"/>
        <v>8.0701293743385971E-3</v>
      </c>
      <c r="E899" s="79">
        <f t="shared" si="27"/>
        <v>1.699942469814264E-2</v>
      </c>
    </row>
    <row r="900" spans="1:5">
      <c r="A900" s="136">
        <v>43102</v>
      </c>
      <c r="B900" s="79">
        <v>5288.6000979999999</v>
      </c>
      <c r="C900" s="79">
        <v>39.721755999999999</v>
      </c>
      <c r="D900" s="79">
        <f t="shared" si="26"/>
        <v>-4.5100593186536697E-3</v>
      </c>
      <c r="E900" s="79">
        <f t="shared" si="27"/>
        <v>-8.4818976318292716E-3</v>
      </c>
    </row>
    <row r="901" spans="1:5">
      <c r="A901" s="136">
        <v>43098</v>
      </c>
      <c r="B901" s="79">
        <v>5312.5600590000004</v>
      </c>
      <c r="C901" s="79">
        <v>40.061554000000001</v>
      </c>
      <c r="D901" s="79">
        <f t="shared" ref="D901:D964" si="28">B901/B902-1</f>
        <v>-5.030483346950998E-3</v>
      </c>
      <c r="E901" s="79">
        <f t="shared" ref="E901:E964" si="29">C901/C902-1</f>
        <v>-9.0518587126019456E-3</v>
      </c>
    </row>
    <row r="902" spans="1:5">
      <c r="A902" s="136">
        <v>43097</v>
      </c>
      <c r="B902" s="79">
        <v>5339.419922</v>
      </c>
      <c r="C902" s="79">
        <v>40.427498</v>
      </c>
      <c r="D902" s="79">
        <f t="shared" si="28"/>
        <v>-5.4797540725448624E-3</v>
      </c>
      <c r="E902" s="79">
        <f t="shared" si="29"/>
        <v>-4.3065981395529196E-4</v>
      </c>
    </row>
    <row r="903" spans="1:5">
      <c r="A903" s="136">
        <v>43096</v>
      </c>
      <c r="B903" s="79">
        <v>5368.8398440000001</v>
      </c>
      <c r="C903" s="79">
        <v>40.444915999999999</v>
      </c>
      <c r="D903" s="79">
        <f t="shared" si="28"/>
        <v>7.6791124884412199E-4</v>
      </c>
      <c r="E903" s="79">
        <f t="shared" si="29"/>
        <v>-6.4594308357346364E-4</v>
      </c>
    </row>
    <row r="904" spans="1:5">
      <c r="A904" s="136">
        <v>43091</v>
      </c>
      <c r="B904" s="79">
        <v>5364.7202150000003</v>
      </c>
      <c r="C904" s="79">
        <v>40.471057999999999</v>
      </c>
      <c r="D904" s="79">
        <f t="shared" si="28"/>
        <v>-3.9454358549585455E-3</v>
      </c>
      <c r="E904" s="79">
        <f t="shared" si="29"/>
        <v>-4.8205311935854978E-3</v>
      </c>
    </row>
    <row r="905" spans="1:5">
      <c r="A905" s="136">
        <v>43090</v>
      </c>
      <c r="B905" s="79">
        <v>5385.9702150000003</v>
      </c>
      <c r="C905" s="79">
        <v>40.667095000000003</v>
      </c>
      <c r="D905" s="79">
        <f t="shared" si="28"/>
        <v>6.2024325491196741E-3</v>
      </c>
      <c r="E905" s="79">
        <f t="shared" si="29"/>
        <v>5.8183090805887794E-3</v>
      </c>
    </row>
    <row r="906" spans="1:5">
      <c r="A906" s="136">
        <v>43089</v>
      </c>
      <c r="B906" s="79">
        <v>5352.7700199999999</v>
      </c>
      <c r="C906" s="79">
        <v>40.431849999999997</v>
      </c>
      <c r="D906" s="79">
        <f t="shared" si="28"/>
        <v>-5.599227021540476E-3</v>
      </c>
      <c r="E906" s="79">
        <f t="shared" si="29"/>
        <v>-1.370884417039564E-2</v>
      </c>
    </row>
    <row r="907" spans="1:5">
      <c r="A907" s="136">
        <v>43088</v>
      </c>
      <c r="B907" s="79">
        <v>5382.9101559999999</v>
      </c>
      <c r="C907" s="79">
        <v>40.993828000000001</v>
      </c>
      <c r="D907" s="79">
        <f t="shared" si="28"/>
        <v>-6.9494263451410632E-3</v>
      </c>
      <c r="E907" s="79">
        <f t="shared" si="29"/>
        <v>-1.259173621034515E-2</v>
      </c>
    </row>
    <row r="908" spans="1:5">
      <c r="A908" s="136">
        <v>43087</v>
      </c>
      <c r="B908" s="79">
        <v>5420.580078</v>
      </c>
      <c r="C908" s="79">
        <v>41.516593999999998</v>
      </c>
      <c r="D908" s="79">
        <f t="shared" si="28"/>
        <v>1.3325159478512427E-2</v>
      </c>
      <c r="E908" s="79">
        <f t="shared" si="29"/>
        <v>1.3829703271265759E-2</v>
      </c>
    </row>
    <row r="909" spans="1:5">
      <c r="A909" s="136">
        <v>43084</v>
      </c>
      <c r="B909" s="79">
        <v>5349.2998049999997</v>
      </c>
      <c r="C909" s="79">
        <v>40.950263999999997</v>
      </c>
      <c r="D909" s="79">
        <f t="shared" si="28"/>
        <v>-1.4635293831217755E-3</v>
      </c>
      <c r="E909" s="79">
        <f t="shared" si="29"/>
        <v>2.9877084465055326E-3</v>
      </c>
    </row>
    <row r="910" spans="1:5">
      <c r="A910" s="136">
        <v>43083</v>
      </c>
      <c r="B910" s="79">
        <v>5357.1401370000003</v>
      </c>
      <c r="C910" s="79">
        <v>40.828280999999997</v>
      </c>
      <c r="D910" s="79">
        <f t="shared" si="28"/>
        <v>-7.835993753434356E-3</v>
      </c>
      <c r="E910" s="79">
        <f t="shared" si="29"/>
        <v>-9.9303102724844772E-3</v>
      </c>
    </row>
    <row r="911" spans="1:5">
      <c r="A911" s="136">
        <v>43082</v>
      </c>
      <c r="B911" s="79">
        <v>5399.4501950000003</v>
      </c>
      <c r="C911" s="79">
        <v>41.237785000000002</v>
      </c>
      <c r="D911" s="79">
        <f t="shared" si="28"/>
        <v>-5.1112539456998896E-3</v>
      </c>
      <c r="E911" s="79">
        <f t="shared" si="29"/>
        <v>3.0729881821245364E-3</v>
      </c>
    </row>
    <row r="912" spans="1:5">
      <c r="A912" s="136">
        <v>43081</v>
      </c>
      <c r="B912" s="79">
        <v>5427.1899409999996</v>
      </c>
      <c r="C912" s="79">
        <v>41.111449999999998</v>
      </c>
      <c r="D912" s="79">
        <f t="shared" si="28"/>
        <v>7.492321535225388E-3</v>
      </c>
      <c r="E912" s="79">
        <f t="shared" si="29"/>
        <v>-1.4721143084478028E-2</v>
      </c>
    </row>
    <row r="913" spans="1:5">
      <c r="A913" s="136">
        <v>43080</v>
      </c>
      <c r="B913" s="79">
        <v>5386.830078</v>
      </c>
      <c r="C913" s="79">
        <v>41.725700000000003</v>
      </c>
      <c r="D913" s="79">
        <f t="shared" si="28"/>
        <v>-2.2707097592800096E-3</v>
      </c>
      <c r="E913" s="79">
        <f t="shared" si="29"/>
        <v>3.5623279436587385E-3</v>
      </c>
    </row>
    <row r="914" spans="1:5">
      <c r="A914" s="136">
        <v>43077</v>
      </c>
      <c r="B914" s="79">
        <v>5399.0898440000001</v>
      </c>
      <c r="C914" s="79">
        <v>41.577587000000001</v>
      </c>
      <c r="D914" s="79">
        <f t="shared" si="28"/>
        <v>2.8288219581396046E-3</v>
      </c>
      <c r="E914" s="79">
        <f t="shared" si="29"/>
        <v>-3.9657543648499161E-3</v>
      </c>
    </row>
    <row r="915" spans="1:5">
      <c r="A915" s="136">
        <v>43076</v>
      </c>
      <c r="B915" s="79">
        <v>5383.8598629999997</v>
      </c>
      <c r="C915" s="79">
        <v>41.743130000000001</v>
      </c>
      <c r="D915" s="79">
        <f t="shared" si="28"/>
        <v>1.7694725551167245E-3</v>
      </c>
      <c r="E915" s="79">
        <f t="shared" si="29"/>
        <v>1.0447111128206732E-3</v>
      </c>
    </row>
    <row r="916" spans="1:5">
      <c r="A916" s="136">
        <v>43075</v>
      </c>
      <c r="B916" s="79">
        <v>5374.3500979999999</v>
      </c>
      <c r="C916" s="79">
        <v>41.699565999999997</v>
      </c>
      <c r="D916" s="79">
        <f t="shared" si="28"/>
        <v>-2.1945502065523481E-4</v>
      </c>
      <c r="E916" s="79">
        <f t="shared" si="29"/>
        <v>7.3668270747944131E-3</v>
      </c>
    </row>
    <row r="917" spans="1:5">
      <c r="A917" s="136">
        <v>43074</v>
      </c>
      <c r="B917" s="79">
        <v>5375.5297849999997</v>
      </c>
      <c r="C917" s="79">
        <v>41.394618999999999</v>
      </c>
      <c r="D917" s="79">
        <f t="shared" si="28"/>
        <v>-2.5532591306876018E-3</v>
      </c>
      <c r="E917" s="79">
        <f t="shared" si="29"/>
        <v>2.8495774535148843E-3</v>
      </c>
    </row>
    <row r="918" spans="1:5">
      <c r="A918" s="136">
        <v>43073</v>
      </c>
      <c r="B918" s="79">
        <v>5389.2900390000004</v>
      </c>
      <c r="C918" s="79">
        <v>41.276997000000001</v>
      </c>
      <c r="D918" s="79">
        <f t="shared" si="28"/>
        <v>1.3616964077586058E-2</v>
      </c>
      <c r="E918" s="79">
        <f t="shared" si="29"/>
        <v>1.2070108313355865E-2</v>
      </c>
    </row>
    <row r="919" spans="1:5">
      <c r="A919" s="136">
        <v>43070</v>
      </c>
      <c r="B919" s="79">
        <v>5316.8901370000003</v>
      </c>
      <c r="C919" s="79">
        <v>40.784720999999998</v>
      </c>
      <c r="D919" s="79">
        <f t="shared" si="28"/>
        <v>-1.0404259536336613E-2</v>
      </c>
      <c r="E919" s="79">
        <f t="shared" si="29"/>
        <v>-2.2041210220831609E-2</v>
      </c>
    </row>
    <row r="920" spans="1:5">
      <c r="A920" s="136">
        <v>43069</v>
      </c>
      <c r="B920" s="79">
        <v>5372.7900390000004</v>
      </c>
      <c r="C920" s="79">
        <v>41.703926000000003</v>
      </c>
      <c r="D920" s="79">
        <f t="shared" si="28"/>
        <v>-4.6794244055700096E-3</v>
      </c>
      <c r="E920" s="79">
        <f t="shared" si="29"/>
        <v>-1.3397743642502902E-2</v>
      </c>
    </row>
    <row r="921" spans="1:5">
      <c r="A921" s="136">
        <v>43068</v>
      </c>
      <c r="B921" s="79">
        <v>5398.0498049999997</v>
      </c>
      <c r="C921" s="79">
        <v>42.270251999999999</v>
      </c>
      <c r="D921" s="79">
        <f t="shared" si="28"/>
        <v>1.4042951700192763E-3</v>
      </c>
      <c r="E921" s="79">
        <f t="shared" si="29"/>
        <v>6.1864233974540106E-4</v>
      </c>
    </row>
    <row r="922" spans="1:5">
      <c r="A922" s="136">
        <v>43067</v>
      </c>
      <c r="B922" s="79">
        <v>5390.4799800000001</v>
      </c>
      <c r="C922" s="79">
        <v>42.244118</v>
      </c>
      <c r="D922" s="79">
        <f t="shared" si="28"/>
        <v>5.6697064572561739E-3</v>
      </c>
      <c r="E922" s="79">
        <f t="shared" si="29"/>
        <v>3.9343068899113653E-3</v>
      </c>
    </row>
    <row r="923" spans="1:5">
      <c r="A923" s="136">
        <v>43066</v>
      </c>
      <c r="B923" s="79">
        <v>5360.0898440000001</v>
      </c>
      <c r="C923" s="79">
        <v>42.078567999999997</v>
      </c>
      <c r="D923" s="79">
        <f t="shared" si="28"/>
        <v>-5.6340492684719967E-3</v>
      </c>
      <c r="E923" s="79">
        <f t="shared" si="29"/>
        <v>-7.9089184125145096E-3</v>
      </c>
    </row>
    <row r="924" spans="1:5">
      <c r="A924" s="136">
        <v>43063</v>
      </c>
      <c r="B924" s="79">
        <v>5390.4599609999996</v>
      </c>
      <c r="C924" s="79">
        <v>42.414017000000001</v>
      </c>
      <c r="D924" s="79">
        <f t="shared" si="28"/>
        <v>2.0298988242177796E-3</v>
      </c>
      <c r="E924" s="79">
        <f t="shared" si="29"/>
        <v>-8.856793628008397E-3</v>
      </c>
    </row>
    <row r="925" spans="1:5">
      <c r="A925" s="136">
        <v>43062</v>
      </c>
      <c r="B925" s="79">
        <v>5379.5400390000004</v>
      </c>
      <c r="C925" s="79">
        <v>42.793025999999998</v>
      </c>
      <c r="D925" s="79">
        <f t="shared" si="28"/>
        <v>5.0030776965006574E-3</v>
      </c>
      <c r="E925" s="79">
        <f t="shared" si="29"/>
        <v>1.5297161494881362E-2</v>
      </c>
    </row>
    <row r="926" spans="1:5">
      <c r="A926" s="136">
        <v>43061</v>
      </c>
      <c r="B926" s="79">
        <v>5352.7597660000001</v>
      </c>
      <c r="C926" s="79">
        <v>42.148277</v>
      </c>
      <c r="D926" s="79">
        <f t="shared" si="28"/>
        <v>-2.4952966735068971E-3</v>
      </c>
      <c r="E926" s="79">
        <f t="shared" si="29"/>
        <v>-3.0997587221248679E-4</v>
      </c>
    </row>
    <row r="927" spans="1:5">
      <c r="A927" s="136">
        <v>43060</v>
      </c>
      <c r="B927" s="79">
        <v>5366.1499020000001</v>
      </c>
      <c r="C927" s="79">
        <v>42.161346000000002</v>
      </c>
      <c r="D927" s="79">
        <f t="shared" si="28"/>
        <v>4.8122735090874169E-3</v>
      </c>
      <c r="E927" s="79">
        <f t="shared" si="29"/>
        <v>-3.6034090044340106E-3</v>
      </c>
    </row>
    <row r="928" spans="1:5">
      <c r="A928" s="136">
        <v>43059</v>
      </c>
      <c r="B928" s="79">
        <v>5340.4501950000003</v>
      </c>
      <c r="C928" s="79">
        <v>42.31382</v>
      </c>
      <c r="D928" s="79">
        <f t="shared" si="28"/>
        <v>4.0006755399908389E-3</v>
      </c>
      <c r="E928" s="79">
        <f t="shared" si="29"/>
        <v>1.5473083141210431E-2</v>
      </c>
    </row>
    <row r="929" spans="1:5">
      <c r="A929" s="136">
        <v>43056</v>
      </c>
      <c r="B929" s="79">
        <v>5319.169922</v>
      </c>
      <c r="C929" s="79">
        <v>41.669071000000002</v>
      </c>
      <c r="D929" s="79">
        <f t="shared" si="28"/>
        <v>-3.2269407891681867E-3</v>
      </c>
      <c r="E929" s="79">
        <f t="shared" si="29"/>
        <v>-1.0244236171203958E-2</v>
      </c>
    </row>
    <row r="930" spans="1:5">
      <c r="A930" s="136">
        <v>43055</v>
      </c>
      <c r="B930" s="79">
        <v>5336.3901370000003</v>
      </c>
      <c r="C930" s="79">
        <v>42.100357000000002</v>
      </c>
      <c r="D930" s="79">
        <f t="shared" si="28"/>
        <v>6.6286511671775905E-3</v>
      </c>
      <c r="E930" s="79">
        <f t="shared" si="29"/>
        <v>9.7168715543103357E-3</v>
      </c>
    </row>
    <row r="931" spans="1:5">
      <c r="A931" s="136">
        <v>43054</v>
      </c>
      <c r="B931" s="79">
        <v>5301.25</v>
      </c>
      <c r="C931" s="79">
        <v>41.695210000000003</v>
      </c>
      <c r="D931" s="79">
        <f t="shared" si="28"/>
        <v>-2.6958634410022553E-3</v>
      </c>
      <c r="E931" s="79">
        <f t="shared" si="29"/>
        <v>-5.0935042752010551E-3</v>
      </c>
    </row>
    <row r="932" spans="1:5">
      <c r="A932" s="136">
        <v>43053</v>
      </c>
      <c r="B932" s="79">
        <v>5315.580078</v>
      </c>
      <c r="C932" s="79">
        <v>41.908672000000003</v>
      </c>
      <c r="D932" s="79">
        <f t="shared" si="28"/>
        <v>-4.8767521469251784E-3</v>
      </c>
      <c r="E932" s="79">
        <f t="shared" si="29"/>
        <v>-5.1706180519374145E-3</v>
      </c>
    </row>
    <row r="933" spans="1:5">
      <c r="A933" s="136">
        <v>43052</v>
      </c>
      <c r="B933" s="79">
        <v>5341.6298829999996</v>
      </c>
      <c r="C933" s="79">
        <v>42.126491999999999</v>
      </c>
      <c r="D933" s="79">
        <f t="shared" si="28"/>
        <v>-7.2648884234916E-3</v>
      </c>
      <c r="E933" s="79">
        <f t="shared" si="29"/>
        <v>-4.7345081279184242E-3</v>
      </c>
    </row>
    <row r="934" spans="1:5">
      <c r="A934" s="136">
        <v>43049</v>
      </c>
      <c r="B934" s="79">
        <v>5380.7202150000003</v>
      </c>
      <c r="C934" s="79">
        <v>42.326889000000001</v>
      </c>
      <c r="D934" s="79">
        <f t="shared" si="28"/>
        <v>-4.9983421940732464E-3</v>
      </c>
      <c r="E934" s="79">
        <f t="shared" si="29"/>
        <v>0</v>
      </c>
    </row>
    <row r="935" spans="1:5">
      <c r="A935" s="136">
        <v>43048</v>
      </c>
      <c r="B935" s="79">
        <v>5407.75</v>
      </c>
      <c r="C935" s="79">
        <v>42.326889000000001</v>
      </c>
      <c r="D935" s="79">
        <f t="shared" si="28"/>
        <v>-1.1638671051552141E-2</v>
      </c>
      <c r="E935" s="79">
        <f t="shared" si="29"/>
        <v>-1.669869619485298E-2</v>
      </c>
    </row>
    <row r="936" spans="1:5">
      <c r="A936" s="136">
        <v>43047</v>
      </c>
      <c r="B936" s="79">
        <v>5471.4301759999998</v>
      </c>
      <c r="C936" s="79">
        <v>43.045696</v>
      </c>
      <c r="D936" s="79">
        <f t="shared" si="28"/>
        <v>-1.6804535181618174E-3</v>
      </c>
      <c r="E936" s="79">
        <f t="shared" si="29"/>
        <v>6.7244457205619668E-3</v>
      </c>
    </row>
    <row r="937" spans="1:5">
      <c r="A937" s="136">
        <v>43046</v>
      </c>
      <c r="B937" s="79">
        <v>5480.6401370000003</v>
      </c>
      <c r="C937" s="79">
        <v>42.758170999999997</v>
      </c>
      <c r="D937" s="79">
        <f t="shared" si="28"/>
        <v>-4.8317877343501126E-3</v>
      </c>
      <c r="E937" s="79">
        <f t="shared" si="29"/>
        <v>-5.471813677175752E-3</v>
      </c>
    </row>
    <row r="938" spans="1:5">
      <c r="A938" s="136">
        <v>43045</v>
      </c>
      <c r="B938" s="79">
        <v>5507.25</v>
      </c>
      <c r="C938" s="79">
        <v>42.993423</v>
      </c>
      <c r="D938" s="79">
        <f t="shared" si="28"/>
        <v>-1.9427823243515219E-3</v>
      </c>
      <c r="E938" s="79">
        <f t="shared" si="29"/>
        <v>-9.6336613529147685E-3</v>
      </c>
    </row>
    <row r="939" spans="1:5">
      <c r="A939" s="136">
        <v>43042</v>
      </c>
      <c r="B939" s="79">
        <v>5517.9702150000003</v>
      </c>
      <c r="C939" s="79">
        <v>43.411636000000001</v>
      </c>
      <c r="D939" s="79">
        <f t="shared" si="28"/>
        <v>1.3556328826784814E-3</v>
      </c>
      <c r="E939" s="79">
        <f t="shared" si="29"/>
        <v>-3.4002490831558374E-3</v>
      </c>
    </row>
    <row r="940" spans="1:5">
      <c r="A940" s="136">
        <v>43041</v>
      </c>
      <c r="B940" s="79">
        <v>5510.5</v>
      </c>
      <c r="C940" s="79">
        <v>43.559750000000001</v>
      </c>
      <c r="D940" s="79">
        <f t="shared" si="28"/>
        <v>-6.8731223297924249E-4</v>
      </c>
      <c r="E940" s="79">
        <f t="shared" si="29"/>
        <v>-6.656194233122692E-3</v>
      </c>
    </row>
    <row r="941" spans="1:5">
      <c r="A941" s="136">
        <v>43040</v>
      </c>
      <c r="B941" s="79">
        <v>5514.2900390000004</v>
      </c>
      <c r="C941" s="79">
        <v>43.851635000000002</v>
      </c>
      <c r="D941" s="79">
        <f t="shared" si="28"/>
        <v>1.9988043374139508E-3</v>
      </c>
      <c r="E941" s="79">
        <f t="shared" si="29"/>
        <v>-5.9570024212474149E-4</v>
      </c>
    </row>
    <row r="942" spans="1:5">
      <c r="A942" s="136">
        <v>43039</v>
      </c>
      <c r="B942" s="79">
        <v>5503.2900390000004</v>
      </c>
      <c r="C942" s="79">
        <v>43.877772999999998</v>
      </c>
      <c r="D942" s="79">
        <f t="shared" si="28"/>
        <v>1.7584286174601171E-3</v>
      </c>
      <c r="E942" s="79">
        <f t="shared" si="29"/>
        <v>-7.6847724010192797E-3</v>
      </c>
    </row>
    <row r="943" spans="1:5">
      <c r="A943" s="136">
        <v>43038</v>
      </c>
      <c r="B943" s="79">
        <v>5493.6298829999996</v>
      </c>
      <c r="C943" s="79">
        <v>44.217574999999997</v>
      </c>
      <c r="D943" s="79">
        <f t="shared" si="28"/>
        <v>-9.100622130309155E-5</v>
      </c>
      <c r="E943" s="79">
        <f t="shared" si="29"/>
        <v>-1.9663830210321365E-3</v>
      </c>
    </row>
    <row r="944" spans="1:5">
      <c r="A944" s="136">
        <v>43035</v>
      </c>
      <c r="B944" s="79">
        <v>5494.1298829999996</v>
      </c>
      <c r="C944" s="79">
        <v>44.304695000000002</v>
      </c>
      <c r="D944" s="79">
        <f t="shared" si="28"/>
        <v>7.0993844073283796E-3</v>
      </c>
      <c r="E944" s="79">
        <f t="shared" si="29"/>
        <v>-1.0122668552492109E-2</v>
      </c>
    </row>
    <row r="945" spans="1:5">
      <c r="A945" s="136">
        <v>43034</v>
      </c>
      <c r="B945" s="79">
        <v>5455.3999020000001</v>
      </c>
      <c r="C945" s="79">
        <v>44.757762999999997</v>
      </c>
      <c r="D945" s="79">
        <f t="shared" si="28"/>
        <v>1.4978867092702464E-2</v>
      </c>
      <c r="E945" s="79">
        <f t="shared" si="29"/>
        <v>1.682483937351642E-2</v>
      </c>
    </row>
    <row r="946" spans="1:5">
      <c r="A946" s="136">
        <v>43033</v>
      </c>
      <c r="B946" s="79">
        <v>5374.8901370000003</v>
      </c>
      <c r="C946" s="79">
        <v>44.017181000000001</v>
      </c>
      <c r="D946" s="79">
        <f t="shared" si="28"/>
        <v>-3.6905295320777132E-3</v>
      </c>
      <c r="E946" s="79">
        <f t="shared" si="29"/>
        <v>-7.2703721413835964E-3</v>
      </c>
    </row>
    <row r="947" spans="1:5">
      <c r="A947" s="136">
        <v>43032</v>
      </c>
      <c r="B947" s="79">
        <v>5394.7998049999997</v>
      </c>
      <c r="C947" s="79">
        <v>44.339545999999999</v>
      </c>
      <c r="D947" s="79">
        <f t="shared" si="28"/>
        <v>1.4832054430153896E-3</v>
      </c>
      <c r="E947" s="79">
        <f t="shared" si="29"/>
        <v>5.8966341028643399E-4</v>
      </c>
    </row>
    <row r="948" spans="1:5">
      <c r="A948" s="136">
        <v>43031</v>
      </c>
      <c r="B948" s="79">
        <v>5386.8100590000004</v>
      </c>
      <c r="C948" s="79">
        <v>44.313415999999997</v>
      </c>
      <c r="D948" s="79">
        <f t="shared" si="28"/>
        <v>2.6859932309817314E-3</v>
      </c>
      <c r="E948" s="79">
        <f t="shared" si="29"/>
        <v>5.9335972924197122E-3</v>
      </c>
    </row>
    <row r="949" spans="1:5">
      <c r="A949" s="136">
        <v>43028</v>
      </c>
      <c r="B949" s="79">
        <v>5372.3798829999996</v>
      </c>
      <c r="C949" s="79">
        <v>44.052028999999997</v>
      </c>
      <c r="D949" s="79">
        <f t="shared" si="28"/>
        <v>7.6185227889835616E-4</v>
      </c>
      <c r="E949" s="79">
        <f t="shared" si="29"/>
        <v>3.5729195416489556E-3</v>
      </c>
    </row>
    <row r="950" spans="1:5">
      <c r="A950" s="136">
        <v>43027</v>
      </c>
      <c r="B950" s="79">
        <v>5368.2900390000004</v>
      </c>
      <c r="C950" s="79">
        <v>43.895195000000001</v>
      </c>
      <c r="D950" s="79">
        <f t="shared" si="28"/>
        <v>-2.8827205696188019E-3</v>
      </c>
      <c r="E950" s="79">
        <f t="shared" si="29"/>
        <v>4.1858315007223812E-3</v>
      </c>
    </row>
    <row r="951" spans="1:5">
      <c r="A951" s="136">
        <v>43026</v>
      </c>
      <c r="B951" s="79">
        <v>5383.8100590000004</v>
      </c>
      <c r="C951" s="79">
        <v>43.712223000000002</v>
      </c>
      <c r="D951" s="79">
        <f t="shared" si="28"/>
        <v>4.1854864540775694E-3</v>
      </c>
      <c r="E951" s="79">
        <f t="shared" si="29"/>
        <v>-5.3529586411704688E-3</v>
      </c>
    </row>
    <row r="952" spans="1:5">
      <c r="A952" s="136">
        <v>43025</v>
      </c>
      <c r="B952" s="79">
        <v>5361.3701170000004</v>
      </c>
      <c r="C952" s="79">
        <v>43.947471999999998</v>
      </c>
      <c r="D952" s="79">
        <f t="shared" si="28"/>
        <v>-2.8152150205440485E-4</v>
      </c>
      <c r="E952" s="79">
        <f t="shared" si="29"/>
        <v>2.7832887128045325E-3</v>
      </c>
    </row>
    <row r="953" spans="1:5">
      <c r="A953" s="136">
        <v>43024</v>
      </c>
      <c r="B953" s="79">
        <v>5362.8798829999996</v>
      </c>
      <c r="C953" s="79">
        <v>43.825493000000002</v>
      </c>
      <c r="D953" s="79">
        <f t="shared" si="28"/>
        <v>2.0815003182008684E-3</v>
      </c>
      <c r="E953" s="79">
        <f t="shared" si="29"/>
        <v>1.9919352731236906E-3</v>
      </c>
    </row>
    <row r="954" spans="1:5">
      <c r="A954" s="136">
        <v>43021</v>
      </c>
      <c r="B954" s="79">
        <v>5351.7402339999999</v>
      </c>
      <c r="C954" s="79">
        <v>43.738368999999999</v>
      </c>
      <c r="D954" s="79">
        <f t="shared" si="28"/>
        <v>-1.6918758359613095E-3</v>
      </c>
      <c r="E954" s="79">
        <f t="shared" si="29"/>
        <v>2.7967241485802319E-3</v>
      </c>
    </row>
    <row r="955" spans="1:5">
      <c r="A955" s="136">
        <v>43020</v>
      </c>
      <c r="B955" s="79">
        <v>5360.8100590000004</v>
      </c>
      <c r="C955" s="79">
        <v>43.616385999999999</v>
      </c>
      <c r="D955" s="79">
        <f t="shared" si="28"/>
        <v>-2.9839138623311001E-4</v>
      </c>
      <c r="E955" s="79">
        <f t="shared" si="29"/>
        <v>1.2540454191968697E-2</v>
      </c>
    </row>
    <row r="956" spans="1:5">
      <c r="A956" s="136">
        <v>43019</v>
      </c>
      <c r="B956" s="79">
        <v>5362.4101559999999</v>
      </c>
      <c r="C956" s="79">
        <v>43.076191000000001</v>
      </c>
      <c r="D956" s="79">
        <f t="shared" si="28"/>
        <v>-2.3113850132872038E-4</v>
      </c>
      <c r="E956" s="79">
        <f t="shared" si="29"/>
        <v>-2.119270959114683E-3</v>
      </c>
    </row>
    <row r="957" spans="1:5">
      <c r="A957" s="136">
        <v>43018</v>
      </c>
      <c r="B957" s="79">
        <v>5363.6499020000001</v>
      </c>
      <c r="C957" s="79">
        <v>43.167675000000003</v>
      </c>
      <c r="D957" s="79">
        <f t="shared" si="28"/>
        <v>-4.0630731281232624E-4</v>
      </c>
      <c r="E957" s="79">
        <f t="shared" si="29"/>
        <v>7.0121399670632911E-3</v>
      </c>
    </row>
    <row r="958" spans="1:5">
      <c r="A958" s="136">
        <v>43017</v>
      </c>
      <c r="B958" s="79">
        <v>5365.830078</v>
      </c>
      <c r="C958" s="79">
        <v>42.867085000000003</v>
      </c>
      <c r="D958" s="79">
        <f t="shared" si="28"/>
        <v>1.1063967813629283E-3</v>
      </c>
      <c r="E958" s="79">
        <f t="shared" si="29"/>
        <v>-4.0632386845496082E-4</v>
      </c>
    </row>
    <row r="959" spans="1:5">
      <c r="A959" s="136">
        <v>43014</v>
      </c>
      <c r="B959" s="79">
        <v>5359.8999020000001</v>
      </c>
      <c r="C959" s="79">
        <v>42.884509999999999</v>
      </c>
      <c r="D959" s="79">
        <f t="shared" si="28"/>
        <v>-3.5897574439369695E-3</v>
      </c>
      <c r="E959" s="79">
        <f t="shared" si="29"/>
        <v>-1.5008990657832899E-2</v>
      </c>
    </row>
    <row r="960" spans="1:5">
      <c r="A960" s="136">
        <v>43013</v>
      </c>
      <c r="B960" s="79">
        <v>5379.2099609999996</v>
      </c>
      <c r="C960" s="79">
        <v>43.537970999999999</v>
      </c>
      <c r="D960" s="79">
        <f t="shared" si="28"/>
        <v>2.9795442409872308E-3</v>
      </c>
      <c r="E960" s="79">
        <f t="shared" si="29"/>
        <v>-4.3832503663591149E-3</v>
      </c>
    </row>
    <row r="961" spans="1:5">
      <c r="A961" s="136">
        <v>43012</v>
      </c>
      <c r="B961" s="79">
        <v>5363.2299800000001</v>
      </c>
      <c r="C961" s="79">
        <v>43.729649000000002</v>
      </c>
      <c r="D961" s="79">
        <f t="shared" si="28"/>
        <v>-7.7880688796005959E-4</v>
      </c>
      <c r="E961" s="79">
        <f t="shared" si="29"/>
        <v>-2.3853515869306507E-3</v>
      </c>
    </row>
    <row r="962" spans="1:5">
      <c r="A962" s="136">
        <v>43011</v>
      </c>
      <c r="B962" s="79">
        <v>5367.4101559999999</v>
      </c>
      <c r="C962" s="79">
        <v>43.834209000000001</v>
      </c>
      <c r="D962" s="79">
        <f t="shared" si="28"/>
        <v>3.1717419851700068E-3</v>
      </c>
      <c r="E962" s="79">
        <f t="shared" si="29"/>
        <v>5.9664804688619455E-4</v>
      </c>
    </row>
    <row r="963" spans="1:5">
      <c r="A963" s="136">
        <v>43010</v>
      </c>
      <c r="B963" s="79">
        <v>5350.4399409999996</v>
      </c>
      <c r="C963" s="79">
        <v>43.808070999999998</v>
      </c>
      <c r="D963" s="79">
        <f t="shared" si="28"/>
        <v>3.8706598868685216E-3</v>
      </c>
      <c r="E963" s="79">
        <f t="shared" si="29"/>
        <v>-2.7764826630487516E-3</v>
      </c>
    </row>
    <row r="964" spans="1:5">
      <c r="A964" s="136">
        <v>43007</v>
      </c>
      <c r="B964" s="79">
        <v>5329.8100590000004</v>
      </c>
      <c r="C964" s="79">
        <v>43.930042</v>
      </c>
      <c r="D964" s="79">
        <f t="shared" si="28"/>
        <v>6.8080099558236462E-3</v>
      </c>
      <c r="E964" s="79">
        <f t="shared" si="29"/>
        <v>5.5842261366083612E-3</v>
      </c>
    </row>
    <row r="965" spans="1:5">
      <c r="A965" s="136">
        <v>43006</v>
      </c>
      <c r="B965" s="79">
        <v>5293.7700199999999</v>
      </c>
      <c r="C965" s="79">
        <v>43.686089000000003</v>
      </c>
      <c r="D965" s="79">
        <f t="shared" ref="D965:D1028" si="30">B965/B966-1</f>
        <v>2.2359236130529148E-3</v>
      </c>
      <c r="E965" s="79">
        <f t="shared" ref="E965:E1028" si="31">C965/C966-1</f>
        <v>1.3133980005220369E-2</v>
      </c>
    </row>
    <row r="966" spans="1:5">
      <c r="A966" s="136">
        <v>43005</v>
      </c>
      <c r="B966" s="79">
        <v>5281.9599609999996</v>
      </c>
      <c r="C966" s="79">
        <v>43.119754999999998</v>
      </c>
      <c r="D966" s="79">
        <f t="shared" si="30"/>
        <v>2.5053704450868075E-3</v>
      </c>
      <c r="E966" s="79">
        <f t="shared" si="31"/>
        <v>-1.4124119769682864E-3</v>
      </c>
    </row>
    <row r="967" spans="1:5">
      <c r="A967" s="136">
        <v>43004</v>
      </c>
      <c r="B967" s="79">
        <v>5268.7597660000001</v>
      </c>
      <c r="C967" s="79">
        <v>43.180743999999997</v>
      </c>
      <c r="D967" s="79">
        <f t="shared" si="30"/>
        <v>3.0944423931167364E-4</v>
      </c>
      <c r="E967" s="79">
        <f t="shared" si="31"/>
        <v>-1.0078588186999138E-3</v>
      </c>
    </row>
    <row r="968" spans="1:5">
      <c r="A968" s="136">
        <v>43003</v>
      </c>
      <c r="B968" s="79">
        <v>5267.1298829999996</v>
      </c>
      <c r="C968" s="79">
        <v>43.224308000000001</v>
      </c>
      <c r="D968" s="79">
        <f t="shared" si="30"/>
        <v>-2.6811926433568667E-3</v>
      </c>
      <c r="E968" s="79">
        <f t="shared" si="31"/>
        <v>-2.8141508116577008E-3</v>
      </c>
    </row>
    <row r="969" spans="1:5">
      <c r="A969" s="136">
        <v>43000</v>
      </c>
      <c r="B969" s="79">
        <v>5281.2900390000004</v>
      </c>
      <c r="C969" s="79">
        <v>43.346291000000001</v>
      </c>
      <c r="D969" s="79">
        <f t="shared" si="30"/>
        <v>2.6579132526103333E-3</v>
      </c>
      <c r="E969" s="79">
        <f t="shared" si="31"/>
        <v>1.2075804481959107E-3</v>
      </c>
    </row>
    <row r="970" spans="1:5">
      <c r="A970" s="136">
        <v>42999</v>
      </c>
      <c r="B970" s="79">
        <v>5267.2900390000004</v>
      </c>
      <c r="C970" s="79">
        <v>43.29401</v>
      </c>
      <c r="D970" s="79">
        <f t="shared" si="30"/>
        <v>4.8896498890074191E-3</v>
      </c>
      <c r="E970" s="79">
        <f t="shared" si="31"/>
        <v>6.1759162946612989E-3</v>
      </c>
    </row>
    <row r="971" spans="1:5">
      <c r="A971" s="136">
        <v>42998</v>
      </c>
      <c r="B971" s="79">
        <v>5241.6601559999999</v>
      </c>
      <c r="C971" s="79">
        <v>43.028270999999997</v>
      </c>
      <c r="D971" s="79">
        <f t="shared" si="30"/>
        <v>8.0577821369631764E-4</v>
      </c>
      <c r="E971" s="79">
        <f t="shared" si="31"/>
        <v>1.6224701323870327E-3</v>
      </c>
    </row>
    <row r="972" spans="1:5">
      <c r="A972" s="136">
        <v>42997</v>
      </c>
      <c r="B972" s="79">
        <v>5237.4399409999996</v>
      </c>
      <c r="C972" s="79">
        <v>42.958571999999997</v>
      </c>
      <c r="D972" s="79">
        <f t="shared" si="30"/>
        <v>1.5528055795577256E-3</v>
      </c>
      <c r="E972" s="79">
        <f t="shared" si="31"/>
        <v>-1.2154375283316421E-3</v>
      </c>
    </row>
    <row r="973" spans="1:5">
      <c r="A973" s="136">
        <v>42996</v>
      </c>
      <c r="B973" s="79">
        <v>5229.3198240000002</v>
      </c>
      <c r="C973" s="79">
        <v>43.010849</v>
      </c>
      <c r="D973" s="79">
        <f t="shared" si="30"/>
        <v>2.9554916634433326E-3</v>
      </c>
      <c r="E973" s="79">
        <f t="shared" si="31"/>
        <v>5.0901518392272305E-3</v>
      </c>
    </row>
    <row r="974" spans="1:5">
      <c r="A974" s="136">
        <v>42993</v>
      </c>
      <c r="B974" s="79">
        <v>5213.9101559999999</v>
      </c>
      <c r="C974" s="79">
        <v>42.793025999999998</v>
      </c>
      <c r="D974" s="79">
        <f t="shared" si="30"/>
        <v>-2.1606902278699103E-3</v>
      </c>
      <c r="E974" s="79">
        <f t="shared" si="31"/>
        <v>-2.5385800771322575E-3</v>
      </c>
    </row>
    <row r="975" spans="1:5">
      <c r="A975" s="136">
        <v>42992</v>
      </c>
      <c r="B975" s="79">
        <v>5225.2001950000003</v>
      </c>
      <c r="C975" s="79">
        <v>42.901935999999999</v>
      </c>
      <c r="D975" s="79">
        <f t="shared" si="30"/>
        <v>1.4585951037817679E-3</v>
      </c>
      <c r="E975" s="79">
        <f t="shared" si="31"/>
        <v>9.7407340521531438E-3</v>
      </c>
    </row>
    <row r="976" spans="1:5">
      <c r="A976" s="136">
        <v>42991</v>
      </c>
      <c r="B976" s="79">
        <v>5217.5898440000001</v>
      </c>
      <c r="C976" s="79">
        <v>42.488070999999998</v>
      </c>
      <c r="D976" s="79">
        <f t="shared" si="30"/>
        <v>1.6471610508399515E-3</v>
      </c>
      <c r="E976" s="79">
        <f t="shared" si="31"/>
        <v>1.7459794011021046E-3</v>
      </c>
    </row>
    <row r="977" spans="1:5">
      <c r="A977" s="136">
        <v>42990</v>
      </c>
      <c r="B977" s="79">
        <v>5209.0097660000001</v>
      </c>
      <c r="C977" s="79">
        <v>42.414017000000001</v>
      </c>
      <c r="D977" s="79">
        <f t="shared" si="30"/>
        <v>6.2394465294248747E-3</v>
      </c>
      <c r="E977" s="79">
        <f t="shared" si="31"/>
        <v>1.7026958085432975E-2</v>
      </c>
    </row>
    <row r="978" spans="1:5">
      <c r="A978" s="136">
        <v>42989</v>
      </c>
      <c r="B978" s="79">
        <v>5176.7099609999996</v>
      </c>
      <c r="C978" s="79">
        <v>41.703926000000003</v>
      </c>
      <c r="D978" s="79">
        <f t="shared" si="30"/>
        <v>1.2363322135563459E-2</v>
      </c>
      <c r="E978" s="79">
        <f t="shared" si="31"/>
        <v>2.0249458089370176E-2</v>
      </c>
    </row>
    <row r="979" spans="1:5">
      <c r="A979" s="136">
        <v>42986</v>
      </c>
      <c r="B979" s="79">
        <v>5113.4902339999999</v>
      </c>
      <c r="C979" s="79">
        <v>40.876204999999999</v>
      </c>
      <c r="D979" s="79">
        <f t="shared" si="30"/>
        <v>-2.2091239899613146E-4</v>
      </c>
      <c r="E979" s="79">
        <f t="shared" si="31"/>
        <v>-2.4452366510852031E-3</v>
      </c>
    </row>
    <row r="980" spans="1:5">
      <c r="A980" s="136">
        <v>42985</v>
      </c>
      <c r="B980" s="79">
        <v>5114.6201170000004</v>
      </c>
      <c r="C980" s="79">
        <v>40.976402</v>
      </c>
      <c r="D980" s="79">
        <f t="shared" si="30"/>
        <v>2.5894724391968271E-3</v>
      </c>
      <c r="E980" s="79">
        <f t="shared" si="31"/>
        <v>1.2050809609241098E-2</v>
      </c>
    </row>
    <row r="981" spans="1:5">
      <c r="A981" s="136">
        <v>42984</v>
      </c>
      <c r="B981" s="79">
        <v>5101.4101559999999</v>
      </c>
      <c r="C981" s="79">
        <v>40.488483000000002</v>
      </c>
      <c r="D981" s="79">
        <f t="shared" si="30"/>
        <v>2.9194773732641455E-3</v>
      </c>
      <c r="E981" s="79">
        <f t="shared" si="31"/>
        <v>-2.2545112218044228E-3</v>
      </c>
    </row>
    <row r="982" spans="1:5">
      <c r="A982" s="136">
        <v>42983</v>
      </c>
      <c r="B982" s="79">
        <v>5086.5600590000004</v>
      </c>
      <c r="C982" s="79">
        <v>40.579971</v>
      </c>
      <c r="D982" s="79">
        <f t="shared" si="30"/>
        <v>-3.4111006268872091E-3</v>
      </c>
      <c r="E982" s="79">
        <f t="shared" si="31"/>
        <v>9.6729819246577087E-4</v>
      </c>
    </row>
    <row r="983" spans="1:5">
      <c r="A983" s="136">
        <v>42982</v>
      </c>
      <c r="B983" s="79">
        <v>5103.9702150000003</v>
      </c>
      <c r="C983" s="79">
        <v>40.540756000000002</v>
      </c>
      <c r="D983" s="79">
        <f t="shared" si="30"/>
        <v>-3.7650932962667305E-3</v>
      </c>
      <c r="E983" s="79">
        <f t="shared" si="31"/>
        <v>-3.1066639994816736E-3</v>
      </c>
    </row>
    <row r="984" spans="1:5">
      <c r="A984" s="136">
        <v>42979</v>
      </c>
      <c r="B984" s="79">
        <v>5123.2597660000001</v>
      </c>
      <c r="C984" s="79">
        <v>40.667095000000003</v>
      </c>
      <c r="D984" s="79">
        <f t="shared" si="30"/>
        <v>7.407188380408547E-3</v>
      </c>
      <c r="E984" s="79">
        <f t="shared" si="31"/>
        <v>1.3022264043548004E-2</v>
      </c>
    </row>
    <row r="985" spans="1:5">
      <c r="A985" s="136">
        <v>42978</v>
      </c>
      <c r="B985" s="79">
        <v>5085.5898440000001</v>
      </c>
      <c r="C985" s="79">
        <v>40.144325000000002</v>
      </c>
      <c r="D985" s="79">
        <f t="shared" si="30"/>
        <v>5.7848168640619591E-3</v>
      </c>
      <c r="E985" s="79">
        <f t="shared" si="31"/>
        <v>9.0889411292967015E-3</v>
      </c>
    </row>
    <row r="986" spans="1:5">
      <c r="A986" s="136">
        <v>42977</v>
      </c>
      <c r="B986" s="79">
        <v>5056.3398440000001</v>
      </c>
      <c r="C986" s="79">
        <v>39.782741999999999</v>
      </c>
      <c r="D986" s="79">
        <f t="shared" si="30"/>
        <v>4.8530029051603307E-3</v>
      </c>
      <c r="E986" s="79">
        <f t="shared" si="31"/>
        <v>9.0607306668741838E-3</v>
      </c>
    </row>
    <row r="987" spans="1:5">
      <c r="A987" s="136">
        <v>42976</v>
      </c>
      <c r="B987" s="79">
        <v>5031.919922</v>
      </c>
      <c r="C987" s="79">
        <v>39.425517999999997</v>
      </c>
      <c r="D987" s="79">
        <f t="shared" si="30"/>
        <v>-9.4158330626507025E-3</v>
      </c>
      <c r="E987" s="79">
        <f t="shared" si="31"/>
        <v>-1.2655474354648311E-2</v>
      </c>
    </row>
    <row r="988" spans="1:5">
      <c r="A988" s="136">
        <v>42975</v>
      </c>
      <c r="B988" s="79">
        <v>5079.75</v>
      </c>
      <c r="C988" s="79">
        <v>39.930861999999998</v>
      </c>
      <c r="D988" s="79">
        <f t="shared" si="30"/>
        <v>-4.8155345803245764E-3</v>
      </c>
      <c r="E988" s="79">
        <f t="shared" si="31"/>
        <v>-2.6116124824371312E-3</v>
      </c>
    </row>
    <row r="989" spans="1:5">
      <c r="A989" s="136">
        <v>42972</v>
      </c>
      <c r="B989" s="79">
        <v>5104.330078</v>
      </c>
      <c r="C989" s="79">
        <v>40.035418999999997</v>
      </c>
      <c r="D989" s="79">
        <f t="shared" si="30"/>
        <v>-1.7210212142775294E-3</v>
      </c>
      <c r="E989" s="79">
        <f t="shared" si="31"/>
        <v>-1.7379078650261448E-3</v>
      </c>
    </row>
    <row r="990" spans="1:5">
      <c r="A990" s="136">
        <v>42971</v>
      </c>
      <c r="B990" s="79">
        <v>5113.1298829999996</v>
      </c>
      <c r="C990" s="79">
        <v>40.105117999999997</v>
      </c>
      <c r="D990" s="79">
        <f t="shared" si="30"/>
        <v>-4.4185368847082795E-4</v>
      </c>
      <c r="E990" s="79">
        <f t="shared" si="31"/>
        <v>-2.2759137700246734E-3</v>
      </c>
    </row>
    <row r="991" spans="1:5">
      <c r="A991" s="136">
        <v>42970</v>
      </c>
      <c r="B991" s="79">
        <v>5115.3901370000003</v>
      </c>
      <c r="C991" s="79">
        <v>40.196601999999999</v>
      </c>
      <c r="D991" s="79">
        <f t="shared" si="30"/>
        <v>-3.2093093809407724E-3</v>
      </c>
      <c r="E991" s="79">
        <f t="shared" si="31"/>
        <v>-6.8884286149611951E-3</v>
      </c>
    </row>
    <row r="992" spans="1:5">
      <c r="A992" s="136">
        <v>42969</v>
      </c>
      <c r="B992" s="79">
        <v>5131.8598629999997</v>
      </c>
      <c r="C992" s="79">
        <v>40.475414000000001</v>
      </c>
      <c r="D992" s="79">
        <f t="shared" si="30"/>
        <v>8.7015699687758019E-3</v>
      </c>
      <c r="E992" s="79">
        <f t="shared" si="31"/>
        <v>9.8913447870017102E-3</v>
      </c>
    </row>
    <row r="993" spans="1:5">
      <c r="A993" s="136">
        <v>42968</v>
      </c>
      <c r="B993" s="79">
        <v>5087.5898440000001</v>
      </c>
      <c r="C993" s="79">
        <v>40.078978999999997</v>
      </c>
      <c r="D993" s="79">
        <f t="shared" si="30"/>
        <v>-5.1934453445748874E-3</v>
      </c>
      <c r="E993" s="79">
        <f t="shared" si="31"/>
        <v>-6.6940809231359477E-3</v>
      </c>
    </row>
    <row r="994" spans="1:5">
      <c r="A994" s="136">
        <v>42965</v>
      </c>
      <c r="B994" s="79">
        <v>5114.1499020000001</v>
      </c>
      <c r="C994" s="79">
        <v>40.349079000000003</v>
      </c>
      <c r="D994" s="79">
        <f t="shared" si="30"/>
        <v>-6.3534385842530794E-3</v>
      </c>
      <c r="E994" s="79">
        <f t="shared" si="31"/>
        <v>-7.9262722166889565E-3</v>
      </c>
    </row>
    <row r="995" spans="1:5">
      <c r="A995" s="136">
        <v>42964</v>
      </c>
      <c r="B995" s="79">
        <v>5146.8500979999999</v>
      </c>
      <c r="C995" s="79">
        <v>40.671452000000002</v>
      </c>
      <c r="D995" s="79">
        <f t="shared" si="30"/>
        <v>-5.748890835430509E-3</v>
      </c>
      <c r="E995" s="79">
        <f t="shared" si="31"/>
        <v>-1.1958951141620378E-2</v>
      </c>
    </row>
    <row r="996" spans="1:5">
      <c r="A996" s="136">
        <v>42963</v>
      </c>
      <c r="B996" s="79">
        <v>5176.6098629999997</v>
      </c>
      <c r="C996" s="79">
        <v>41.163727000000002</v>
      </c>
      <c r="D996" s="79">
        <f t="shared" si="30"/>
        <v>7.0735592626816057E-3</v>
      </c>
      <c r="E996" s="79">
        <f t="shared" si="31"/>
        <v>8.0009072166282724E-3</v>
      </c>
    </row>
    <row r="997" spans="1:5">
      <c r="A997" s="136">
        <v>42962</v>
      </c>
      <c r="B997" s="79">
        <v>5140.25</v>
      </c>
      <c r="C997" s="79">
        <v>40.836993999999997</v>
      </c>
      <c r="D997" s="79">
        <f t="shared" si="30"/>
        <v>3.6277382734466457E-3</v>
      </c>
      <c r="E997" s="79">
        <f t="shared" si="31"/>
        <v>2.2452535260939488E-3</v>
      </c>
    </row>
    <row r="998" spans="1:5">
      <c r="A998" s="136">
        <v>42961</v>
      </c>
      <c r="B998" s="79">
        <v>5121.669922</v>
      </c>
      <c r="C998" s="79">
        <v>40.745510000000003</v>
      </c>
      <c r="D998" s="79">
        <f t="shared" si="30"/>
        <v>1.2003746539422044E-2</v>
      </c>
      <c r="E998" s="79">
        <f t="shared" si="31"/>
        <v>1.6188608430107498E-2</v>
      </c>
    </row>
    <row r="999" spans="1:5">
      <c r="A999" s="136">
        <v>42958</v>
      </c>
      <c r="B999" s="79">
        <v>5060.919922</v>
      </c>
      <c r="C999" s="79">
        <v>40.096404999999997</v>
      </c>
      <c r="D999" s="79">
        <f t="shared" si="30"/>
        <v>-1.0617324775688775E-2</v>
      </c>
      <c r="E999" s="79">
        <f t="shared" si="31"/>
        <v>-1.6456501452193573E-2</v>
      </c>
    </row>
    <row r="1000" spans="1:5">
      <c r="A1000" s="136">
        <v>42957</v>
      </c>
      <c r="B1000" s="79">
        <v>5115.2299800000001</v>
      </c>
      <c r="C1000" s="79">
        <v>40.767291999999998</v>
      </c>
      <c r="D1000" s="79">
        <f t="shared" si="30"/>
        <v>-5.921490534875673E-3</v>
      </c>
      <c r="E1000" s="79">
        <f t="shared" si="31"/>
        <v>-1.1826845340822678E-2</v>
      </c>
    </row>
    <row r="1001" spans="1:5">
      <c r="A1001" s="136">
        <v>42956</v>
      </c>
      <c r="B1001" s="79">
        <v>5145.7001950000003</v>
      </c>
      <c r="C1001" s="79">
        <v>41.255211000000003</v>
      </c>
      <c r="D1001" s="79">
        <f t="shared" si="30"/>
        <v>-1.4024043441939971E-2</v>
      </c>
      <c r="E1001" s="79">
        <f t="shared" si="31"/>
        <v>-1.692097793641667E-2</v>
      </c>
    </row>
    <row r="1002" spans="1:5">
      <c r="A1002" s="136">
        <v>42955</v>
      </c>
      <c r="B1002" s="79">
        <v>5218.8901370000003</v>
      </c>
      <c r="C1002" s="79">
        <v>41.965305000000001</v>
      </c>
      <c r="D1002" s="79">
        <f t="shared" si="30"/>
        <v>2.1121797331800085E-3</v>
      </c>
      <c r="E1002" s="79">
        <f t="shared" si="31"/>
        <v>-4.9581485569969441E-3</v>
      </c>
    </row>
    <row r="1003" spans="1:5">
      <c r="A1003" s="136">
        <v>42954</v>
      </c>
      <c r="B1003" s="79">
        <v>5207.8901370000003</v>
      </c>
      <c r="C1003" s="79">
        <v>42.174411999999997</v>
      </c>
      <c r="D1003" s="79">
        <f t="shared" si="30"/>
        <v>8.5524115786084209E-4</v>
      </c>
      <c r="E1003" s="79">
        <f t="shared" si="31"/>
        <v>3.2124177711156943E-3</v>
      </c>
    </row>
    <row r="1004" spans="1:5">
      <c r="A1004" s="136">
        <v>42951</v>
      </c>
      <c r="B1004" s="79">
        <v>5203.4399409999996</v>
      </c>
      <c r="C1004" s="79">
        <v>42.039363999999999</v>
      </c>
      <c r="D1004" s="79">
        <f t="shared" si="30"/>
        <v>1.4218857004455243E-2</v>
      </c>
      <c r="E1004" s="79">
        <f t="shared" si="31"/>
        <v>1.2591832557362626E-2</v>
      </c>
    </row>
    <row r="1005" spans="1:5">
      <c r="A1005" s="136">
        <v>42950</v>
      </c>
      <c r="B1005" s="79">
        <v>5130.4902339999999</v>
      </c>
      <c r="C1005" s="79">
        <v>41.516593999999998</v>
      </c>
      <c r="D1005" s="79">
        <f t="shared" si="30"/>
        <v>4.5504398648978928E-3</v>
      </c>
      <c r="E1005" s="79">
        <f t="shared" si="31"/>
        <v>6.7610081385311993E-3</v>
      </c>
    </row>
    <row r="1006" spans="1:5">
      <c r="A1006" s="136">
        <v>42949</v>
      </c>
      <c r="B1006" s="79">
        <v>5107.25</v>
      </c>
      <c r="C1006" s="79">
        <v>41.237785000000002</v>
      </c>
      <c r="D1006" s="79">
        <f t="shared" si="30"/>
        <v>-3.8579422842186517E-3</v>
      </c>
      <c r="E1006" s="79">
        <f t="shared" si="31"/>
        <v>-3.2642673259267729E-3</v>
      </c>
    </row>
    <row r="1007" spans="1:5">
      <c r="A1007" s="136">
        <v>42948</v>
      </c>
      <c r="B1007" s="79">
        <v>5127.0297849999997</v>
      </c>
      <c r="C1007" s="79">
        <v>41.372836999999997</v>
      </c>
      <c r="D1007" s="79">
        <f t="shared" si="30"/>
        <v>6.5294987542448002E-3</v>
      </c>
      <c r="E1007" s="79">
        <f t="shared" si="31"/>
        <v>1.2689373634480638E-2</v>
      </c>
    </row>
    <row r="1008" spans="1:5">
      <c r="A1008" s="136">
        <v>42947</v>
      </c>
      <c r="B1008" s="79">
        <v>5093.7700199999999</v>
      </c>
      <c r="C1008" s="79">
        <v>40.854419999999998</v>
      </c>
      <c r="D1008" s="79">
        <f t="shared" si="30"/>
        <v>-7.3313694721318656E-3</v>
      </c>
      <c r="E1008" s="79">
        <f t="shared" si="31"/>
        <v>-1.0968156934843432E-2</v>
      </c>
    </row>
    <row r="1009" spans="1:5">
      <c r="A1009" s="136">
        <v>42944</v>
      </c>
      <c r="B1009" s="79">
        <v>5131.3901370000003</v>
      </c>
      <c r="C1009" s="79">
        <v>41.307487000000002</v>
      </c>
      <c r="D1009" s="79">
        <f t="shared" si="30"/>
        <v>-1.0711507901802753E-2</v>
      </c>
      <c r="E1009" s="79">
        <f t="shared" si="31"/>
        <v>1.4443025845975788E-2</v>
      </c>
    </row>
    <row r="1010" spans="1:5">
      <c r="A1010" s="136">
        <v>42943</v>
      </c>
      <c r="B1010" s="79">
        <v>5186.9501950000003</v>
      </c>
      <c r="C1010" s="79">
        <v>40.719375999999997</v>
      </c>
      <c r="D1010" s="79">
        <f t="shared" si="30"/>
        <v>-6.2035098048562887E-4</v>
      </c>
      <c r="E1010" s="79">
        <f t="shared" si="31"/>
        <v>-1.3925417231936854E-2</v>
      </c>
    </row>
    <row r="1011" spans="1:5">
      <c r="A1011" s="136">
        <v>42942</v>
      </c>
      <c r="B1011" s="79">
        <v>5190.169922</v>
      </c>
      <c r="C1011" s="79">
        <v>41.294418</v>
      </c>
      <c r="D1011" s="79">
        <f t="shared" si="30"/>
        <v>5.636386872585275E-3</v>
      </c>
      <c r="E1011" s="79">
        <f t="shared" si="31"/>
        <v>1.4556355610122473E-2</v>
      </c>
    </row>
    <row r="1012" spans="1:5">
      <c r="A1012" s="136">
        <v>42941</v>
      </c>
      <c r="B1012" s="79">
        <v>5161.080078</v>
      </c>
      <c r="C1012" s="79">
        <v>40.701946</v>
      </c>
      <c r="D1012" s="79">
        <f t="shared" si="30"/>
        <v>6.5097181447051344E-3</v>
      </c>
      <c r="E1012" s="79">
        <f t="shared" si="31"/>
        <v>-6.0638925307049396E-3</v>
      </c>
    </row>
    <row r="1013" spans="1:5">
      <c r="A1013" s="136">
        <v>42940</v>
      </c>
      <c r="B1013" s="79">
        <v>5127.7001950000003</v>
      </c>
      <c r="C1013" s="79">
        <v>40.950263999999997</v>
      </c>
      <c r="D1013" s="79">
        <f t="shared" si="30"/>
        <v>1.9618416803681704E-3</v>
      </c>
      <c r="E1013" s="79">
        <f t="shared" si="31"/>
        <v>8.0429492945848224E-3</v>
      </c>
    </row>
    <row r="1014" spans="1:5">
      <c r="A1014" s="136">
        <v>42937</v>
      </c>
      <c r="B1014" s="79">
        <v>5117.6601559999999</v>
      </c>
      <c r="C1014" s="79">
        <v>40.623531</v>
      </c>
      <c r="D1014" s="79">
        <f t="shared" si="30"/>
        <v>-1.5686979129042378E-2</v>
      </c>
      <c r="E1014" s="79">
        <f t="shared" si="31"/>
        <v>-1.9659452732278426E-2</v>
      </c>
    </row>
    <row r="1015" spans="1:5">
      <c r="A1015" s="136">
        <v>42936</v>
      </c>
      <c r="B1015" s="79">
        <v>5199.2202150000003</v>
      </c>
      <c r="C1015" s="79">
        <v>41.438183000000002</v>
      </c>
      <c r="D1015" s="79">
        <f t="shared" si="30"/>
        <v>-3.2303265808428794E-3</v>
      </c>
      <c r="E1015" s="79">
        <f t="shared" si="31"/>
        <v>3.0581786666312727E-3</v>
      </c>
    </row>
    <row r="1016" spans="1:5">
      <c r="A1016" s="136">
        <v>42935</v>
      </c>
      <c r="B1016" s="79">
        <v>5216.0698240000002</v>
      </c>
      <c r="C1016" s="79">
        <v>41.311844000000001</v>
      </c>
      <c r="D1016" s="79">
        <f t="shared" si="30"/>
        <v>8.2732592411636219E-3</v>
      </c>
      <c r="E1016" s="79">
        <f t="shared" si="31"/>
        <v>2.1104939584826177E-4</v>
      </c>
    </row>
    <row r="1017" spans="1:5">
      <c r="A1017" s="136">
        <v>42934</v>
      </c>
      <c r="B1017" s="79">
        <v>5173.2700199999999</v>
      </c>
      <c r="C1017" s="79">
        <v>41.303127000000003</v>
      </c>
      <c r="D1017" s="79">
        <f t="shared" si="30"/>
        <v>-1.087916890819518E-2</v>
      </c>
      <c r="E1017" s="79">
        <f t="shared" si="31"/>
        <v>-6.3262666149477287E-4</v>
      </c>
    </row>
    <row r="1018" spans="1:5">
      <c r="A1018" s="136">
        <v>42933</v>
      </c>
      <c r="B1018" s="79">
        <v>5230.169922</v>
      </c>
      <c r="C1018" s="79">
        <v>41.329273000000001</v>
      </c>
      <c r="D1018" s="79">
        <f t="shared" si="30"/>
        <v>-9.8182093172571872E-4</v>
      </c>
      <c r="E1018" s="79">
        <f t="shared" si="31"/>
        <v>-6.5969086569138691E-3</v>
      </c>
    </row>
    <row r="1019" spans="1:5">
      <c r="A1019" s="136">
        <v>42930</v>
      </c>
      <c r="B1019" s="79">
        <v>5235.3100590000004</v>
      </c>
      <c r="C1019" s="79">
        <v>41.603729000000001</v>
      </c>
      <c r="D1019" s="79">
        <f t="shared" si="30"/>
        <v>-1.7160675723215668E-5</v>
      </c>
      <c r="E1019" s="79">
        <f t="shared" si="31"/>
        <v>-5.8294750349235924E-3</v>
      </c>
    </row>
    <row r="1020" spans="1:5">
      <c r="A1020" s="136">
        <v>42929</v>
      </c>
      <c r="B1020" s="79">
        <v>5235.3999020000001</v>
      </c>
      <c r="C1020" s="79">
        <v>41.847678999999999</v>
      </c>
      <c r="D1020" s="79">
        <f t="shared" si="30"/>
        <v>2.5411123999805607E-3</v>
      </c>
      <c r="E1020" s="79">
        <f t="shared" si="31"/>
        <v>1.6682950762987314E-3</v>
      </c>
    </row>
    <row r="1021" spans="1:5">
      <c r="A1021" s="136">
        <v>42928</v>
      </c>
      <c r="B1021" s="79">
        <v>5222.1298829999996</v>
      </c>
      <c r="C1021" s="79">
        <v>41.777980999999997</v>
      </c>
      <c r="D1021" s="79">
        <f t="shared" si="30"/>
        <v>1.5859974214240014E-2</v>
      </c>
      <c r="E1021" s="79">
        <f t="shared" si="31"/>
        <v>2.4682176202443395E-2</v>
      </c>
    </row>
    <row r="1022" spans="1:5">
      <c r="A1022" s="136">
        <v>42927</v>
      </c>
      <c r="B1022" s="79">
        <v>5140.6000979999999</v>
      </c>
      <c r="C1022" s="79">
        <v>40.771647999999999</v>
      </c>
      <c r="D1022" s="79">
        <f t="shared" si="30"/>
        <v>-4.8474222624695917E-3</v>
      </c>
      <c r="E1022" s="79">
        <f t="shared" si="31"/>
        <v>-1.1303638156123119E-2</v>
      </c>
    </row>
    <row r="1023" spans="1:5">
      <c r="A1023" s="136">
        <v>42926</v>
      </c>
      <c r="B1023" s="79">
        <v>5165.6401370000003</v>
      </c>
      <c r="C1023" s="79">
        <v>41.237785000000002</v>
      </c>
      <c r="D1023" s="79">
        <f t="shared" si="30"/>
        <v>3.980436056226111E-3</v>
      </c>
      <c r="E1023" s="79">
        <f t="shared" si="31"/>
        <v>4.5632617865121183E-3</v>
      </c>
    </row>
    <row r="1024" spans="1:5">
      <c r="A1024" s="136">
        <v>42923</v>
      </c>
      <c r="B1024" s="79">
        <v>5145.1601559999999</v>
      </c>
      <c r="C1024" s="79">
        <v>41.050460999999999</v>
      </c>
      <c r="D1024" s="79">
        <f t="shared" si="30"/>
        <v>-1.4051211353354187E-3</v>
      </c>
      <c r="E1024" s="79">
        <f t="shared" si="31"/>
        <v>-1.6950808293245689E-3</v>
      </c>
    </row>
    <row r="1025" spans="1:5">
      <c r="A1025" s="136">
        <v>42922</v>
      </c>
      <c r="B1025" s="79">
        <v>5152.3999020000001</v>
      </c>
      <c r="C1025" s="79">
        <v>41.120162999999998</v>
      </c>
      <c r="D1025" s="79">
        <f t="shared" si="30"/>
        <v>-5.3474248520206658E-3</v>
      </c>
      <c r="E1025" s="79">
        <f t="shared" si="31"/>
        <v>-9.6527406378958958E-3</v>
      </c>
    </row>
    <row r="1026" spans="1:5">
      <c r="A1026" s="136">
        <v>42921</v>
      </c>
      <c r="B1026" s="79">
        <v>5180.1000979999999</v>
      </c>
      <c r="C1026" s="79">
        <v>41.520954000000003</v>
      </c>
      <c r="D1026" s="79">
        <f t="shared" si="30"/>
        <v>1.0048882294302341E-3</v>
      </c>
      <c r="E1026" s="79">
        <f t="shared" si="31"/>
        <v>9.5328148979501037E-3</v>
      </c>
    </row>
    <row r="1027" spans="1:5">
      <c r="A1027" s="136">
        <v>42920</v>
      </c>
      <c r="B1027" s="79">
        <v>5174.8999020000001</v>
      </c>
      <c r="C1027" s="79">
        <v>41.128880000000002</v>
      </c>
      <c r="D1027" s="79">
        <f t="shared" si="30"/>
        <v>-4.0072044179538802E-3</v>
      </c>
      <c r="E1027" s="79">
        <f t="shared" si="31"/>
        <v>-4.7437965816119476E-3</v>
      </c>
    </row>
    <row r="1028" spans="1:5">
      <c r="A1028" s="136">
        <v>42919</v>
      </c>
      <c r="B1028" s="79">
        <v>5195.7202150000003</v>
      </c>
      <c r="C1028" s="79">
        <v>41.324916999999999</v>
      </c>
      <c r="D1028" s="79">
        <f t="shared" si="30"/>
        <v>1.4654310837787454E-2</v>
      </c>
      <c r="E1028" s="79">
        <f t="shared" si="31"/>
        <v>1.3895039264743669E-2</v>
      </c>
    </row>
    <row r="1029" spans="1:5">
      <c r="A1029" s="136">
        <v>42916</v>
      </c>
      <c r="B1029" s="79">
        <v>5120.6801759999998</v>
      </c>
      <c r="C1029" s="79">
        <v>40.758575</v>
      </c>
      <c r="D1029" s="79">
        <f t="shared" ref="D1029:D1092" si="32">B1029/B1030-1</f>
        <v>-6.5323312075881157E-3</v>
      </c>
      <c r="E1029" s="79">
        <f t="shared" ref="E1029:E1092" si="33">C1029/C1030-1</f>
        <v>1.7129497085899281E-3</v>
      </c>
    </row>
    <row r="1030" spans="1:5">
      <c r="A1030" s="136">
        <v>42915</v>
      </c>
      <c r="B1030" s="79">
        <v>5154.3500979999999</v>
      </c>
      <c r="C1030" s="79">
        <v>40.688876999999998</v>
      </c>
      <c r="D1030" s="79">
        <f t="shared" si="32"/>
        <v>-1.8761028353591502E-2</v>
      </c>
      <c r="E1030" s="79">
        <f t="shared" si="33"/>
        <v>-1.7255978335270261E-2</v>
      </c>
    </row>
    <row r="1031" spans="1:5">
      <c r="A1031" s="136">
        <v>42914</v>
      </c>
      <c r="B1031" s="79">
        <v>5252.8999020000001</v>
      </c>
      <c r="C1031" s="79">
        <v>41.403331999999999</v>
      </c>
      <c r="D1031" s="79">
        <f t="shared" si="32"/>
        <v>-1.0801729584311026E-3</v>
      </c>
      <c r="E1031" s="79">
        <f t="shared" si="33"/>
        <v>-8.4103591125128663E-4</v>
      </c>
    </row>
    <row r="1032" spans="1:5">
      <c r="A1032" s="136">
        <v>42913</v>
      </c>
      <c r="B1032" s="79">
        <v>5258.580078</v>
      </c>
      <c r="C1032" s="79">
        <v>41.438183000000002</v>
      </c>
      <c r="D1032" s="79">
        <f t="shared" si="32"/>
        <v>-7.0188211301515091E-3</v>
      </c>
      <c r="E1032" s="79">
        <f t="shared" si="33"/>
        <v>-1.0609458348437073E-2</v>
      </c>
    </row>
    <row r="1033" spans="1:5">
      <c r="A1033" s="136">
        <v>42912</v>
      </c>
      <c r="B1033" s="79">
        <v>5295.75</v>
      </c>
      <c r="C1033" s="79">
        <v>41.882534</v>
      </c>
      <c r="D1033" s="79">
        <f t="shared" si="32"/>
        <v>5.6265110445068434E-3</v>
      </c>
      <c r="E1033" s="79">
        <f t="shared" si="33"/>
        <v>-2.8006083786348279E-3</v>
      </c>
    </row>
    <row r="1034" spans="1:5">
      <c r="A1034" s="136">
        <v>42909</v>
      </c>
      <c r="B1034" s="79">
        <v>5266.1201170000004</v>
      </c>
      <c r="C1034" s="79">
        <v>42.000160000000001</v>
      </c>
      <c r="D1034" s="79">
        <f t="shared" si="32"/>
        <v>-2.9932351381388722E-3</v>
      </c>
      <c r="E1034" s="79">
        <f t="shared" si="33"/>
        <v>7.2666775348340096E-4</v>
      </c>
    </row>
    <row r="1035" spans="1:5">
      <c r="A1035" s="136">
        <v>42908</v>
      </c>
      <c r="B1035" s="79">
        <v>5281.9301759999998</v>
      </c>
      <c r="C1035" s="79">
        <v>41.969662</v>
      </c>
      <c r="D1035" s="79">
        <f t="shared" si="32"/>
        <v>1.4543102426327614E-3</v>
      </c>
      <c r="E1035" s="79">
        <f t="shared" si="33"/>
        <v>-4.031911577634939E-3</v>
      </c>
    </row>
    <row r="1036" spans="1:5">
      <c r="A1036" s="136">
        <v>42907</v>
      </c>
      <c r="B1036" s="79">
        <v>5274.2597660000001</v>
      </c>
      <c r="C1036" s="79">
        <v>42.139564999999997</v>
      </c>
      <c r="D1036" s="79">
        <f t="shared" si="32"/>
        <v>-3.6629048688455734E-3</v>
      </c>
      <c r="E1036" s="79">
        <f t="shared" si="33"/>
        <v>5.1716872181972739E-4</v>
      </c>
    </row>
    <row r="1037" spans="1:5">
      <c r="A1037" s="136">
        <v>42906</v>
      </c>
      <c r="B1037" s="79">
        <v>5293.6499020000001</v>
      </c>
      <c r="C1037" s="79">
        <v>42.117783000000003</v>
      </c>
      <c r="D1037" s="79">
        <f t="shared" si="32"/>
        <v>-3.2143122418284431E-3</v>
      </c>
      <c r="E1037" s="79">
        <f t="shared" si="33"/>
        <v>-6.6783407758943536E-3</v>
      </c>
    </row>
    <row r="1038" spans="1:5">
      <c r="A1038" s="136">
        <v>42905</v>
      </c>
      <c r="B1038" s="79">
        <v>5310.7202150000003</v>
      </c>
      <c r="C1038" s="79">
        <v>42.400950999999999</v>
      </c>
      <c r="D1038" s="79">
        <f t="shared" si="32"/>
        <v>9.0076692173837181E-3</v>
      </c>
      <c r="E1038" s="79">
        <f t="shared" si="33"/>
        <v>1.0905807793017308E-2</v>
      </c>
    </row>
    <row r="1039" spans="1:5">
      <c r="A1039" s="136">
        <v>42902</v>
      </c>
      <c r="B1039" s="79">
        <v>5263.3100590000004</v>
      </c>
      <c r="C1039" s="79">
        <v>41.943522999999999</v>
      </c>
      <c r="D1039" s="79">
        <f t="shared" si="32"/>
        <v>8.89998946521664E-3</v>
      </c>
      <c r="E1039" s="79">
        <f t="shared" si="33"/>
        <v>3.3345993169142663E-3</v>
      </c>
    </row>
    <row r="1040" spans="1:5">
      <c r="A1040" s="136">
        <v>42901</v>
      </c>
      <c r="B1040" s="79">
        <v>5216.8798829999996</v>
      </c>
      <c r="C1040" s="79">
        <v>41.804122999999997</v>
      </c>
      <c r="D1040" s="79">
        <f t="shared" si="32"/>
        <v>-5.036943560924545E-3</v>
      </c>
      <c r="E1040" s="79">
        <f t="shared" si="33"/>
        <v>-1.7809515848054125E-2</v>
      </c>
    </row>
    <row r="1041" spans="1:5">
      <c r="A1041" s="136">
        <v>42900</v>
      </c>
      <c r="B1041" s="79">
        <v>5243.2900390000004</v>
      </c>
      <c r="C1041" s="79">
        <v>42.562134</v>
      </c>
      <c r="D1041" s="79">
        <f t="shared" si="32"/>
        <v>-3.5064815402287008E-3</v>
      </c>
      <c r="E1041" s="79">
        <f t="shared" si="33"/>
        <v>-1.7370686634425869E-3</v>
      </c>
    </row>
    <row r="1042" spans="1:5">
      <c r="A1042" s="136">
        <v>42899</v>
      </c>
      <c r="B1042" s="79">
        <v>5261.7402339999999</v>
      </c>
      <c r="C1042" s="79">
        <v>42.636195999999998</v>
      </c>
      <c r="D1042" s="79">
        <f t="shared" si="32"/>
        <v>4.0358796680519671E-3</v>
      </c>
      <c r="E1042" s="79">
        <f t="shared" si="33"/>
        <v>5.5481066922296041E-3</v>
      </c>
    </row>
    <row r="1043" spans="1:5">
      <c r="A1043" s="136">
        <v>42898</v>
      </c>
      <c r="B1043" s="79">
        <v>5240.5898440000001</v>
      </c>
      <c r="C1043" s="79">
        <v>42.400950999999999</v>
      </c>
      <c r="D1043" s="79">
        <f t="shared" si="32"/>
        <v>-1.1155349525739711E-2</v>
      </c>
      <c r="E1043" s="79">
        <f t="shared" si="33"/>
        <v>-9.2384196769856874E-4</v>
      </c>
    </row>
    <row r="1044" spans="1:5">
      <c r="A1044" s="136">
        <v>42895</v>
      </c>
      <c r="B1044" s="79">
        <v>5299.7099609999996</v>
      </c>
      <c r="C1044" s="79">
        <v>42.440159000000001</v>
      </c>
      <c r="D1044" s="79">
        <f t="shared" si="32"/>
        <v>6.7378625258991409E-3</v>
      </c>
      <c r="E1044" s="79">
        <f t="shared" si="33"/>
        <v>1.4207478447335387E-2</v>
      </c>
    </row>
    <row r="1045" spans="1:5">
      <c r="A1045" s="136">
        <v>42894</v>
      </c>
      <c r="B1045" s="79">
        <v>5264.2402339999999</v>
      </c>
      <c r="C1045" s="79">
        <v>41.845638000000001</v>
      </c>
      <c r="D1045" s="79">
        <f t="shared" si="32"/>
        <v>-2.4490432162660447E-4</v>
      </c>
      <c r="E1045" s="79">
        <f t="shared" si="33"/>
        <v>1.1176125279590554E-3</v>
      </c>
    </row>
    <row r="1046" spans="1:5">
      <c r="A1046" s="136">
        <v>42893</v>
      </c>
      <c r="B1046" s="79">
        <v>5265.5297849999997</v>
      </c>
      <c r="C1046" s="79">
        <v>41.798923000000002</v>
      </c>
      <c r="D1046" s="79">
        <f t="shared" si="32"/>
        <v>-7.003749794883829E-4</v>
      </c>
      <c r="E1046" s="79">
        <f t="shared" si="33"/>
        <v>-5.0772168329538125E-4</v>
      </c>
    </row>
    <row r="1047" spans="1:5">
      <c r="A1047" s="136">
        <v>42892</v>
      </c>
      <c r="B1047" s="79">
        <v>5269.2202150000003</v>
      </c>
      <c r="C1047" s="79">
        <v>41.820155999999997</v>
      </c>
      <c r="D1047" s="79">
        <f t="shared" si="32"/>
        <v>-7.2853659367291268E-3</v>
      </c>
      <c r="E1047" s="79">
        <f t="shared" si="33"/>
        <v>-1.559376516796751E-2</v>
      </c>
    </row>
    <row r="1048" spans="1:5">
      <c r="A1048" s="136">
        <v>42891</v>
      </c>
      <c r="B1048" s="79">
        <v>5307.8901370000003</v>
      </c>
      <c r="C1048" s="79">
        <v>42.482619999999997</v>
      </c>
      <c r="D1048" s="79">
        <f t="shared" si="32"/>
        <v>-6.64744385383087E-3</v>
      </c>
      <c r="E1048" s="79">
        <f t="shared" si="33"/>
        <v>4.0001758598529058E-4</v>
      </c>
    </row>
    <row r="1049" spans="1:5">
      <c r="A1049" s="136">
        <v>42888</v>
      </c>
      <c r="B1049" s="79">
        <v>5343.4101559999999</v>
      </c>
      <c r="C1049" s="79">
        <v>42.465632999999997</v>
      </c>
      <c r="D1049" s="79">
        <f t="shared" si="32"/>
        <v>4.6515828887341293E-3</v>
      </c>
      <c r="E1049" s="79">
        <f t="shared" si="33"/>
        <v>-9.3124871120977559E-3</v>
      </c>
    </row>
    <row r="1050" spans="1:5">
      <c r="A1050" s="136">
        <v>42887</v>
      </c>
      <c r="B1050" s="79">
        <v>5318.669922</v>
      </c>
      <c r="C1050" s="79">
        <v>42.864811000000003</v>
      </c>
      <c r="D1050" s="79">
        <f t="shared" si="32"/>
        <v>6.6318117990704639E-3</v>
      </c>
      <c r="E1050" s="79">
        <f t="shared" si="33"/>
        <v>1.3962801251060419E-2</v>
      </c>
    </row>
    <row r="1051" spans="1:5">
      <c r="A1051" s="136">
        <v>42886</v>
      </c>
      <c r="B1051" s="79">
        <v>5283.6298829999996</v>
      </c>
      <c r="C1051" s="79">
        <v>42.274540000000002</v>
      </c>
      <c r="D1051" s="79">
        <f t="shared" si="32"/>
        <v>-4.2047324787086726E-3</v>
      </c>
      <c r="E1051" s="79">
        <f t="shared" si="33"/>
        <v>-5.4945290194325924E-3</v>
      </c>
    </row>
    <row r="1052" spans="1:5">
      <c r="A1052" s="136">
        <v>42885</v>
      </c>
      <c r="B1052" s="79">
        <v>5305.9399409999996</v>
      </c>
      <c r="C1052" s="79">
        <v>42.508102000000001</v>
      </c>
      <c r="D1052" s="79">
        <f t="shared" si="32"/>
        <v>-4.9752315400416469E-3</v>
      </c>
      <c r="E1052" s="79">
        <f t="shared" si="33"/>
        <v>5.9982176240547247E-4</v>
      </c>
    </row>
    <row r="1053" spans="1:5">
      <c r="A1053" s="136">
        <v>42884</v>
      </c>
      <c r="B1053" s="79">
        <v>5332.4702150000003</v>
      </c>
      <c r="C1053" s="79">
        <v>42.482619999999997</v>
      </c>
      <c r="D1053" s="79">
        <f t="shared" si="32"/>
        <v>-7.8137590186921901E-4</v>
      </c>
      <c r="E1053" s="79">
        <f t="shared" si="33"/>
        <v>-5.994621919370724E-4</v>
      </c>
    </row>
    <row r="1054" spans="1:5">
      <c r="A1054" s="136">
        <v>42881</v>
      </c>
      <c r="B1054" s="79">
        <v>5336.6401370000003</v>
      </c>
      <c r="C1054" s="79">
        <v>42.508102000000001</v>
      </c>
      <c r="D1054" s="79">
        <f t="shared" si="32"/>
        <v>-9.7433651005340849E-5</v>
      </c>
      <c r="E1054" s="79">
        <f t="shared" si="33"/>
        <v>0</v>
      </c>
    </row>
    <row r="1055" spans="1:5">
      <c r="A1055" s="136">
        <v>42880</v>
      </c>
      <c r="B1055" s="79">
        <v>5337.1601559999999</v>
      </c>
      <c r="C1055" s="79">
        <v>42.508102000000001</v>
      </c>
      <c r="D1055" s="79">
        <f t="shared" si="32"/>
        <v>-7.8251676958829286E-4</v>
      </c>
      <c r="E1055" s="79">
        <f t="shared" si="33"/>
        <v>-5.9903256205950939E-4</v>
      </c>
    </row>
    <row r="1056" spans="1:5">
      <c r="A1056" s="136">
        <v>42879</v>
      </c>
      <c r="B1056" s="79">
        <v>5341.3398440000001</v>
      </c>
      <c r="C1056" s="79">
        <v>42.533580999999998</v>
      </c>
      <c r="D1056" s="79">
        <f t="shared" si="32"/>
        <v>-1.2752632309165346E-3</v>
      </c>
      <c r="E1056" s="79">
        <f t="shared" si="33"/>
        <v>5.9939161715560907E-4</v>
      </c>
    </row>
    <row r="1057" spans="1:5">
      <c r="A1057" s="136">
        <v>42878</v>
      </c>
      <c r="B1057" s="79">
        <v>5348.1601559999999</v>
      </c>
      <c r="C1057" s="79">
        <v>42.508102000000001</v>
      </c>
      <c r="D1057" s="79">
        <f t="shared" si="32"/>
        <v>4.7493600373624822E-3</v>
      </c>
      <c r="E1057" s="79">
        <f t="shared" si="33"/>
        <v>1.9988420128225215E-4</v>
      </c>
    </row>
    <row r="1058" spans="1:5">
      <c r="A1058" s="136">
        <v>42877</v>
      </c>
      <c r="B1058" s="79">
        <v>5322.8798829999996</v>
      </c>
      <c r="C1058" s="79">
        <v>42.499606999999997</v>
      </c>
      <c r="D1058" s="79">
        <f t="shared" si="32"/>
        <v>-2.8548174967657491E-4</v>
      </c>
      <c r="E1058" s="79">
        <f t="shared" si="33"/>
        <v>-7.7335394838500271E-3</v>
      </c>
    </row>
    <row r="1059" spans="1:5">
      <c r="A1059" s="136">
        <v>42874</v>
      </c>
      <c r="B1059" s="79">
        <v>5324.3999020000001</v>
      </c>
      <c r="C1059" s="79">
        <v>42.830840999999999</v>
      </c>
      <c r="D1059" s="79">
        <f t="shared" si="32"/>
        <v>6.5541950404055527E-3</v>
      </c>
      <c r="E1059" s="79">
        <f t="shared" si="33"/>
        <v>5.7838598601209767E-3</v>
      </c>
    </row>
    <row r="1060" spans="1:5">
      <c r="A1060" s="136">
        <v>42873</v>
      </c>
      <c r="B1060" s="79">
        <v>5289.7299800000001</v>
      </c>
      <c r="C1060" s="79">
        <v>42.584538000000002</v>
      </c>
      <c r="D1060" s="79">
        <f t="shared" si="32"/>
        <v>-5.2953626860532399E-3</v>
      </c>
      <c r="E1060" s="79">
        <f t="shared" si="33"/>
        <v>1.0072609792656451E-2</v>
      </c>
    </row>
    <row r="1061" spans="1:5">
      <c r="A1061" s="136">
        <v>42872</v>
      </c>
      <c r="B1061" s="79">
        <v>5317.8901370000003</v>
      </c>
      <c r="C1061" s="79">
        <v>42.159877999999999</v>
      </c>
      <c r="D1061" s="79">
        <f t="shared" si="32"/>
        <v>-1.6316745787343656E-2</v>
      </c>
      <c r="E1061" s="79">
        <f t="shared" si="33"/>
        <v>-2.5137557512079134E-2</v>
      </c>
    </row>
    <row r="1062" spans="1:5">
      <c r="A1062" s="136">
        <v>42871</v>
      </c>
      <c r="B1062" s="79">
        <v>5406.1000979999999</v>
      </c>
      <c r="C1062" s="79">
        <v>43.247002000000002</v>
      </c>
      <c r="D1062" s="79">
        <f t="shared" si="32"/>
        <v>-2.0858353092649828E-3</v>
      </c>
      <c r="E1062" s="79">
        <f t="shared" si="33"/>
        <v>4.3392320426909325E-3</v>
      </c>
    </row>
    <row r="1063" spans="1:5">
      <c r="A1063" s="136">
        <v>42870</v>
      </c>
      <c r="B1063" s="79">
        <v>5417.3999020000001</v>
      </c>
      <c r="C1063" s="79">
        <v>43.060153999999997</v>
      </c>
      <c r="D1063" s="79">
        <f t="shared" si="32"/>
        <v>2.2162903479971963E-3</v>
      </c>
      <c r="E1063" s="79">
        <f t="shared" si="33"/>
        <v>8.5539874957554218E-3</v>
      </c>
    </row>
    <row r="1064" spans="1:5">
      <c r="A1064" s="136">
        <v>42867</v>
      </c>
      <c r="B1064" s="79">
        <v>5405.419922</v>
      </c>
      <c r="C1064" s="79">
        <v>42.694941999999998</v>
      </c>
      <c r="D1064" s="79">
        <f t="shared" si="32"/>
        <v>4.0866215749015833E-3</v>
      </c>
      <c r="E1064" s="79">
        <f t="shared" si="33"/>
        <v>-2.7773255617050685E-3</v>
      </c>
    </row>
    <row r="1065" spans="1:5">
      <c r="A1065" s="136">
        <v>42866</v>
      </c>
      <c r="B1065" s="79">
        <v>5383.419922</v>
      </c>
      <c r="C1065" s="79">
        <v>42.813850000000002</v>
      </c>
      <c r="D1065" s="79">
        <f t="shared" si="32"/>
        <v>-3.1552940162608012E-3</v>
      </c>
      <c r="E1065" s="79">
        <f t="shared" si="33"/>
        <v>-9.8213375067733866E-3</v>
      </c>
    </row>
    <row r="1066" spans="1:5">
      <c r="A1066" s="136">
        <v>42865</v>
      </c>
      <c r="B1066" s="79">
        <v>5400.4599609999996</v>
      </c>
      <c r="C1066" s="79">
        <v>43.238509999999998</v>
      </c>
      <c r="D1066" s="79">
        <f t="shared" si="32"/>
        <v>4.5390710765880193E-4</v>
      </c>
      <c r="E1066" s="79">
        <f t="shared" si="33"/>
        <v>-2.3515458211798013E-3</v>
      </c>
    </row>
    <row r="1067" spans="1:5">
      <c r="A1067" s="136">
        <v>42864</v>
      </c>
      <c r="B1067" s="79">
        <v>5398.0097660000001</v>
      </c>
      <c r="C1067" s="79">
        <v>43.340426999999998</v>
      </c>
      <c r="D1067" s="79">
        <f t="shared" si="32"/>
        <v>2.7976426410163402E-3</v>
      </c>
      <c r="E1067" s="79">
        <f t="shared" si="33"/>
        <v>1.3736289443571081E-3</v>
      </c>
    </row>
    <row r="1068" spans="1:5">
      <c r="A1068" s="136">
        <v>42863</v>
      </c>
      <c r="B1068" s="79">
        <v>5382.9501950000003</v>
      </c>
      <c r="C1068" s="79">
        <v>43.280974999999998</v>
      </c>
      <c r="D1068" s="79">
        <f t="shared" si="32"/>
        <v>-9.1027368919939233E-3</v>
      </c>
      <c r="E1068" s="79">
        <f t="shared" si="33"/>
        <v>-2.5248688298736721E-2</v>
      </c>
    </row>
    <row r="1069" spans="1:5">
      <c r="A1069" s="136">
        <v>42860</v>
      </c>
      <c r="B1069" s="79">
        <v>5432.3999020000001</v>
      </c>
      <c r="C1069" s="79">
        <v>44.402068999999997</v>
      </c>
      <c r="D1069" s="79">
        <f t="shared" si="32"/>
        <v>1.1164425132589306E-2</v>
      </c>
      <c r="E1069" s="79">
        <f t="shared" si="33"/>
        <v>2.4495420868834605E-2</v>
      </c>
    </row>
    <row r="1070" spans="1:5">
      <c r="A1070" s="136">
        <v>42859</v>
      </c>
      <c r="B1070" s="79">
        <v>5372.419922</v>
      </c>
      <c r="C1070" s="79">
        <v>43.340426999999998</v>
      </c>
      <c r="D1070" s="79">
        <f t="shared" si="32"/>
        <v>1.3472914921712986E-2</v>
      </c>
      <c r="E1070" s="79">
        <f t="shared" si="33"/>
        <v>1.6129001627923856E-2</v>
      </c>
    </row>
    <row r="1071" spans="1:5">
      <c r="A1071" s="136">
        <v>42858</v>
      </c>
      <c r="B1071" s="79">
        <v>5301</v>
      </c>
      <c r="C1071" s="79">
        <v>42.652484999999999</v>
      </c>
      <c r="D1071" s="79">
        <f t="shared" si="32"/>
        <v>-5.9385614249185537E-4</v>
      </c>
      <c r="E1071" s="79">
        <f t="shared" si="33"/>
        <v>-7.9019437173811768E-3</v>
      </c>
    </row>
    <row r="1072" spans="1:5">
      <c r="A1072" s="136">
        <v>42857</v>
      </c>
      <c r="B1072" s="79">
        <v>5304.1499020000001</v>
      </c>
      <c r="C1072" s="79">
        <v>42.992207000000001</v>
      </c>
      <c r="D1072" s="79">
        <f t="shared" si="32"/>
        <v>6.9902253048057528E-3</v>
      </c>
      <c r="E1072" s="79">
        <f t="shared" si="33"/>
        <v>2.1594432907443784E-2</v>
      </c>
    </row>
    <row r="1073" spans="1:5">
      <c r="A1073" s="136">
        <v>42853</v>
      </c>
      <c r="B1073" s="79">
        <v>5267.330078</v>
      </c>
      <c r="C1073" s="79">
        <v>42.083438999999998</v>
      </c>
      <c r="D1073" s="79">
        <f t="shared" si="32"/>
        <v>-8.2897676998883174E-4</v>
      </c>
      <c r="E1073" s="79">
        <f t="shared" si="33"/>
        <v>-7.0141356550881273E-3</v>
      </c>
    </row>
    <row r="1074" spans="1:5">
      <c r="A1074" s="136">
        <v>42852</v>
      </c>
      <c r="B1074" s="79">
        <v>5271.7001950000003</v>
      </c>
      <c r="C1074" s="79">
        <v>42.380702999999997</v>
      </c>
      <c r="D1074" s="79">
        <f t="shared" si="32"/>
        <v>-3.0597684436848294E-3</v>
      </c>
      <c r="E1074" s="79">
        <f t="shared" si="33"/>
        <v>1.7064417259260445E-3</v>
      </c>
    </row>
    <row r="1075" spans="1:5">
      <c r="A1075" s="136">
        <v>42851</v>
      </c>
      <c r="B1075" s="79">
        <v>5287.8798829999996</v>
      </c>
      <c r="C1075" s="79">
        <v>42.308506000000001</v>
      </c>
      <c r="D1075" s="79">
        <f t="shared" si="32"/>
        <v>1.8947001867568591E-3</v>
      </c>
      <c r="E1075" s="79">
        <f t="shared" si="33"/>
        <v>5.0437350805954129E-3</v>
      </c>
    </row>
    <row r="1076" spans="1:5">
      <c r="A1076" s="136">
        <v>42850</v>
      </c>
      <c r="B1076" s="79">
        <v>5277.8798829999996</v>
      </c>
      <c r="C1076" s="79">
        <v>42.096184000000001</v>
      </c>
      <c r="D1076" s="79">
        <f t="shared" si="32"/>
        <v>1.7138056372920651E-3</v>
      </c>
      <c r="E1076" s="79">
        <f t="shared" si="33"/>
        <v>5.4773867342294835E-3</v>
      </c>
    </row>
    <row r="1077" spans="1:5">
      <c r="A1077" s="136">
        <v>42849</v>
      </c>
      <c r="B1077" s="79">
        <v>5268.8500979999999</v>
      </c>
      <c r="C1077" s="79">
        <v>41.866863000000002</v>
      </c>
      <c r="D1077" s="79">
        <f t="shared" si="32"/>
        <v>4.14393372310502E-2</v>
      </c>
      <c r="E1077" s="79">
        <f t="shared" si="33"/>
        <v>6.7106749281751643E-2</v>
      </c>
    </row>
    <row r="1078" spans="1:5">
      <c r="A1078" s="136">
        <v>42846</v>
      </c>
      <c r="B1078" s="79">
        <v>5059.2001950000003</v>
      </c>
      <c r="C1078" s="79">
        <v>39.233997000000002</v>
      </c>
      <c r="D1078" s="79">
        <f t="shared" si="32"/>
        <v>-3.6845789754456071E-3</v>
      </c>
      <c r="E1078" s="79">
        <f t="shared" si="33"/>
        <v>-1.113143872346456E-2</v>
      </c>
    </row>
    <row r="1079" spans="1:5">
      <c r="A1079" s="136">
        <v>42845</v>
      </c>
      <c r="B1079" s="79">
        <v>5077.9101559999999</v>
      </c>
      <c r="C1079" s="79">
        <v>39.675643999999998</v>
      </c>
      <c r="D1079" s="79">
        <f t="shared" si="32"/>
        <v>1.4824975827332665E-2</v>
      </c>
      <c r="E1079" s="79">
        <f t="shared" si="33"/>
        <v>2.0312412403711733E-2</v>
      </c>
    </row>
    <row r="1080" spans="1:5">
      <c r="A1080" s="136">
        <v>42844</v>
      </c>
      <c r="B1080" s="79">
        <v>5003.7299800000001</v>
      </c>
      <c r="C1080" s="79">
        <v>38.885779999999997</v>
      </c>
      <c r="D1080" s="79">
        <f t="shared" si="32"/>
        <v>2.701263463754433E-3</v>
      </c>
      <c r="E1080" s="79">
        <f t="shared" si="33"/>
        <v>8.7023704432294124E-3</v>
      </c>
    </row>
    <row r="1081" spans="1:5">
      <c r="A1081" s="136">
        <v>42843</v>
      </c>
      <c r="B1081" s="79">
        <v>4990.25</v>
      </c>
      <c r="C1081" s="79">
        <v>38.550300999999997</v>
      </c>
      <c r="D1081" s="79">
        <f t="shared" si="32"/>
        <v>-1.5943305483535286E-2</v>
      </c>
      <c r="E1081" s="79">
        <f t="shared" si="33"/>
        <v>-1.7638838592645145E-2</v>
      </c>
    </row>
    <row r="1082" spans="1:5">
      <c r="A1082" s="136">
        <v>42838</v>
      </c>
      <c r="B1082" s="79">
        <v>5071.1000979999999</v>
      </c>
      <c r="C1082" s="79">
        <v>39.242493000000003</v>
      </c>
      <c r="D1082" s="79">
        <f t="shared" si="32"/>
        <v>-5.8829873901894425E-3</v>
      </c>
      <c r="E1082" s="79">
        <f t="shared" si="33"/>
        <v>-8.9016896218216957E-3</v>
      </c>
    </row>
    <row r="1083" spans="1:5">
      <c r="A1083" s="136">
        <v>42837</v>
      </c>
      <c r="B1083" s="79">
        <v>5101.1098629999997</v>
      </c>
      <c r="C1083" s="79">
        <v>39.594954999999999</v>
      </c>
      <c r="D1083" s="79">
        <f t="shared" si="32"/>
        <v>-1.4700521381216802E-4</v>
      </c>
      <c r="E1083" s="79">
        <f t="shared" si="33"/>
        <v>-8.8232727508674724E-3</v>
      </c>
    </row>
    <row r="1084" spans="1:5">
      <c r="A1084" s="136">
        <v>42836</v>
      </c>
      <c r="B1084" s="79">
        <v>5101.8598629999997</v>
      </c>
      <c r="C1084" s="79">
        <v>39.947422000000003</v>
      </c>
      <c r="D1084" s="79">
        <f t="shared" si="32"/>
        <v>-1.094544593988056E-3</v>
      </c>
      <c r="E1084" s="79">
        <f t="shared" si="33"/>
        <v>1.3838790003544155E-3</v>
      </c>
    </row>
    <row r="1085" spans="1:5">
      <c r="A1085" s="136">
        <v>42835</v>
      </c>
      <c r="B1085" s="79">
        <v>5107.4501950000003</v>
      </c>
      <c r="C1085" s="79">
        <v>39.892215999999998</v>
      </c>
      <c r="D1085" s="79">
        <f t="shared" si="32"/>
        <v>-5.4192938194504992E-3</v>
      </c>
      <c r="E1085" s="79">
        <f t="shared" si="33"/>
        <v>-1.5097453149919393E-2</v>
      </c>
    </row>
    <row r="1086" spans="1:5">
      <c r="A1086" s="136">
        <v>42832</v>
      </c>
      <c r="B1086" s="79">
        <v>5135.2797849999997</v>
      </c>
      <c r="C1086" s="79">
        <v>40.503718999999997</v>
      </c>
      <c r="D1086" s="79">
        <f t="shared" si="32"/>
        <v>2.7023345308034852E-3</v>
      </c>
      <c r="E1086" s="79">
        <f t="shared" si="33"/>
        <v>4.8462136008653456E-3</v>
      </c>
    </row>
    <row r="1087" spans="1:5">
      <c r="A1087" s="136">
        <v>42831</v>
      </c>
      <c r="B1087" s="79">
        <v>5121.4399409999996</v>
      </c>
      <c r="C1087" s="79">
        <v>40.308376000000003</v>
      </c>
      <c r="D1087" s="79">
        <f t="shared" si="32"/>
        <v>5.8112164400956345E-3</v>
      </c>
      <c r="E1087" s="79">
        <f t="shared" si="33"/>
        <v>2.0056083253092716E-3</v>
      </c>
    </row>
    <row r="1088" spans="1:5">
      <c r="A1088" s="136">
        <v>42830</v>
      </c>
      <c r="B1088" s="79">
        <v>5091.8500979999999</v>
      </c>
      <c r="C1088" s="79">
        <v>40.227694999999997</v>
      </c>
      <c r="D1088" s="79">
        <f t="shared" si="32"/>
        <v>-1.8191626586347986E-3</v>
      </c>
      <c r="E1088" s="79">
        <f t="shared" si="33"/>
        <v>-3.8906699074224838E-3</v>
      </c>
    </row>
    <row r="1089" spans="1:5">
      <c r="A1089" s="136">
        <v>42829</v>
      </c>
      <c r="B1089" s="79">
        <v>5101.1298829999996</v>
      </c>
      <c r="C1089" s="79">
        <v>40.384819</v>
      </c>
      <c r="D1089" s="79">
        <f t="shared" si="32"/>
        <v>2.9925276957645242E-3</v>
      </c>
      <c r="E1089" s="79">
        <f t="shared" si="33"/>
        <v>-2.7265679080441529E-3</v>
      </c>
    </row>
    <row r="1090" spans="1:5">
      <c r="A1090" s="136">
        <v>42828</v>
      </c>
      <c r="B1090" s="79">
        <v>5085.9101559999999</v>
      </c>
      <c r="C1090" s="79">
        <v>40.495232000000001</v>
      </c>
      <c r="D1090" s="79">
        <f t="shared" si="32"/>
        <v>-7.1448589991814915E-3</v>
      </c>
      <c r="E1090" s="79">
        <f t="shared" si="33"/>
        <v>-9.4524528160105925E-3</v>
      </c>
    </row>
    <row r="1091" spans="1:5">
      <c r="A1091" s="136">
        <v>42825</v>
      </c>
      <c r="B1091" s="79">
        <v>5122.5097660000001</v>
      </c>
      <c r="C1091" s="79">
        <v>40.881664000000001</v>
      </c>
      <c r="D1091" s="79">
        <f t="shared" si="32"/>
        <v>6.4581440171080917E-3</v>
      </c>
      <c r="E1091" s="79">
        <f t="shared" si="33"/>
        <v>1.0708700218472922E-2</v>
      </c>
    </row>
    <row r="1092" spans="1:5">
      <c r="A1092" s="136">
        <v>42824</v>
      </c>
      <c r="B1092" s="79">
        <v>5089.6401370000003</v>
      </c>
      <c r="C1092" s="79">
        <v>40.448512999999998</v>
      </c>
      <c r="D1092" s="79">
        <f t="shared" si="32"/>
        <v>4.0639051657724856E-3</v>
      </c>
      <c r="E1092" s="79">
        <f t="shared" si="33"/>
        <v>2.1337986799384145E-2</v>
      </c>
    </row>
    <row r="1093" spans="1:5">
      <c r="A1093" s="136">
        <v>42823</v>
      </c>
      <c r="B1093" s="79">
        <v>5069.0400390000004</v>
      </c>
      <c r="C1093" s="79">
        <v>39.603454999999997</v>
      </c>
      <c r="D1093" s="79">
        <f t="shared" ref="D1093:D1156" si="34">B1093/B1094-1</f>
        <v>4.5261470249695623E-3</v>
      </c>
      <c r="E1093" s="79">
        <f t="shared" ref="E1093:E1156" si="35">C1093/C1094-1</f>
        <v>-8.5691750732230787E-4</v>
      </c>
    </row>
    <row r="1094" spans="1:5">
      <c r="A1094" s="136">
        <v>42822</v>
      </c>
      <c r="B1094" s="79">
        <v>5046.2001950000003</v>
      </c>
      <c r="C1094" s="79">
        <v>39.637421000000003</v>
      </c>
      <c r="D1094" s="79">
        <f t="shared" si="34"/>
        <v>5.7340148224915843E-3</v>
      </c>
      <c r="E1094" s="79">
        <f t="shared" si="35"/>
        <v>1.4565205183055818E-2</v>
      </c>
    </row>
    <row r="1095" spans="1:5">
      <c r="A1095" s="136">
        <v>42821</v>
      </c>
      <c r="B1095" s="79">
        <v>5017.4301759999998</v>
      </c>
      <c r="C1095" s="79">
        <v>39.068382</v>
      </c>
      <c r="D1095" s="79">
        <f t="shared" si="34"/>
        <v>-6.9105659696944155E-4</v>
      </c>
      <c r="E1095" s="79">
        <f t="shared" si="35"/>
        <v>-1.3722124504776834E-2</v>
      </c>
    </row>
    <row r="1096" spans="1:5">
      <c r="A1096" s="136">
        <v>42818</v>
      </c>
      <c r="B1096" s="79">
        <v>5020.8999020000001</v>
      </c>
      <c r="C1096" s="79">
        <v>39.611941999999999</v>
      </c>
      <c r="D1096" s="79">
        <f t="shared" si="34"/>
        <v>-2.3565329066811413E-3</v>
      </c>
      <c r="E1096" s="79">
        <f t="shared" si="35"/>
        <v>-4.2865150355186898E-4</v>
      </c>
    </row>
    <row r="1097" spans="1:5">
      <c r="A1097" s="136">
        <v>42817</v>
      </c>
      <c r="B1097" s="79">
        <v>5032.7597660000001</v>
      </c>
      <c r="C1097" s="79">
        <v>39.628928999999999</v>
      </c>
      <c r="D1097" s="79">
        <f t="shared" si="34"/>
        <v>7.6199910933791859E-3</v>
      </c>
      <c r="E1097" s="79">
        <f t="shared" si="35"/>
        <v>9.8473866071657756E-3</v>
      </c>
    </row>
    <row r="1098" spans="1:5">
      <c r="A1098" s="136">
        <v>42816</v>
      </c>
      <c r="B1098" s="79">
        <v>4994.7001950000003</v>
      </c>
      <c r="C1098" s="79">
        <v>39.242493000000003</v>
      </c>
      <c r="D1098" s="79">
        <f t="shared" si="34"/>
        <v>-1.5452451564612613E-3</v>
      </c>
      <c r="E1098" s="79">
        <f t="shared" si="35"/>
        <v>-3.2456818369741569E-4</v>
      </c>
    </row>
    <row r="1099" spans="1:5">
      <c r="A1099" s="136">
        <v>42815</v>
      </c>
      <c r="B1099" s="79">
        <v>5002.4301759999998</v>
      </c>
      <c r="C1099" s="79">
        <v>39.255234000000002</v>
      </c>
      <c r="D1099" s="79">
        <f t="shared" si="34"/>
        <v>-1.9412747592177926E-3</v>
      </c>
      <c r="E1099" s="79">
        <f t="shared" si="35"/>
        <v>-8.7926924557464314E-3</v>
      </c>
    </row>
    <row r="1100" spans="1:5">
      <c r="A1100" s="136">
        <v>42814</v>
      </c>
      <c r="B1100" s="79">
        <v>5012.1601559999999</v>
      </c>
      <c r="C1100" s="79">
        <v>39.603454999999997</v>
      </c>
      <c r="D1100" s="79">
        <f t="shared" si="34"/>
        <v>-3.3961547282094218E-3</v>
      </c>
      <c r="E1100" s="79">
        <f t="shared" si="35"/>
        <v>-2.460056418556622E-3</v>
      </c>
    </row>
    <row r="1101" spans="1:5">
      <c r="A1101" s="136">
        <v>42811</v>
      </c>
      <c r="B1101" s="79">
        <v>5029.2402339999999</v>
      </c>
      <c r="C1101" s="79">
        <v>39.701121999999998</v>
      </c>
      <c r="D1101" s="79">
        <f t="shared" si="34"/>
        <v>3.1636044684708597E-3</v>
      </c>
      <c r="E1101" s="79">
        <f t="shared" si="35"/>
        <v>-1.0683988640782793E-3</v>
      </c>
    </row>
    <row r="1102" spans="1:5">
      <c r="A1102" s="136">
        <v>42810</v>
      </c>
      <c r="B1102" s="79">
        <v>5013.3798829999996</v>
      </c>
      <c r="C1102" s="79">
        <v>39.743583999999998</v>
      </c>
      <c r="D1102" s="79">
        <f t="shared" si="34"/>
        <v>5.5962320803462084E-3</v>
      </c>
      <c r="E1102" s="79">
        <f t="shared" si="35"/>
        <v>9.2741235902418229E-3</v>
      </c>
    </row>
    <row r="1103" spans="1:5">
      <c r="A1103" s="136">
        <v>42809</v>
      </c>
      <c r="B1103" s="79">
        <v>4985.4799800000001</v>
      </c>
      <c r="C1103" s="79">
        <v>39.378383999999997</v>
      </c>
      <c r="D1103" s="79">
        <f t="shared" si="34"/>
        <v>2.2556550175951706E-3</v>
      </c>
      <c r="E1103" s="79">
        <f t="shared" si="35"/>
        <v>1.0791476044567982E-2</v>
      </c>
    </row>
    <row r="1104" spans="1:5">
      <c r="A1104" s="136">
        <v>42808</v>
      </c>
      <c r="B1104" s="79">
        <v>4974.2597660000001</v>
      </c>
      <c r="C1104" s="79">
        <v>38.957970000000003</v>
      </c>
      <c r="D1104" s="79">
        <f t="shared" si="34"/>
        <v>-5.0684717784001965E-3</v>
      </c>
      <c r="E1104" s="79">
        <f t="shared" si="35"/>
        <v>-7.7871121792046916E-3</v>
      </c>
    </row>
    <row r="1105" spans="1:5">
      <c r="A1105" s="136">
        <v>42807</v>
      </c>
      <c r="B1105" s="79">
        <v>4999.6000979999999</v>
      </c>
      <c r="C1105" s="79">
        <v>39.263720999999997</v>
      </c>
      <c r="D1105" s="79">
        <f t="shared" si="34"/>
        <v>1.2577351784706092E-3</v>
      </c>
      <c r="E1105" s="79">
        <f t="shared" si="35"/>
        <v>2.2763761519117853E-3</v>
      </c>
    </row>
    <row r="1106" spans="1:5">
      <c r="A1106" s="136">
        <v>42804</v>
      </c>
      <c r="B1106" s="79">
        <v>4993.3198240000002</v>
      </c>
      <c r="C1106" s="79">
        <v>39.174545000000002</v>
      </c>
      <c r="D1106" s="79">
        <f t="shared" si="34"/>
        <v>2.3707788511440064E-3</v>
      </c>
      <c r="E1106" s="79">
        <f t="shared" si="35"/>
        <v>-2.0554965995107644E-3</v>
      </c>
    </row>
    <row r="1107" spans="1:5">
      <c r="A1107" s="136">
        <v>42803</v>
      </c>
      <c r="B1107" s="79">
        <v>4981.5097660000001</v>
      </c>
      <c r="C1107" s="79">
        <v>39.255234000000002</v>
      </c>
      <c r="D1107" s="79">
        <f t="shared" si="34"/>
        <v>4.2394659558731007E-3</v>
      </c>
      <c r="E1107" s="79">
        <f t="shared" si="35"/>
        <v>8.7299396148128316E-3</v>
      </c>
    </row>
    <row r="1108" spans="1:5">
      <c r="A1108" s="136">
        <v>42802</v>
      </c>
      <c r="B1108" s="79">
        <v>4960.4799800000001</v>
      </c>
      <c r="C1108" s="79">
        <v>38.915503999999999</v>
      </c>
      <c r="D1108" s="79">
        <f t="shared" si="34"/>
        <v>1.105949545913143E-3</v>
      </c>
      <c r="E1108" s="79">
        <f t="shared" si="35"/>
        <v>1.5300576600010274E-3</v>
      </c>
    </row>
    <row r="1109" spans="1:5">
      <c r="A1109" s="136">
        <v>42801</v>
      </c>
      <c r="B1109" s="79">
        <v>4955</v>
      </c>
      <c r="C1109" s="79">
        <v>38.856051999999998</v>
      </c>
      <c r="D1109" s="79">
        <f t="shared" si="34"/>
        <v>-3.4572172833249315E-3</v>
      </c>
      <c r="E1109" s="79">
        <f t="shared" si="35"/>
        <v>5.0526486668778237E-3</v>
      </c>
    </row>
    <row r="1110" spans="1:5">
      <c r="A1110" s="136">
        <v>42800</v>
      </c>
      <c r="B1110" s="79">
        <v>4972.1899409999996</v>
      </c>
      <c r="C1110" s="79">
        <v>38.660713000000001</v>
      </c>
      <c r="D1110" s="79">
        <f t="shared" si="34"/>
        <v>-4.5924615650279055E-3</v>
      </c>
      <c r="E1110" s="79">
        <f t="shared" si="35"/>
        <v>-1.4078374733329735E-2</v>
      </c>
    </row>
    <row r="1111" spans="1:5">
      <c r="A1111" s="136">
        <v>42797</v>
      </c>
      <c r="B1111" s="79">
        <v>4995.1298829999996</v>
      </c>
      <c r="C1111" s="79">
        <v>39.212764999999997</v>
      </c>
      <c r="D1111" s="79">
        <f t="shared" si="34"/>
        <v>6.3117126457117312E-3</v>
      </c>
      <c r="E1111" s="79">
        <f t="shared" si="35"/>
        <v>1.2610907098273616E-2</v>
      </c>
    </row>
    <row r="1112" spans="1:5">
      <c r="A1112" s="136">
        <v>42796</v>
      </c>
      <c r="B1112" s="79">
        <v>4963.7998049999997</v>
      </c>
      <c r="C1112" s="79">
        <v>38.724415</v>
      </c>
      <c r="D1112" s="79">
        <f t="shared" si="34"/>
        <v>5.9863509801916237E-4</v>
      </c>
      <c r="E1112" s="79">
        <f t="shared" si="35"/>
        <v>-1.0954322051878407E-2</v>
      </c>
    </row>
    <row r="1113" spans="1:5">
      <c r="A1113" s="136">
        <v>42795</v>
      </c>
      <c r="B1113" s="79">
        <v>4960.830078</v>
      </c>
      <c r="C1113" s="79">
        <v>39.153312999999997</v>
      </c>
      <c r="D1113" s="79">
        <f t="shared" si="34"/>
        <v>2.1045243334157471E-2</v>
      </c>
      <c r="E1113" s="79">
        <f t="shared" si="35"/>
        <v>1.923496787520862E-2</v>
      </c>
    </row>
    <row r="1114" spans="1:5">
      <c r="A1114" s="136">
        <v>42794</v>
      </c>
      <c r="B1114" s="79">
        <v>4858.580078</v>
      </c>
      <c r="C1114" s="79">
        <v>38.414413000000003</v>
      </c>
      <c r="D1114" s="79">
        <f t="shared" si="34"/>
        <v>2.7656147992958235E-3</v>
      </c>
      <c r="E1114" s="79">
        <f t="shared" si="35"/>
        <v>3.3274728606416115E-3</v>
      </c>
    </row>
    <row r="1115" spans="1:5">
      <c r="A1115" s="136">
        <v>42793</v>
      </c>
      <c r="B1115" s="79">
        <v>4845.1801759999998</v>
      </c>
      <c r="C1115" s="79">
        <v>38.287013999999999</v>
      </c>
      <c r="D1115" s="79">
        <f t="shared" si="34"/>
        <v>-1.2395257427799677E-5</v>
      </c>
      <c r="E1115" s="79">
        <f t="shared" si="35"/>
        <v>1.6001803630092182E-2</v>
      </c>
    </row>
    <row r="1116" spans="1:5">
      <c r="A1116" s="136">
        <v>42790</v>
      </c>
      <c r="B1116" s="79">
        <v>4845.2402339999999</v>
      </c>
      <c r="C1116" s="79">
        <v>37.684002</v>
      </c>
      <c r="D1116" s="79">
        <f t="shared" si="34"/>
        <v>-9.4146543412533257E-3</v>
      </c>
      <c r="E1116" s="79">
        <f t="shared" si="35"/>
        <v>-1.9880808003727157E-2</v>
      </c>
    </row>
    <row r="1117" spans="1:5">
      <c r="A1117" s="136">
        <v>42789</v>
      </c>
      <c r="B1117" s="79">
        <v>4891.2900390000004</v>
      </c>
      <c r="C1117" s="79">
        <v>38.448386999999997</v>
      </c>
      <c r="D1117" s="79">
        <f t="shared" si="34"/>
        <v>-9.3749113738195167E-4</v>
      </c>
      <c r="E1117" s="79">
        <f t="shared" si="35"/>
        <v>-3.8506866800984696E-3</v>
      </c>
    </row>
    <row r="1118" spans="1:5">
      <c r="A1118" s="136">
        <v>42788</v>
      </c>
      <c r="B1118" s="79">
        <v>4895.8798829999996</v>
      </c>
      <c r="C1118" s="79">
        <v>38.597011999999999</v>
      </c>
      <c r="D1118" s="79">
        <f t="shared" si="34"/>
        <v>1.4564260345779623E-3</v>
      </c>
      <c r="E1118" s="79">
        <f t="shared" si="35"/>
        <v>-1.0451872908392223E-2</v>
      </c>
    </row>
    <row r="1119" spans="1:5">
      <c r="A1119" s="136">
        <v>42787</v>
      </c>
      <c r="B1119" s="79">
        <v>4888.7597660000001</v>
      </c>
      <c r="C1119" s="79">
        <v>39.004683999999997</v>
      </c>
      <c r="D1119" s="79">
        <f t="shared" si="34"/>
        <v>4.8858334460533115E-3</v>
      </c>
      <c r="E1119" s="79">
        <f t="shared" si="35"/>
        <v>2.729229730868088E-3</v>
      </c>
    </row>
    <row r="1120" spans="1:5">
      <c r="A1120" s="136">
        <v>42786</v>
      </c>
      <c r="B1120" s="79">
        <v>4864.9902339999999</v>
      </c>
      <c r="C1120" s="79">
        <v>38.898521000000002</v>
      </c>
      <c r="D1120" s="79">
        <f t="shared" si="34"/>
        <v>-5.3205986516902115E-4</v>
      </c>
      <c r="E1120" s="79">
        <f t="shared" si="35"/>
        <v>7.4790682437879674E-3</v>
      </c>
    </row>
    <row r="1121" spans="1:5">
      <c r="A1121" s="136">
        <v>42783</v>
      </c>
      <c r="B1121" s="79">
        <v>4867.580078</v>
      </c>
      <c r="C1121" s="79">
        <v>38.609755999999997</v>
      </c>
      <c r="D1121" s="79">
        <f t="shared" si="34"/>
        <v>-6.5068157008660865E-3</v>
      </c>
      <c r="E1121" s="79">
        <f t="shared" si="35"/>
        <v>-1.1309274733025676E-2</v>
      </c>
    </row>
    <row r="1122" spans="1:5">
      <c r="A1122" s="136">
        <v>42782</v>
      </c>
      <c r="B1122" s="79">
        <v>4899.4599609999996</v>
      </c>
      <c r="C1122" s="79">
        <v>39.051399000000004</v>
      </c>
      <c r="D1122" s="79">
        <f t="shared" si="34"/>
        <v>-5.1574872598563193E-3</v>
      </c>
      <c r="E1122" s="79">
        <f t="shared" si="35"/>
        <v>-1.404519934597559E-2</v>
      </c>
    </row>
    <row r="1123" spans="1:5">
      <c r="A1123" s="136">
        <v>42781</v>
      </c>
      <c r="B1123" s="79">
        <v>4924.8598629999997</v>
      </c>
      <c r="C1123" s="79">
        <v>39.607697000000002</v>
      </c>
      <c r="D1123" s="79">
        <f t="shared" si="34"/>
        <v>5.9315988014185805E-3</v>
      </c>
      <c r="E1123" s="79">
        <f t="shared" si="35"/>
        <v>-1.0716465251814355E-4</v>
      </c>
    </row>
    <row r="1124" spans="1:5">
      <c r="A1124" s="136">
        <v>42780</v>
      </c>
      <c r="B1124" s="79">
        <v>4895.8198240000002</v>
      </c>
      <c r="C1124" s="79">
        <v>39.611941999999999</v>
      </c>
      <c r="D1124" s="79">
        <f t="shared" si="34"/>
        <v>1.560881040240325E-3</v>
      </c>
      <c r="E1124" s="79">
        <f t="shared" si="35"/>
        <v>4.631119871648659E-3</v>
      </c>
    </row>
    <row r="1125" spans="1:5">
      <c r="A1125" s="136">
        <v>42779</v>
      </c>
      <c r="B1125" s="79">
        <v>4888.1899409999996</v>
      </c>
      <c r="C1125" s="79">
        <v>39.429340000000003</v>
      </c>
      <c r="D1125" s="79">
        <f t="shared" si="34"/>
        <v>1.2399782777935409E-2</v>
      </c>
      <c r="E1125" s="79">
        <f t="shared" si="35"/>
        <v>1.5975509607339067E-2</v>
      </c>
    </row>
    <row r="1126" spans="1:5">
      <c r="A1126" s="136">
        <v>42776</v>
      </c>
      <c r="B1126" s="79">
        <v>4828.3198240000002</v>
      </c>
      <c r="C1126" s="79">
        <v>38.809341000000003</v>
      </c>
      <c r="D1126" s="79">
        <f t="shared" si="34"/>
        <v>4.3089235080961963E-4</v>
      </c>
      <c r="E1126" s="79">
        <f t="shared" si="35"/>
        <v>7.2742213983250092E-3</v>
      </c>
    </row>
    <row r="1127" spans="1:5">
      <c r="A1127" s="136">
        <v>42775</v>
      </c>
      <c r="B1127" s="79">
        <v>4826.2402339999999</v>
      </c>
      <c r="C1127" s="79">
        <v>38.529071999999999</v>
      </c>
      <c r="D1127" s="79">
        <f t="shared" si="34"/>
        <v>1.2512091380399992E-2</v>
      </c>
      <c r="E1127" s="79">
        <f t="shared" si="35"/>
        <v>2.2055744960836066E-4</v>
      </c>
    </row>
    <row r="1128" spans="1:5">
      <c r="A1128" s="136">
        <v>42774</v>
      </c>
      <c r="B1128" s="79">
        <v>4766.6000979999999</v>
      </c>
      <c r="C1128" s="79">
        <v>38.520575999999998</v>
      </c>
      <c r="D1128" s="79">
        <f t="shared" si="34"/>
        <v>2.5512585948548328E-3</v>
      </c>
      <c r="E1128" s="79">
        <f t="shared" si="35"/>
        <v>1.766927117838657E-3</v>
      </c>
    </row>
    <row r="1129" spans="1:5">
      <c r="A1129" s="136">
        <v>42773</v>
      </c>
      <c r="B1129" s="79">
        <v>4754.4702150000003</v>
      </c>
      <c r="C1129" s="79">
        <v>38.452632999999999</v>
      </c>
      <c r="D1129" s="79">
        <f t="shared" si="34"/>
        <v>-4.9412865867837219E-3</v>
      </c>
      <c r="E1129" s="79">
        <f t="shared" si="35"/>
        <v>-3.1923140165230901E-3</v>
      </c>
    </row>
    <row r="1130" spans="1:5">
      <c r="A1130" s="136">
        <v>42772</v>
      </c>
      <c r="B1130" s="79">
        <v>4778.080078</v>
      </c>
      <c r="C1130" s="79">
        <v>38.575778999999997</v>
      </c>
      <c r="D1130" s="79">
        <f t="shared" si="34"/>
        <v>-9.8105128186188884E-3</v>
      </c>
      <c r="E1130" s="79">
        <f t="shared" si="35"/>
        <v>-1.2716138498169327E-2</v>
      </c>
    </row>
    <row r="1131" spans="1:5">
      <c r="A1131" s="136">
        <v>42769</v>
      </c>
      <c r="B1131" s="79">
        <v>4825.419922</v>
      </c>
      <c r="C1131" s="79">
        <v>39.072631999999999</v>
      </c>
      <c r="D1131" s="79">
        <f t="shared" si="34"/>
        <v>6.4931163418917581E-3</v>
      </c>
      <c r="E1131" s="79">
        <f t="shared" si="35"/>
        <v>-1.7358712793564823E-3</v>
      </c>
    </row>
    <row r="1132" spans="1:5">
      <c r="A1132" s="136">
        <v>42768</v>
      </c>
      <c r="B1132" s="79">
        <v>4794.2900390000004</v>
      </c>
      <c r="C1132" s="79">
        <v>39.140574999999998</v>
      </c>
      <c r="D1132" s="79">
        <f t="shared" si="34"/>
        <v>-6.0493097472802404E-5</v>
      </c>
      <c r="E1132" s="79">
        <f t="shared" si="35"/>
        <v>-2.3811491854883737E-3</v>
      </c>
    </row>
    <row r="1133" spans="1:5">
      <c r="A1133" s="136">
        <v>42767</v>
      </c>
      <c r="B1133" s="79">
        <v>4794.580078</v>
      </c>
      <c r="C1133" s="79">
        <v>39.233997000000002</v>
      </c>
      <c r="D1133" s="79">
        <f t="shared" si="34"/>
        <v>9.6191069390116901E-3</v>
      </c>
      <c r="E1133" s="79">
        <f t="shared" si="35"/>
        <v>1.5274770497656354E-2</v>
      </c>
    </row>
    <row r="1134" spans="1:5">
      <c r="A1134" s="136">
        <v>42766</v>
      </c>
      <c r="B1134" s="79">
        <v>4748.8999020000001</v>
      </c>
      <c r="C1134" s="79">
        <v>38.643723000000001</v>
      </c>
      <c r="D1134" s="79">
        <f t="shared" si="34"/>
        <v>-7.4697853917200518E-3</v>
      </c>
      <c r="E1134" s="79">
        <f t="shared" si="35"/>
        <v>-7.5254885867308552E-3</v>
      </c>
    </row>
    <row r="1135" spans="1:5">
      <c r="A1135" s="136">
        <v>42765</v>
      </c>
      <c r="B1135" s="79">
        <v>4784.6401370000003</v>
      </c>
      <c r="C1135" s="79">
        <v>38.936740999999998</v>
      </c>
      <c r="D1135" s="79">
        <f t="shared" si="34"/>
        <v>-1.1433899154268734E-2</v>
      </c>
      <c r="E1135" s="79">
        <f t="shared" si="35"/>
        <v>-2.1660279454699172E-2</v>
      </c>
    </row>
    <row r="1136" spans="1:5">
      <c r="A1136" s="136">
        <v>42762</v>
      </c>
      <c r="B1136" s="79">
        <v>4839.9799800000001</v>
      </c>
      <c r="C1136" s="79">
        <v>39.798794000000001</v>
      </c>
      <c r="D1136" s="79">
        <f t="shared" si="34"/>
        <v>-5.6007619697038269E-3</v>
      </c>
      <c r="E1136" s="79">
        <f t="shared" si="35"/>
        <v>-2.9786289759121676E-3</v>
      </c>
    </row>
    <row r="1137" spans="1:5">
      <c r="A1137" s="136">
        <v>42761</v>
      </c>
      <c r="B1137" s="79">
        <v>4867.2402339999999</v>
      </c>
      <c r="C1137" s="79">
        <v>39.917693999999997</v>
      </c>
      <c r="D1137" s="79">
        <f t="shared" si="34"/>
        <v>-2.1382521094669427E-3</v>
      </c>
      <c r="E1137" s="79">
        <f t="shared" si="35"/>
        <v>-1.5191232070640437E-2</v>
      </c>
    </row>
    <row r="1138" spans="1:5">
      <c r="A1138" s="136">
        <v>42760</v>
      </c>
      <c r="B1138" s="79">
        <v>4877.669922</v>
      </c>
      <c r="C1138" s="79">
        <v>40.533447000000002</v>
      </c>
      <c r="D1138" s="79">
        <f t="shared" si="34"/>
        <v>9.8633215778400896E-3</v>
      </c>
      <c r="E1138" s="79">
        <f t="shared" si="35"/>
        <v>1.9438175112864498E-2</v>
      </c>
    </row>
    <row r="1139" spans="1:5">
      <c r="A1139" s="136">
        <v>42759</v>
      </c>
      <c r="B1139" s="79">
        <v>4830.0297849999997</v>
      </c>
      <c r="C1139" s="79">
        <v>39.760573999999998</v>
      </c>
      <c r="D1139" s="79">
        <f t="shared" si="34"/>
        <v>1.7877817321294565E-3</v>
      </c>
      <c r="E1139" s="79">
        <f t="shared" si="35"/>
        <v>1.3421446711126439E-2</v>
      </c>
    </row>
    <row r="1140" spans="1:5">
      <c r="A1140" s="136">
        <v>42758</v>
      </c>
      <c r="B1140" s="79">
        <v>4821.4101559999999</v>
      </c>
      <c r="C1140" s="79">
        <v>39.233997000000002</v>
      </c>
      <c r="D1140" s="79">
        <f t="shared" si="34"/>
        <v>-6.0321082387596592E-3</v>
      </c>
      <c r="E1140" s="79">
        <f t="shared" si="35"/>
        <v>-6.666153213744308E-3</v>
      </c>
    </row>
    <row r="1141" spans="1:5">
      <c r="A1141" s="136">
        <v>42755</v>
      </c>
      <c r="B1141" s="79">
        <v>4850.669922</v>
      </c>
      <c r="C1141" s="79">
        <v>39.497292000000002</v>
      </c>
      <c r="D1141" s="79">
        <f t="shared" si="34"/>
        <v>1.9685001322653495E-3</v>
      </c>
      <c r="E1141" s="79">
        <f t="shared" si="35"/>
        <v>2.1302415863863722E-2</v>
      </c>
    </row>
    <row r="1142" spans="1:5">
      <c r="A1142" s="136">
        <v>42754</v>
      </c>
      <c r="B1142" s="79">
        <v>4841.1401370000003</v>
      </c>
      <c r="C1142" s="79">
        <v>38.673454</v>
      </c>
      <c r="D1142" s="79">
        <f t="shared" si="34"/>
        <v>-2.5260158337555572E-3</v>
      </c>
      <c r="E1142" s="79">
        <f t="shared" si="35"/>
        <v>-2.0820741668832188E-3</v>
      </c>
    </row>
    <row r="1143" spans="1:5">
      <c r="A1143" s="136">
        <v>42753</v>
      </c>
      <c r="B1143" s="79">
        <v>4853.3999020000001</v>
      </c>
      <c r="C1143" s="79">
        <v>38.754142999999999</v>
      </c>
      <c r="D1143" s="79">
        <f t="shared" si="34"/>
        <v>-1.2943292836302689E-3</v>
      </c>
      <c r="E1143" s="79">
        <f t="shared" si="35"/>
        <v>8.397898593337727E-3</v>
      </c>
    </row>
    <row r="1144" spans="1:5">
      <c r="A1144" s="136">
        <v>42752</v>
      </c>
      <c r="B1144" s="79">
        <v>4859.6899409999996</v>
      </c>
      <c r="C1144" s="79">
        <v>38.431399999999996</v>
      </c>
      <c r="D1144" s="79">
        <f t="shared" si="34"/>
        <v>-4.6065966820639792E-3</v>
      </c>
      <c r="E1144" s="79">
        <f t="shared" si="35"/>
        <v>-3.3133790124273421E-4</v>
      </c>
    </row>
    <row r="1145" spans="1:5">
      <c r="A1145" s="136">
        <v>42751</v>
      </c>
      <c r="B1145" s="79">
        <v>4882.1801759999998</v>
      </c>
      <c r="C1145" s="79">
        <v>38.444138000000002</v>
      </c>
      <c r="D1145" s="79">
        <f t="shared" si="34"/>
        <v>-8.1889564191667263E-3</v>
      </c>
      <c r="E1145" s="79">
        <f t="shared" si="35"/>
        <v>-7.3464721485176909E-3</v>
      </c>
    </row>
    <row r="1146" spans="1:5">
      <c r="A1146" s="136">
        <v>42748</v>
      </c>
      <c r="B1146" s="79">
        <v>4922.4902339999999</v>
      </c>
      <c r="C1146" s="79">
        <v>38.728656999999998</v>
      </c>
      <c r="D1146" s="79">
        <f t="shared" si="34"/>
        <v>1.2031327580816598E-2</v>
      </c>
      <c r="E1146" s="79">
        <f t="shared" si="35"/>
        <v>9.0728776504778175E-3</v>
      </c>
    </row>
    <row r="1147" spans="1:5">
      <c r="A1147" s="136">
        <v>42747</v>
      </c>
      <c r="B1147" s="79">
        <v>4863.9702150000003</v>
      </c>
      <c r="C1147" s="79">
        <v>38.380436000000003</v>
      </c>
      <c r="D1147" s="79">
        <f t="shared" si="34"/>
        <v>-5.0605878027868423E-3</v>
      </c>
      <c r="E1147" s="79">
        <f t="shared" si="35"/>
        <v>7.805467080361117E-3</v>
      </c>
    </row>
    <row r="1148" spans="1:5">
      <c r="A1148" s="136">
        <v>42746</v>
      </c>
      <c r="B1148" s="79">
        <v>4888.7099609999996</v>
      </c>
      <c r="C1148" s="79">
        <v>38.083179000000001</v>
      </c>
      <c r="D1148" s="79">
        <f t="shared" si="34"/>
        <v>9.8191165710970196E-5</v>
      </c>
      <c r="E1148" s="79">
        <f t="shared" si="35"/>
        <v>-3.3341551825215587E-3</v>
      </c>
    </row>
    <row r="1149" spans="1:5">
      <c r="A1149" s="136">
        <v>42745</v>
      </c>
      <c r="B1149" s="79">
        <v>4888.2299800000001</v>
      </c>
      <c r="C1149" s="79">
        <v>38.210579000000003</v>
      </c>
      <c r="D1149" s="79">
        <f t="shared" si="34"/>
        <v>1.350683517109541E-4</v>
      </c>
      <c r="E1149" s="79">
        <f t="shared" si="35"/>
        <v>2.5627803118859482E-3</v>
      </c>
    </row>
    <row r="1150" spans="1:5">
      <c r="A1150" s="136">
        <v>42744</v>
      </c>
      <c r="B1150" s="79">
        <v>4887.5698240000002</v>
      </c>
      <c r="C1150" s="79">
        <v>38.112904</v>
      </c>
      <c r="D1150" s="79">
        <f t="shared" si="34"/>
        <v>-4.5357935711924924E-3</v>
      </c>
      <c r="E1150" s="79">
        <f t="shared" si="35"/>
        <v>8.9209430074910223E-4</v>
      </c>
    </row>
    <row r="1151" spans="1:5">
      <c r="A1151" s="136">
        <v>42741</v>
      </c>
      <c r="B1151" s="79">
        <v>4909.8398440000001</v>
      </c>
      <c r="C1151" s="79">
        <v>38.078933999999997</v>
      </c>
      <c r="D1151" s="79">
        <f t="shared" si="34"/>
        <v>1.8772459806917219E-3</v>
      </c>
      <c r="E1151" s="79">
        <f t="shared" si="35"/>
        <v>5.7199812309649545E-3</v>
      </c>
    </row>
    <row r="1152" spans="1:5">
      <c r="A1152" s="136">
        <v>42740</v>
      </c>
      <c r="B1152" s="79">
        <v>4900.6401370000003</v>
      </c>
      <c r="C1152" s="79">
        <v>37.862361999999997</v>
      </c>
      <c r="D1152" s="79">
        <f t="shared" si="34"/>
        <v>2.5314018549371653E-4</v>
      </c>
      <c r="E1152" s="79">
        <f t="shared" si="35"/>
        <v>-2.6845498633070175E-3</v>
      </c>
    </row>
    <row r="1153" spans="1:5">
      <c r="A1153" s="136">
        <v>42739</v>
      </c>
      <c r="B1153" s="79">
        <v>4899.3999020000001</v>
      </c>
      <c r="C1153" s="79">
        <v>37.964278999999998</v>
      </c>
      <c r="D1153" s="79">
        <f t="shared" si="34"/>
        <v>1.425174439950716E-5</v>
      </c>
      <c r="E1153" s="79">
        <f t="shared" si="35"/>
        <v>-3.0109823977739758E-3</v>
      </c>
    </row>
    <row r="1154" spans="1:5">
      <c r="A1154" s="136">
        <v>42738</v>
      </c>
      <c r="B1154" s="79">
        <v>4899.330078</v>
      </c>
      <c r="C1154" s="79">
        <v>38.078933999999997</v>
      </c>
      <c r="D1154" s="79">
        <f t="shared" si="34"/>
        <v>3.4717075291539334E-3</v>
      </c>
      <c r="E1154" s="79">
        <f t="shared" si="35"/>
        <v>1.1505990232850039E-2</v>
      </c>
    </row>
    <row r="1155" spans="1:5">
      <c r="A1155" s="136">
        <v>42737</v>
      </c>
      <c r="B1155" s="79">
        <v>4882.3798829999996</v>
      </c>
      <c r="C1155" s="79">
        <v>37.645781999999997</v>
      </c>
      <c r="D1155" s="79">
        <f t="shared" si="34"/>
        <v>4.1276314666216507E-3</v>
      </c>
      <c r="E1155" s="79">
        <f t="shared" si="35"/>
        <v>1.5817452781370367E-3</v>
      </c>
    </row>
    <row r="1156" spans="1:5">
      <c r="A1156" s="136">
        <v>42734</v>
      </c>
      <c r="B1156" s="79">
        <v>4862.3100590000004</v>
      </c>
      <c r="C1156" s="79">
        <v>37.586329999999997</v>
      </c>
      <c r="D1156" s="79">
        <f t="shared" si="34"/>
        <v>4.9271449323162742E-3</v>
      </c>
      <c r="E1156" s="79">
        <f t="shared" si="35"/>
        <v>6.5960304160406213E-3</v>
      </c>
    </row>
    <row r="1157" spans="1:5">
      <c r="A1157" s="136">
        <v>42733</v>
      </c>
      <c r="B1157" s="79">
        <v>4838.4702150000003</v>
      </c>
      <c r="C1157" s="79">
        <v>37.340034000000003</v>
      </c>
      <c r="D1157" s="79">
        <f t="shared" ref="D1157:D1220" si="36">B1157/B1158-1</f>
        <v>-1.9677252028043046E-3</v>
      </c>
      <c r="E1157" s="79">
        <f t="shared" ref="E1157:E1220" si="37">C1157/C1158-1</f>
        <v>3.8819061715937853E-3</v>
      </c>
    </row>
    <row r="1158" spans="1:5">
      <c r="A1158" s="136">
        <v>42732</v>
      </c>
      <c r="B1158" s="79">
        <v>4848.0097660000001</v>
      </c>
      <c r="C1158" s="79">
        <v>37.195644000000001</v>
      </c>
      <c r="D1158" s="79">
        <f t="shared" si="36"/>
        <v>-5.5693774281495578E-5</v>
      </c>
      <c r="E1158" s="79">
        <f t="shared" si="37"/>
        <v>2.0591764226443043E-3</v>
      </c>
    </row>
    <row r="1159" spans="1:5">
      <c r="A1159" s="136">
        <v>42731</v>
      </c>
      <c r="B1159" s="79">
        <v>4848.2797849999997</v>
      </c>
      <c r="C1159" s="79">
        <v>37.119208999999998</v>
      </c>
      <c r="D1159" s="79">
        <f t="shared" si="36"/>
        <v>1.7768961351301016E-3</v>
      </c>
      <c r="E1159" s="79">
        <f t="shared" si="37"/>
        <v>2.2880182485285339E-4</v>
      </c>
    </row>
    <row r="1160" spans="1:5">
      <c r="A1160" s="136">
        <v>42727</v>
      </c>
      <c r="B1160" s="79">
        <v>4839.6801759999998</v>
      </c>
      <c r="C1160" s="79">
        <v>37.110717999999999</v>
      </c>
      <c r="D1160" s="79">
        <f t="shared" si="36"/>
        <v>1.0446079890744642E-3</v>
      </c>
      <c r="E1160" s="79">
        <f t="shared" si="37"/>
        <v>1.2602792784925931E-3</v>
      </c>
    </row>
    <row r="1161" spans="1:5">
      <c r="A1161" s="136">
        <v>42726</v>
      </c>
      <c r="B1161" s="79">
        <v>4834.6298829999996</v>
      </c>
      <c r="C1161" s="79">
        <v>37.064006999999997</v>
      </c>
      <c r="D1161" s="79">
        <f t="shared" si="36"/>
        <v>1.6758154616725029E-4</v>
      </c>
      <c r="E1161" s="79">
        <f t="shared" si="37"/>
        <v>-1.1454545753752932E-4</v>
      </c>
    </row>
    <row r="1162" spans="1:5">
      <c r="A1162" s="136">
        <v>42725</v>
      </c>
      <c r="B1162" s="79">
        <v>4833.8198240000002</v>
      </c>
      <c r="C1162" s="79">
        <v>37.068252999999999</v>
      </c>
      <c r="D1162" s="79">
        <f t="shared" si="36"/>
        <v>-3.3135416568303988E-3</v>
      </c>
      <c r="E1162" s="79">
        <f t="shared" si="37"/>
        <v>3.4394346988841917E-4</v>
      </c>
    </row>
    <row r="1163" spans="1:5">
      <c r="A1163" s="136">
        <v>42724</v>
      </c>
      <c r="B1163" s="79">
        <v>4849.8901370000003</v>
      </c>
      <c r="C1163" s="79">
        <v>37.055508000000003</v>
      </c>
      <c r="D1163" s="79">
        <f t="shared" si="36"/>
        <v>5.6233485916876713E-3</v>
      </c>
      <c r="E1163" s="79">
        <f t="shared" si="37"/>
        <v>2.9884613382684666E-3</v>
      </c>
    </row>
    <row r="1164" spans="1:5">
      <c r="A1164" s="136">
        <v>42723</v>
      </c>
      <c r="B1164" s="79">
        <v>4822.7700199999999</v>
      </c>
      <c r="C1164" s="79">
        <v>36.945098999999999</v>
      </c>
      <c r="D1164" s="79">
        <f t="shared" si="36"/>
        <v>-2.1724422505986496E-3</v>
      </c>
      <c r="E1164" s="79">
        <f t="shared" si="37"/>
        <v>1.7269949450136046E-3</v>
      </c>
    </row>
    <row r="1165" spans="1:5">
      <c r="A1165" s="136">
        <v>42720</v>
      </c>
      <c r="B1165" s="79">
        <v>4833.2700199999999</v>
      </c>
      <c r="C1165" s="79">
        <v>36.881405000000001</v>
      </c>
      <c r="D1165" s="79">
        <f t="shared" si="36"/>
        <v>2.9133367899574214E-3</v>
      </c>
      <c r="E1165" s="79">
        <f t="shared" si="37"/>
        <v>-6.1791582690476909E-3</v>
      </c>
    </row>
    <row r="1166" spans="1:5">
      <c r="A1166" s="136">
        <v>42719</v>
      </c>
      <c r="B1166" s="79">
        <v>4819.2299800000001</v>
      </c>
      <c r="C1166" s="79">
        <v>37.110717999999999</v>
      </c>
      <c r="D1166" s="79">
        <f t="shared" si="36"/>
        <v>1.0481700134042926E-2</v>
      </c>
      <c r="E1166" s="79">
        <f t="shared" si="37"/>
        <v>8.0747917806252012E-3</v>
      </c>
    </row>
    <row r="1167" spans="1:5">
      <c r="A1167" s="136">
        <v>42718</v>
      </c>
      <c r="B1167" s="79">
        <v>4769.2402339999999</v>
      </c>
      <c r="C1167" s="79">
        <v>36.813457</v>
      </c>
      <c r="D1167" s="79">
        <f t="shared" si="36"/>
        <v>-7.2087467305687047E-3</v>
      </c>
      <c r="E1167" s="79">
        <f t="shared" si="37"/>
        <v>8.3749715744945163E-3</v>
      </c>
    </row>
    <row r="1168" spans="1:5">
      <c r="A1168" s="136">
        <v>42717</v>
      </c>
      <c r="B1168" s="79">
        <v>4803.8701170000004</v>
      </c>
      <c r="C1168" s="79">
        <v>36.507705999999999</v>
      </c>
      <c r="D1168" s="79">
        <f t="shared" si="36"/>
        <v>9.0531777042237582E-3</v>
      </c>
      <c r="E1168" s="79">
        <f t="shared" si="37"/>
        <v>1.164972197004821E-2</v>
      </c>
    </row>
    <row r="1169" spans="1:5">
      <c r="A1169" s="136">
        <v>42716</v>
      </c>
      <c r="B1169" s="79">
        <v>4760.7700199999999</v>
      </c>
      <c r="C1169" s="79">
        <v>36.087299000000002</v>
      </c>
      <c r="D1169" s="79">
        <f t="shared" si="36"/>
        <v>-6.9264392040957468E-4</v>
      </c>
      <c r="E1169" s="79">
        <f t="shared" si="37"/>
        <v>-4.8014409590184659E-3</v>
      </c>
    </row>
    <row r="1170" spans="1:5">
      <c r="A1170" s="136">
        <v>42713</v>
      </c>
      <c r="B1170" s="79">
        <v>4764.0698240000002</v>
      </c>
      <c r="C1170" s="79">
        <v>36.261406000000001</v>
      </c>
      <c r="D1170" s="79">
        <f t="shared" si="36"/>
        <v>6.0373698380622454E-3</v>
      </c>
      <c r="E1170" s="79">
        <f t="shared" si="37"/>
        <v>-3.2682517843581893E-3</v>
      </c>
    </row>
    <row r="1171" spans="1:5">
      <c r="A1171" s="136">
        <v>42712</v>
      </c>
      <c r="B1171" s="79">
        <v>4735.4799800000001</v>
      </c>
      <c r="C1171" s="79">
        <v>36.380305999999997</v>
      </c>
      <c r="D1171" s="79">
        <f t="shared" si="36"/>
        <v>8.6820434729568685E-3</v>
      </c>
      <c r="E1171" s="79">
        <f t="shared" si="37"/>
        <v>8.356762602219181E-3</v>
      </c>
    </row>
    <row r="1172" spans="1:5">
      <c r="A1172" s="136">
        <v>42711</v>
      </c>
      <c r="B1172" s="79">
        <v>4694.7202150000003</v>
      </c>
      <c r="C1172" s="79">
        <v>36.078803999999998</v>
      </c>
      <c r="D1172" s="79">
        <f t="shared" si="36"/>
        <v>1.355377548061365E-2</v>
      </c>
      <c r="E1172" s="79">
        <f t="shared" si="37"/>
        <v>2.794932440720066E-2</v>
      </c>
    </row>
    <row r="1173" spans="1:5">
      <c r="A1173" s="136">
        <v>42710</v>
      </c>
      <c r="B1173" s="79">
        <v>4631.9399409999996</v>
      </c>
      <c r="C1173" s="79">
        <v>35.097842999999997</v>
      </c>
      <c r="D1173" s="79">
        <f t="shared" si="36"/>
        <v>1.2596433834312304E-2</v>
      </c>
      <c r="E1173" s="79">
        <f t="shared" si="37"/>
        <v>1.3115777355655389E-2</v>
      </c>
    </row>
    <row r="1174" spans="1:5">
      <c r="A1174" s="136">
        <v>42709</v>
      </c>
      <c r="B1174" s="79">
        <v>4574.3198240000002</v>
      </c>
      <c r="C1174" s="79">
        <v>34.643467000000001</v>
      </c>
      <c r="D1174" s="79">
        <f t="shared" si="36"/>
        <v>1.0046767539498402E-2</v>
      </c>
      <c r="E1174" s="79">
        <f t="shared" si="37"/>
        <v>1.392001545312338E-2</v>
      </c>
    </row>
    <row r="1175" spans="1:5">
      <c r="A1175" s="136">
        <v>42706</v>
      </c>
      <c r="B1175" s="79">
        <v>4528.8198240000002</v>
      </c>
      <c r="C1175" s="79">
        <v>34.167850000000001</v>
      </c>
      <c r="D1175" s="79">
        <f t="shared" si="36"/>
        <v>-6.9705675238547204E-3</v>
      </c>
      <c r="E1175" s="79">
        <f t="shared" si="37"/>
        <v>-1.1061840541589096E-2</v>
      </c>
    </row>
    <row r="1176" spans="1:5">
      <c r="A1176" s="136">
        <v>42705</v>
      </c>
      <c r="B1176" s="79">
        <v>4560.6098629999997</v>
      </c>
      <c r="C1176" s="79">
        <v>34.550037000000003</v>
      </c>
      <c r="D1176" s="79">
        <f t="shared" si="36"/>
        <v>-3.872578621099021E-3</v>
      </c>
      <c r="E1176" s="79">
        <f t="shared" si="37"/>
        <v>-5.9866297145348968E-3</v>
      </c>
    </row>
    <row r="1177" spans="1:5">
      <c r="A1177" s="136">
        <v>42704</v>
      </c>
      <c r="B1177" s="79">
        <v>4578.3398440000001</v>
      </c>
      <c r="C1177" s="79">
        <v>34.758121000000003</v>
      </c>
      <c r="D1177" s="79">
        <f t="shared" si="36"/>
        <v>5.9057716052268727E-3</v>
      </c>
      <c r="E1177" s="79">
        <f t="shared" si="37"/>
        <v>7.8808304969446574E-3</v>
      </c>
    </row>
    <row r="1178" spans="1:5">
      <c r="A1178" s="136">
        <v>42703</v>
      </c>
      <c r="B1178" s="79">
        <v>4551.4599609999996</v>
      </c>
      <c r="C1178" s="79">
        <v>34.486339999999998</v>
      </c>
      <c r="D1178" s="79">
        <f t="shared" si="36"/>
        <v>9.1056034517040807E-3</v>
      </c>
      <c r="E1178" s="79">
        <f t="shared" si="37"/>
        <v>1.0451592635150275E-2</v>
      </c>
    </row>
    <row r="1179" spans="1:5">
      <c r="A1179" s="136">
        <v>42702</v>
      </c>
      <c r="B1179" s="79">
        <v>4510.3901370000003</v>
      </c>
      <c r="C1179" s="79">
        <v>34.129631000000003</v>
      </c>
      <c r="D1179" s="79">
        <f t="shared" si="36"/>
        <v>-8.7642893333172989E-3</v>
      </c>
      <c r="E1179" s="79">
        <f t="shared" si="37"/>
        <v>-1.6278957826647567E-2</v>
      </c>
    </row>
    <row r="1180" spans="1:5">
      <c r="A1180" s="136">
        <v>42699</v>
      </c>
      <c r="B1180" s="79">
        <v>4550.2700199999999</v>
      </c>
      <c r="C1180" s="79">
        <v>34.694420000000001</v>
      </c>
      <c r="D1180" s="79">
        <f t="shared" si="36"/>
        <v>1.6972722209196434E-3</v>
      </c>
      <c r="E1180" s="79">
        <f t="shared" si="37"/>
        <v>-4.6298467942076371E-3</v>
      </c>
    </row>
    <row r="1181" spans="1:5">
      <c r="A1181" s="136">
        <v>42698</v>
      </c>
      <c r="B1181" s="79">
        <v>4542.5600590000004</v>
      </c>
      <c r="C1181" s="79">
        <v>34.855797000000003</v>
      </c>
      <c r="D1181" s="79">
        <f t="shared" si="36"/>
        <v>2.947555559348114E-3</v>
      </c>
      <c r="E1181" s="79">
        <f t="shared" si="37"/>
        <v>-4.8699874228541606E-4</v>
      </c>
    </row>
    <row r="1182" spans="1:5">
      <c r="A1182" s="136">
        <v>42697</v>
      </c>
      <c r="B1182" s="79">
        <v>4529.2099609999996</v>
      </c>
      <c r="C1182" s="79">
        <v>34.872779999999999</v>
      </c>
      <c r="D1182" s="79">
        <f t="shared" si="36"/>
        <v>-4.2081494580675782E-3</v>
      </c>
      <c r="E1182" s="79">
        <f t="shared" si="37"/>
        <v>-1.1198117983950984E-2</v>
      </c>
    </row>
    <row r="1183" spans="1:5">
      <c r="A1183" s="136">
        <v>42696</v>
      </c>
      <c r="B1183" s="79">
        <v>4548.3500979999999</v>
      </c>
      <c r="C1183" s="79">
        <v>35.267712000000003</v>
      </c>
      <c r="D1183" s="79">
        <f t="shared" si="36"/>
        <v>4.1438764028403074E-3</v>
      </c>
      <c r="E1183" s="79">
        <f t="shared" si="37"/>
        <v>2.0512270909041064E-3</v>
      </c>
    </row>
    <row r="1184" spans="1:5">
      <c r="A1184" s="136">
        <v>42695</v>
      </c>
      <c r="B1184" s="79">
        <v>4529.580078</v>
      </c>
      <c r="C1184" s="79">
        <v>35.195518</v>
      </c>
      <c r="D1184" s="79">
        <f t="shared" si="36"/>
        <v>5.6012475609306112E-3</v>
      </c>
      <c r="E1184" s="79">
        <f t="shared" si="37"/>
        <v>2.4189284440352399E-3</v>
      </c>
    </row>
    <row r="1185" spans="1:5">
      <c r="A1185" s="136">
        <v>42692</v>
      </c>
      <c r="B1185" s="79">
        <v>4504.3500979999999</v>
      </c>
      <c r="C1185" s="79">
        <v>35.110588</v>
      </c>
      <c r="D1185" s="79">
        <f t="shared" si="36"/>
        <v>-5.1725069728696393E-3</v>
      </c>
      <c r="E1185" s="79">
        <f t="shared" si="37"/>
        <v>-2.6537317765787938E-3</v>
      </c>
    </row>
    <row r="1186" spans="1:5">
      <c r="A1186" s="136">
        <v>42691</v>
      </c>
      <c r="B1186" s="79">
        <v>4527.7700199999999</v>
      </c>
      <c r="C1186" s="79">
        <v>35.204009999999997</v>
      </c>
      <c r="D1186" s="79">
        <f t="shared" si="36"/>
        <v>5.9162528136145198E-3</v>
      </c>
      <c r="E1186" s="79">
        <f t="shared" si="37"/>
        <v>1.4687952702480578E-2</v>
      </c>
    </row>
    <row r="1187" spans="1:5">
      <c r="A1187" s="136">
        <v>42690</v>
      </c>
      <c r="B1187" s="79">
        <v>4501.1401370000003</v>
      </c>
      <c r="C1187" s="79">
        <v>34.694420000000001</v>
      </c>
      <c r="D1187" s="79">
        <f t="shared" si="36"/>
        <v>-7.8010394899235003E-3</v>
      </c>
      <c r="E1187" s="79">
        <f t="shared" si="37"/>
        <v>-7.0491672424751739E-3</v>
      </c>
    </row>
    <row r="1188" spans="1:5">
      <c r="A1188" s="136">
        <v>42689</v>
      </c>
      <c r="B1188" s="79">
        <v>4536.5297849999997</v>
      </c>
      <c r="C1188" s="79">
        <v>34.940722999999998</v>
      </c>
      <c r="D1188" s="79">
        <f t="shared" si="36"/>
        <v>6.2059822360107653E-3</v>
      </c>
      <c r="E1188" s="79">
        <f t="shared" si="37"/>
        <v>-1.8198270647210579E-3</v>
      </c>
    </row>
    <row r="1189" spans="1:5">
      <c r="A1189" s="136">
        <v>42688</v>
      </c>
      <c r="B1189" s="79">
        <v>4508.5498049999997</v>
      </c>
      <c r="C1189" s="79">
        <v>35.004424999999998</v>
      </c>
      <c r="D1189" s="79">
        <f t="shared" si="36"/>
        <v>4.2946369708454224E-3</v>
      </c>
      <c r="E1189" s="79">
        <f t="shared" si="37"/>
        <v>5.6119555938827226E-3</v>
      </c>
    </row>
    <row r="1190" spans="1:5">
      <c r="A1190" s="136">
        <v>42685</v>
      </c>
      <c r="B1190" s="79">
        <v>4489.2700199999999</v>
      </c>
      <c r="C1190" s="79">
        <v>34.809078</v>
      </c>
      <c r="D1190" s="79">
        <f t="shared" si="36"/>
        <v>-9.198992089119673E-3</v>
      </c>
      <c r="E1190" s="79">
        <f t="shared" si="37"/>
        <v>-1.4902031945017824E-2</v>
      </c>
    </row>
    <row r="1191" spans="1:5">
      <c r="A1191" s="136">
        <v>42684</v>
      </c>
      <c r="B1191" s="79">
        <v>4530.9501950000003</v>
      </c>
      <c r="C1191" s="79">
        <v>35.335650999999999</v>
      </c>
      <c r="D1191" s="79">
        <f t="shared" si="36"/>
        <v>-2.7577506790290585E-3</v>
      </c>
      <c r="E1191" s="79">
        <f t="shared" si="37"/>
        <v>1.6491395250341156E-2</v>
      </c>
    </row>
    <row r="1192" spans="1:5">
      <c r="A1192" s="136">
        <v>42683</v>
      </c>
      <c r="B1192" s="79">
        <v>4543.4799800000001</v>
      </c>
      <c r="C1192" s="79">
        <v>34.762371000000002</v>
      </c>
      <c r="D1192" s="79">
        <f t="shared" si="36"/>
        <v>1.4874129353690702E-2</v>
      </c>
      <c r="E1192" s="79">
        <f t="shared" si="37"/>
        <v>3.3324953746553643E-2</v>
      </c>
    </row>
    <row r="1193" spans="1:5">
      <c r="A1193" s="136">
        <v>42682</v>
      </c>
      <c r="B1193" s="79">
        <v>4476.8901370000003</v>
      </c>
      <c r="C1193" s="79">
        <v>33.641277000000002</v>
      </c>
      <c r="D1193" s="79">
        <f t="shared" si="36"/>
        <v>3.5147809982218892E-3</v>
      </c>
      <c r="E1193" s="79">
        <f t="shared" si="37"/>
        <v>5.0528952480100031E-4</v>
      </c>
    </row>
    <row r="1194" spans="1:5">
      <c r="A1194" s="136">
        <v>42681</v>
      </c>
      <c r="B1194" s="79">
        <v>4461.2099609999996</v>
      </c>
      <c r="C1194" s="79">
        <v>33.624287000000002</v>
      </c>
      <c r="D1194" s="79">
        <f t="shared" si="36"/>
        <v>1.9132099607112707E-2</v>
      </c>
      <c r="E1194" s="79">
        <f t="shared" si="37"/>
        <v>1.8261225383221058E-2</v>
      </c>
    </row>
    <row r="1195" spans="1:5">
      <c r="A1195" s="136">
        <v>42678</v>
      </c>
      <c r="B1195" s="79">
        <v>4377.4599609999996</v>
      </c>
      <c r="C1195" s="79">
        <v>33.021278000000002</v>
      </c>
      <c r="D1195" s="79">
        <f t="shared" si="36"/>
        <v>-7.7567306864541052E-3</v>
      </c>
      <c r="E1195" s="79">
        <f t="shared" si="37"/>
        <v>-9.4267010428094045E-3</v>
      </c>
    </row>
    <row r="1196" spans="1:5">
      <c r="A1196" s="136">
        <v>42677</v>
      </c>
      <c r="B1196" s="79">
        <v>4411.6801759999998</v>
      </c>
      <c r="C1196" s="79">
        <v>33.335521999999997</v>
      </c>
      <c r="D1196" s="79">
        <f t="shared" si="36"/>
        <v>-6.7722979358009194E-4</v>
      </c>
      <c r="E1196" s="79">
        <f t="shared" si="37"/>
        <v>1.0201928150608275E-3</v>
      </c>
    </row>
    <row r="1197" spans="1:5">
      <c r="A1197" s="136">
        <v>42676</v>
      </c>
      <c r="B1197" s="79">
        <v>4414.669922</v>
      </c>
      <c r="C1197" s="79">
        <v>33.301547999999997</v>
      </c>
      <c r="D1197" s="79">
        <f t="shared" si="36"/>
        <v>-1.2439906599716277E-2</v>
      </c>
      <c r="E1197" s="79">
        <f t="shared" si="37"/>
        <v>-8.5966748806420856E-3</v>
      </c>
    </row>
    <row r="1198" spans="1:5">
      <c r="A1198" s="136">
        <v>42675</v>
      </c>
      <c r="B1198" s="79">
        <v>4470.2797849999997</v>
      </c>
      <c r="C1198" s="79">
        <v>33.590313000000002</v>
      </c>
      <c r="D1198" s="79">
        <f t="shared" si="36"/>
        <v>-8.644430133280645E-3</v>
      </c>
      <c r="E1198" s="79">
        <f t="shared" si="37"/>
        <v>-2.2128851940188543E-2</v>
      </c>
    </row>
    <row r="1199" spans="1:5">
      <c r="A1199" s="136">
        <v>42674</v>
      </c>
      <c r="B1199" s="79">
        <v>4509.2597660000001</v>
      </c>
      <c r="C1199" s="79">
        <v>34.350448999999998</v>
      </c>
      <c r="D1199" s="79">
        <f t="shared" si="36"/>
        <v>-8.6445245166023588E-3</v>
      </c>
      <c r="E1199" s="79">
        <f t="shared" si="37"/>
        <v>-8.9440548008979937E-3</v>
      </c>
    </row>
    <row r="1200" spans="1:5">
      <c r="A1200" s="136">
        <v>42671</v>
      </c>
      <c r="B1200" s="79">
        <v>4548.580078</v>
      </c>
      <c r="C1200" s="79">
        <v>34.660454000000001</v>
      </c>
      <c r="D1200" s="79">
        <f t="shared" si="36"/>
        <v>3.3109127205976918E-3</v>
      </c>
      <c r="E1200" s="79">
        <f t="shared" si="37"/>
        <v>5.615959075418453E-2</v>
      </c>
    </row>
    <row r="1201" spans="1:5">
      <c r="A1201" s="136">
        <v>42670</v>
      </c>
      <c r="B1201" s="79">
        <v>4533.5698240000002</v>
      </c>
      <c r="C1201" s="79">
        <v>32.817439999999998</v>
      </c>
      <c r="D1201" s="79">
        <f t="shared" si="36"/>
        <v>-2.2494206424195085E-4</v>
      </c>
      <c r="E1201" s="79">
        <f t="shared" si="37"/>
        <v>-5.1494052030016668E-3</v>
      </c>
    </row>
    <row r="1202" spans="1:5">
      <c r="A1202" s="136">
        <v>42669</v>
      </c>
      <c r="B1202" s="79">
        <v>4534.5898440000001</v>
      </c>
      <c r="C1202" s="79">
        <v>32.987304999999999</v>
      </c>
      <c r="D1202" s="79">
        <f t="shared" si="36"/>
        <v>-1.3763973658437179E-3</v>
      </c>
      <c r="E1202" s="79">
        <f t="shared" si="37"/>
        <v>-1.1704898596203828E-2</v>
      </c>
    </row>
    <row r="1203" spans="1:5">
      <c r="A1203" s="136">
        <v>42668</v>
      </c>
      <c r="B1203" s="79">
        <v>4540.8398440000001</v>
      </c>
      <c r="C1203" s="79">
        <v>33.377991000000002</v>
      </c>
      <c r="D1203" s="79">
        <f t="shared" si="36"/>
        <v>-2.5788088949239008E-3</v>
      </c>
      <c r="E1203" s="79">
        <f t="shared" si="37"/>
        <v>1.9121524700707049E-3</v>
      </c>
    </row>
    <row r="1204" spans="1:5">
      <c r="A1204" s="136">
        <v>42667</v>
      </c>
      <c r="B1204" s="79">
        <v>4552.580078</v>
      </c>
      <c r="C1204" s="79">
        <v>33.314289000000002</v>
      </c>
      <c r="D1204" s="79">
        <f t="shared" si="36"/>
        <v>3.6397706915014538E-3</v>
      </c>
      <c r="E1204" s="79">
        <f t="shared" si="37"/>
        <v>7.1896402764248801E-3</v>
      </c>
    </row>
    <row r="1205" spans="1:5">
      <c r="A1205" s="136">
        <v>42664</v>
      </c>
      <c r="B1205" s="79">
        <v>4536.0698240000002</v>
      </c>
      <c r="C1205" s="79">
        <v>33.076481000000001</v>
      </c>
      <c r="D1205" s="79">
        <f t="shared" si="36"/>
        <v>-8.9211141899847579E-4</v>
      </c>
      <c r="E1205" s="79">
        <f t="shared" si="37"/>
        <v>3.0907762722807153E-3</v>
      </c>
    </row>
    <row r="1206" spans="1:5">
      <c r="A1206" s="136">
        <v>42663</v>
      </c>
      <c r="B1206" s="79">
        <v>4540.1201170000004</v>
      </c>
      <c r="C1206" s="79">
        <v>32.974564000000001</v>
      </c>
      <c r="D1206" s="79">
        <f t="shared" si="36"/>
        <v>4.3847339457609991E-3</v>
      </c>
      <c r="E1206" s="79">
        <f t="shared" si="37"/>
        <v>-7.720596234392918E-4</v>
      </c>
    </row>
    <row r="1207" spans="1:5">
      <c r="A1207" s="136">
        <v>42662</v>
      </c>
      <c r="B1207" s="79">
        <v>4520.2998049999997</v>
      </c>
      <c r="C1207" s="79">
        <v>33.000042000000001</v>
      </c>
      <c r="D1207" s="79">
        <f t="shared" si="36"/>
        <v>2.5260314812092233E-3</v>
      </c>
      <c r="E1207" s="79">
        <f t="shared" si="37"/>
        <v>1.2883530499403495E-3</v>
      </c>
    </row>
    <row r="1208" spans="1:5">
      <c r="A1208" s="136">
        <v>42661</v>
      </c>
      <c r="B1208" s="79">
        <v>4508.9101559999999</v>
      </c>
      <c r="C1208" s="79">
        <v>32.957580999999998</v>
      </c>
      <c r="D1208" s="79">
        <f t="shared" si="36"/>
        <v>1.3185874946624709E-2</v>
      </c>
      <c r="E1208" s="79">
        <f t="shared" si="37"/>
        <v>1.1337073775365969E-2</v>
      </c>
    </row>
    <row r="1209" spans="1:5">
      <c r="A1209" s="136">
        <v>42660</v>
      </c>
      <c r="B1209" s="79">
        <v>4450.2299800000001</v>
      </c>
      <c r="C1209" s="79">
        <v>32.588127</v>
      </c>
      <c r="D1209" s="79">
        <f t="shared" si="36"/>
        <v>-4.6276700010194904E-3</v>
      </c>
      <c r="E1209" s="79">
        <f t="shared" si="37"/>
        <v>-1.4313231767842938E-3</v>
      </c>
    </row>
    <row r="1210" spans="1:5">
      <c r="A1210" s="136">
        <v>42657</v>
      </c>
      <c r="B1210" s="79">
        <v>4470.919922</v>
      </c>
      <c r="C1210" s="79">
        <v>32.634838000000002</v>
      </c>
      <c r="D1210" s="79">
        <f t="shared" si="36"/>
        <v>1.4925644450543452E-2</v>
      </c>
      <c r="E1210" s="79">
        <f t="shared" si="37"/>
        <v>1.6534347303993391E-2</v>
      </c>
    </row>
    <row r="1211" spans="1:5">
      <c r="A1211" s="136">
        <v>42656</v>
      </c>
      <c r="B1211" s="79">
        <v>4405.169922</v>
      </c>
      <c r="C1211" s="79">
        <v>32.104019000000001</v>
      </c>
      <c r="D1211" s="79">
        <f t="shared" si="36"/>
        <v>-1.057227587149101E-2</v>
      </c>
      <c r="E1211" s="79">
        <f t="shared" si="37"/>
        <v>-7.4832577048842275E-3</v>
      </c>
    </row>
    <row r="1212" spans="1:5">
      <c r="A1212" s="136">
        <v>42655</v>
      </c>
      <c r="B1212" s="79">
        <v>4452.2402339999999</v>
      </c>
      <c r="C1212" s="79">
        <v>32.346072999999997</v>
      </c>
      <c r="D1212" s="79">
        <f t="shared" si="36"/>
        <v>-4.3607184182425929E-3</v>
      </c>
      <c r="E1212" s="79">
        <f t="shared" si="37"/>
        <v>-1.1800784015979504E-3</v>
      </c>
    </row>
    <row r="1213" spans="1:5">
      <c r="A1213" s="136">
        <v>42654</v>
      </c>
      <c r="B1213" s="79">
        <v>4471.7402339999999</v>
      </c>
      <c r="C1213" s="79">
        <v>32.384289000000003</v>
      </c>
      <c r="D1213" s="79">
        <f t="shared" si="36"/>
        <v>-5.674462523364121E-3</v>
      </c>
      <c r="E1213" s="79">
        <f t="shared" si="37"/>
        <v>-1.0510028885125089E-2</v>
      </c>
    </row>
    <row r="1214" spans="1:5">
      <c r="A1214" s="136">
        <v>42653</v>
      </c>
      <c r="B1214" s="79">
        <v>4497.2597660000001</v>
      </c>
      <c r="C1214" s="79">
        <v>32.728264000000003</v>
      </c>
      <c r="D1214" s="79">
        <f t="shared" si="36"/>
        <v>1.0640576627408249E-2</v>
      </c>
      <c r="E1214" s="79">
        <f t="shared" si="37"/>
        <v>1.4880084766983215E-2</v>
      </c>
    </row>
    <row r="1215" spans="1:5">
      <c r="A1215" s="136">
        <v>42650</v>
      </c>
      <c r="B1215" s="79">
        <v>4449.9101559999999</v>
      </c>
      <c r="C1215" s="79">
        <v>32.248404999999998</v>
      </c>
      <c r="D1215" s="79">
        <f t="shared" si="36"/>
        <v>-6.7386757750071968E-3</v>
      </c>
      <c r="E1215" s="79">
        <f t="shared" si="37"/>
        <v>-2.4032740614990278E-2</v>
      </c>
    </row>
    <row r="1216" spans="1:5">
      <c r="A1216" s="136">
        <v>42649</v>
      </c>
      <c r="B1216" s="79">
        <v>4480.1000979999999</v>
      </c>
      <c r="C1216" s="79">
        <v>33.042507000000001</v>
      </c>
      <c r="D1216" s="79">
        <f t="shared" si="36"/>
        <v>-2.193809858062501E-3</v>
      </c>
      <c r="E1216" s="79">
        <f t="shared" si="37"/>
        <v>6.4288850358851235E-4</v>
      </c>
    </row>
    <row r="1217" spans="1:5">
      <c r="A1217" s="136">
        <v>42648</v>
      </c>
      <c r="B1217" s="79">
        <v>4489.9501950000003</v>
      </c>
      <c r="C1217" s="79">
        <v>33.021278000000002</v>
      </c>
      <c r="D1217" s="79">
        <f t="shared" si="36"/>
        <v>-2.9179184638092881E-3</v>
      </c>
      <c r="E1217" s="79">
        <f t="shared" si="37"/>
        <v>2.966716613610032E-3</v>
      </c>
    </row>
    <row r="1218" spans="1:5">
      <c r="A1218" s="136">
        <v>42647</v>
      </c>
      <c r="B1218" s="79">
        <v>4503.0898440000001</v>
      </c>
      <c r="C1218" s="79">
        <v>32.923603</v>
      </c>
      <c r="D1218" s="79">
        <f t="shared" si="36"/>
        <v>1.1121391503390088E-2</v>
      </c>
      <c r="E1218" s="79">
        <f t="shared" si="37"/>
        <v>3.6246026826827205E-3</v>
      </c>
    </row>
    <row r="1219" spans="1:5">
      <c r="A1219" s="136">
        <v>42646</v>
      </c>
      <c r="B1219" s="79">
        <v>4453.5600590000004</v>
      </c>
      <c r="C1219" s="79">
        <v>32.804698999999999</v>
      </c>
      <c r="D1219" s="79">
        <f t="shared" si="36"/>
        <v>1.1915430480280431E-3</v>
      </c>
      <c r="E1219" s="79">
        <f t="shared" si="37"/>
        <v>4.0291611552443207E-3</v>
      </c>
    </row>
    <row r="1220" spans="1:5">
      <c r="A1220" s="136">
        <v>42643</v>
      </c>
      <c r="B1220" s="79">
        <v>4448.2597660000001</v>
      </c>
      <c r="C1220" s="79">
        <v>32.673054</v>
      </c>
      <c r="D1220" s="79">
        <f t="shared" si="36"/>
        <v>9.9461775292541965E-4</v>
      </c>
      <c r="E1220" s="79">
        <f t="shared" si="37"/>
        <v>1.9532428725985707E-3</v>
      </c>
    </row>
    <row r="1221" spans="1:5">
      <c r="A1221" s="136">
        <v>42642</v>
      </c>
      <c r="B1221" s="79">
        <v>4443.8398440000001</v>
      </c>
      <c r="C1221" s="79">
        <v>32.609360000000002</v>
      </c>
      <c r="D1221" s="79">
        <f t="shared" ref="D1221:D1281" si="38">B1221/B1222-1</f>
        <v>2.5696056354671537E-3</v>
      </c>
      <c r="E1221" s="79">
        <f t="shared" ref="E1221:E1281" si="39">C1221/C1222-1</f>
        <v>-1.4303925294624209E-3</v>
      </c>
    </row>
    <row r="1222" spans="1:5">
      <c r="A1222" s="136">
        <v>42641</v>
      </c>
      <c r="B1222" s="79">
        <v>4432.4501950000003</v>
      </c>
      <c r="C1222" s="79">
        <v>32.656070999999997</v>
      </c>
      <c r="D1222" s="79">
        <f t="shared" si="38"/>
        <v>7.6773072032505496E-3</v>
      </c>
      <c r="E1222" s="79">
        <f t="shared" si="39"/>
        <v>1.2108424048705047E-2</v>
      </c>
    </row>
    <row r="1223" spans="1:5">
      <c r="A1223" s="136">
        <v>42640</v>
      </c>
      <c r="B1223" s="79">
        <v>4398.6801759999998</v>
      </c>
      <c r="C1223" s="79">
        <v>32.265388000000002</v>
      </c>
      <c r="D1223" s="79">
        <f t="shared" si="38"/>
        <v>-2.0803615812980958E-3</v>
      </c>
      <c r="E1223" s="79">
        <f t="shared" si="39"/>
        <v>-2.6324690266599227E-4</v>
      </c>
    </row>
    <row r="1224" spans="1:5">
      <c r="A1224" s="136">
        <v>42639</v>
      </c>
      <c r="B1224" s="79">
        <v>4407.8500979999999</v>
      </c>
      <c r="C1224" s="79">
        <v>32.273884000000002</v>
      </c>
      <c r="D1224" s="79">
        <f t="shared" si="38"/>
        <v>-1.8009674105935236E-2</v>
      </c>
      <c r="E1224" s="79">
        <f t="shared" si="39"/>
        <v>-2.7386606082384524E-2</v>
      </c>
    </row>
    <row r="1225" spans="1:5">
      <c r="A1225" s="136">
        <v>42636</v>
      </c>
      <c r="B1225" s="79">
        <v>4488.6899409999996</v>
      </c>
      <c r="C1225" s="79">
        <v>33.182644000000003</v>
      </c>
      <c r="D1225" s="79">
        <f t="shared" si="38"/>
        <v>-4.6853053613258311E-3</v>
      </c>
      <c r="E1225" s="79">
        <f t="shared" si="39"/>
        <v>-2.5529363818354023E-3</v>
      </c>
    </row>
    <row r="1226" spans="1:5">
      <c r="A1226" s="136">
        <v>42635</v>
      </c>
      <c r="B1226" s="79">
        <v>4509.8198240000002</v>
      </c>
      <c r="C1226" s="79">
        <v>33.267574000000003</v>
      </c>
      <c r="D1226" s="79">
        <f t="shared" si="38"/>
        <v>2.27392871005343E-2</v>
      </c>
      <c r="E1226" s="79">
        <f t="shared" si="39"/>
        <v>2.2181512239634271E-2</v>
      </c>
    </row>
    <row r="1227" spans="1:5">
      <c r="A1227" s="136">
        <v>42634</v>
      </c>
      <c r="B1227" s="79">
        <v>4409.5498049999997</v>
      </c>
      <c r="C1227" s="79">
        <v>32.545662</v>
      </c>
      <c r="D1227" s="79">
        <f t="shared" si="38"/>
        <v>4.773665071362343E-3</v>
      </c>
      <c r="E1227" s="79">
        <f t="shared" si="39"/>
        <v>6.699106804318733E-3</v>
      </c>
    </row>
    <row r="1228" spans="1:5">
      <c r="A1228" s="136">
        <v>42633</v>
      </c>
      <c r="B1228" s="79">
        <v>4388.6000979999999</v>
      </c>
      <c r="C1228" s="79">
        <v>32.329085999999997</v>
      </c>
      <c r="D1228" s="79">
        <f t="shared" si="38"/>
        <v>-1.2720986291110403E-3</v>
      </c>
      <c r="E1228" s="79">
        <f t="shared" si="39"/>
        <v>-3.0120803319284573E-3</v>
      </c>
    </row>
    <row r="1229" spans="1:5">
      <c r="A1229" s="136">
        <v>42632</v>
      </c>
      <c r="B1229" s="79">
        <v>4394.1899409999996</v>
      </c>
      <c r="C1229" s="79">
        <v>32.426758</v>
      </c>
      <c r="D1229" s="79">
        <f t="shared" si="38"/>
        <v>1.4250537968388377E-2</v>
      </c>
      <c r="E1229" s="79">
        <f t="shared" si="39"/>
        <v>1.6371581227335508E-2</v>
      </c>
    </row>
    <row r="1230" spans="1:5">
      <c r="A1230" s="136">
        <v>42629</v>
      </c>
      <c r="B1230" s="79">
        <v>4332.4501950000003</v>
      </c>
      <c r="C1230" s="79">
        <v>31.904432</v>
      </c>
      <c r="D1230" s="79">
        <f t="shared" si="38"/>
        <v>-9.3226542446136484E-3</v>
      </c>
      <c r="E1230" s="79">
        <f t="shared" si="39"/>
        <v>-3.316433406903796E-3</v>
      </c>
    </row>
    <row r="1231" spans="1:5">
      <c r="A1231" s="136">
        <v>42628</v>
      </c>
      <c r="B1231" s="79">
        <v>4373.2202150000003</v>
      </c>
      <c r="C1231" s="79">
        <v>32.010593</v>
      </c>
      <c r="D1231" s="79">
        <f t="shared" si="38"/>
        <v>6.7740801657412142E-4</v>
      </c>
      <c r="E1231" s="79">
        <f t="shared" si="39"/>
        <v>5.2007261679205552E-3</v>
      </c>
    </row>
    <row r="1232" spans="1:5">
      <c r="A1232" s="136">
        <v>42627</v>
      </c>
      <c r="B1232" s="79">
        <v>4370.2597660000001</v>
      </c>
      <c r="C1232" s="79">
        <v>31.844975999999999</v>
      </c>
      <c r="D1232" s="79">
        <f t="shared" si="38"/>
        <v>-3.8567848415623773E-3</v>
      </c>
      <c r="E1232" s="79">
        <f t="shared" si="39"/>
        <v>-1.3318094733463237E-3</v>
      </c>
    </row>
    <row r="1233" spans="1:5">
      <c r="A1233" s="136">
        <v>42626</v>
      </c>
      <c r="B1233" s="79">
        <v>4387.1801759999998</v>
      </c>
      <c r="C1233" s="79">
        <v>31.887443999999999</v>
      </c>
      <c r="D1233" s="79">
        <f t="shared" si="38"/>
        <v>-1.1851802178274085E-2</v>
      </c>
      <c r="E1233" s="79">
        <f t="shared" si="39"/>
        <v>-1.3660825425129475E-2</v>
      </c>
    </row>
    <row r="1234" spans="1:5">
      <c r="A1234" s="136">
        <v>42625</v>
      </c>
      <c r="B1234" s="79">
        <v>4439.7998049999997</v>
      </c>
      <c r="C1234" s="79">
        <v>32.329085999999997</v>
      </c>
      <c r="D1234" s="79">
        <f t="shared" si="38"/>
        <v>-1.1488644548668048E-2</v>
      </c>
      <c r="E1234" s="79">
        <f t="shared" si="39"/>
        <v>-1.1298791933829655E-2</v>
      </c>
    </row>
    <row r="1235" spans="1:5">
      <c r="A1235" s="136">
        <v>42622</v>
      </c>
      <c r="B1235" s="79">
        <v>4491.3999020000001</v>
      </c>
      <c r="C1235" s="79">
        <v>32.698540000000001</v>
      </c>
      <c r="D1235" s="79">
        <f t="shared" si="38"/>
        <v>-1.1184071775594662E-2</v>
      </c>
      <c r="E1235" s="79">
        <f t="shared" si="39"/>
        <v>-1.9857435945273116E-2</v>
      </c>
    </row>
    <row r="1236" spans="1:5">
      <c r="A1236" s="136">
        <v>42621</v>
      </c>
      <c r="B1236" s="79">
        <v>4542.2001950000003</v>
      </c>
      <c r="C1236" s="79">
        <v>33.361004000000001</v>
      </c>
      <c r="D1236" s="79">
        <f t="shared" si="38"/>
        <v>-3.3920828826271565E-3</v>
      </c>
      <c r="E1236" s="79">
        <f t="shared" si="39"/>
        <v>-1.0703826865569255E-2</v>
      </c>
    </row>
    <row r="1237" spans="1:5">
      <c r="A1237" s="136">
        <v>42620</v>
      </c>
      <c r="B1237" s="79">
        <v>4557.6601559999999</v>
      </c>
      <c r="C1237" s="79">
        <v>33.721958000000001</v>
      </c>
      <c r="D1237" s="79">
        <f t="shared" si="38"/>
        <v>6.1148873805687565E-3</v>
      </c>
      <c r="E1237" s="79">
        <f t="shared" si="39"/>
        <v>5.18978085392785E-3</v>
      </c>
    </row>
    <row r="1238" spans="1:5">
      <c r="A1238" s="136">
        <v>42619</v>
      </c>
      <c r="B1238" s="79">
        <v>4529.9599609999996</v>
      </c>
      <c r="C1238" s="79">
        <v>33.547851999999999</v>
      </c>
      <c r="D1238" s="79">
        <f t="shared" si="38"/>
        <v>-2.4487824061666386E-3</v>
      </c>
      <c r="E1238" s="79">
        <f t="shared" si="39"/>
        <v>-5.9140787491506197E-3</v>
      </c>
    </row>
    <row r="1239" spans="1:5">
      <c r="A1239" s="136">
        <v>42618</v>
      </c>
      <c r="B1239" s="79">
        <v>4541.080078</v>
      </c>
      <c r="C1239" s="79">
        <v>33.747436999999998</v>
      </c>
      <c r="D1239" s="79">
        <f t="shared" si="38"/>
        <v>-2.399390640850374E-4</v>
      </c>
      <c r="E1239" s="79">
        <f t="shared" si="39"/>
        <v>-3.2611636656346699E-3</v>
      </c>
    </row>
    <row r="1240" spans="1:5">
      <c r="A1240" s="136">
        <v>42615</v>
      </c>
      <c r="B1240" s="79">
        <v>4542.169922</v>
      </c>
      <c r="C1240" s="79">
        <v>33.857852999999999</v>
      </c>
      <c r="D1240" s="79">
        <f t="shared" si="38"/>
        <v>2.3087301939290539E-2</v>
      </c>
      <c r="E1240" s="79">
        <f t="shared" si="39"/>
        <v>1.1032388651877945E-2</v>
      </c>
    </row>
    <row r="1241" spans="1:5">
      <c r="A1241" s="136">
        <v>42614</v>
      </c>
      <c r="B1241" s="79">
        <v>4439.669922</v>
      </c>
      <c r="C1241" s="79">
        <v>33.488396000000002</v>
      </c>
      <c r="D1241" s="79">
        <f t="shared" si="38"/>
        <v>3.2664152064842966E-4</v>
      </c>
      <c r="E1241" s="79">
        <f t="shared" si="39"/>
        <v>2.7974868314017964E-3</v>
      </c>
    </row>
    <row r="1242" spans="1:5">
      <c r="A1242" s="136">
        <v>42613</v>
      </c>
      <c r="B1242" s="79">
        <v>4438.2202150000003</v>
      </c>
      <c r="C1242" s="79">
        <v>33.394973999999998</v>
      </c>
      <c r="D1242" s="79">
        <f t="shared" si="38"/>
        <v>-4.3230647715198911E-3</v>
      </c>
      <c r="E1242" s="79">
        <f t="shared" si="39"/>
        <v>-1.3967896653533929E-3</v>
      </c>
    </row>
    <row r="1243" spans="1:5">
      <c r="A1243" s="136">
        <v>42612</v>
      </c>
      <c r="B1243" s="79">
        <v>4457.4902339999999</v>
      </c>
      <c r="C1243" s="79">
        <v>33.441685</v>
      </c>
      <c r="D1243" s="79">
        <f t="shared" si="38"/>
        <v>7.5131907102898854E-3</v>
      </c>
      <c r="E1243" s="79">
        <f t="shared" si="39"/>
        <v>7.9354946552874228E-3</v>
      </c>
    </row>
    <row r="1244" spans="1:5">
      <c r="A1244" s="136">
        <v>42611</v>
      </c>
      <c r="B1244" s="79">
        <v>4424.25</v>
      </c>
      <c r="C1244" s="79">
        <v>33.178398000000001</v>
      </c>
      <c r="D1244" s="79">
        <f t="shared" si="38"/>
        <v>-3.9668240033774449E-3</v>
      </c>
      <c r="E1244" s="79">
        <f t="shared" si="39"/>
        <v>-5.7266973923338904E-3</v>
      </c>
    </row>
    <row r="1245" spans="1:5">
      <c r="A1245" s="136">
        <v>42608</v>
      </c>
      <c r="B1245" s="79">
        <v>4441.8701170000004</v>
      </c>
      <c r="C1245" s="79">
        <v>33.369495000000001</v>
      </c>
      <c r="D1245" s="79">
        <f t="shared" si="38"/>
        <v>8.0016736439643132E-3</v>
      </c>
      <c r="E1245" s="79">
        <f t="shared" si="39"/>
        <v>5.1164424086522775E-3</v>
      </c>
    </row>
    <row r="1246" spans="1:5">
      <c r="A1246" s="136">
        <v>42607</v>
      </c>
      <c r="B1246" s="79">
        <v>4406.6098629999997</v>
      </c>
      <c r="C1246" s="79">
        <v>33.199630999999997</v>
      </c>
      <c r="D1246" s="79">
        <f t="shared" si="38"/>
        <v>-6.5067175747003381E-3</v>
      </c>
      <c r="E1246" s="79">
        <f t="shared" si="39"/>
        <v>-1.8085963270446648E-2</v>
      </c>
    </row>
    <row r="1247" spans="1:5">
      <c r="A1247" s="136">
        <v>42606</v>
      </c>
      <c r="B1247" s="79">
        <v>4435.4702150000003</v>
      </c>
      <c r="C1247" s="79">
        <v>33.811138</v>
      </c>
      <c r="D1247" s="79">
        <f t="shared" si="38"/>
        <v>3.1709098557424209E-3</v>
      </c>
      <c r="E1247" s="79">
        <f t="shared" si="39"/>
        <v>1.0277864272168591E-2</v>
      </c>
    </row>
    <row r="1248" spans="1:5">
      <c r="A1248" s="136">
        <v>42605</v>
      </c>
      <c r="B1248" s="79">
        <v>4421.4501950000003</v>
      </c>
      <c r="C1248" s="79">
        <v>33.467167000000003</v>
      </c>
      <c r="D1248" s="79">
        <f t="shared" si="38"/>
        <v>7.1778325953186783E-3</v>
      </c>
      <c r="E1248" s="79">
        <f t="shared" si="39"/>
        <v>1.4285789619986833E-2</v>
      </c>
    </row>
    <row r="1249" spans="1:5">
      <c r="A1249" s="136">
        <v>42604</v>
      </c>
      <c r="B1249" s="79">
        <v>4389.9399409999996</v>
      </c>
      <c r="C1249" s="79">
        <v>32.995795999999999</v>
      </c>
      <c r="D1249" s="79">
        <f t="shared" si="38"/>
        <v>-2.4042792560685644E-3</v>
      </c>
      <c r="E1249" s="79">
        <f t="shared" si="39"/>
        <v>6.4389024218791668E-4</v>
      </c>
    </row>
    <row r="1250" spans="1:5">
      <c r="A1250" s="136">
        <v>42601</v>
      </c>
      <c r="B1250" s="79">
        <v>4400.5200199999999</v>
      </c>
      <c r="C1250" s="79">
        <v>32.974564000000001</v>
      </c>
      <c r="D1250" s="79">
        <f t="shared" si="38"/>
        <v>-8.2351914362492895E-3</v>
      </c>
      <c r="E1250" s="79">
        <f t="shared" si="39"/>
        <v>-7.0331589362385705E-3</v>
      </c>
    </row>
    <row r="1251" spans="1:5">
      <c r="A1251" s="136">
        <v>42600</v>
      </c>
      <c r="B1251" s="79">
        <v>4437.0600590000004</v>
      </c>
      <c r="C1251" s="79">
        <v>33.208122000000003</v>
      </c>
      <c r="D1251" s="79">
        <f t="shared" si="38"/>
        <v>4.3868913610554117E-3</v>
      </c>
      <c r="E1251" s="79">
        <f t="shared" si="39"/>
        <v>9.6834452748748578E-3</v>
      </c>
    </row>
    <row r="1252" spans="1:5">
      <c r="A1252" s="136">
        <v>42599</v>
      </c>
      <c r="B1252" s="79">
        <v>4417.6801759999998</v>
      </c>
      <c r="C1252" s="79">
        <v>32.889637</v>
      </c>
      <c r="D1252" s="79">
        <f t="shared" si="38"/>
        <v>-9.5864456344216809E-3</v>
      </c>
      <c r="E1252" s="79">
        <f t="shared" si="39"/>
        <v>-7.9414724253550339E-3</v>
      </c>
    </row>
    <row r="1253" spans="1:5">
      <c r="A1253" s="136">
        <v>42598</v>
      </c>
      <c r="B1253" s="79">
        <v>4460.4399409999996</v>
      </c>
      <c r="C1253" s="79">
        <v>33.152920000000002</v>
      </c>
      <c r="D1253" s="79">
        <f t="shared" si="38"/>
        <v>-8.3194948575034955E-3</v>
      </c>
      <c r="E1253" s="79">
        <f t="shared" si="39"/>
        <v>-7.7529421275212007E-3</v>
      </c>
    </row>
    <row r="1254" spans="1:5">
      <c r="A1254" s="136">
        <v>42597</v>
      </c>
      <c r="B1254" s="79">
        <v>4497.8598629999997</v>
      </c>
      <c r="C1254" s="79">
        <v>33.411960999999998</v>
      </c>
      <c r="D1254" s="79">
        <f t="shared" si="38"/>
        <v>-5.1777325636215288E-4</v>
      </c>
      <c r="E1254" s="79">
        <f t="shared" si="39"/>
        <v>-3.2936809097614539E-3</v>
      </c>
    </row>
    <row r="1255" spans="1:5">
      <c r="A1255" s="136">
        <v>42594</v>
      </c>
      <c r="B1255" s="79">
        <v>4500.1899409999996</v>
      </c>
      <c r="C1255" s="79">
        <v>33.522373000000002</v>
      </c>
      <c r="D1255" s="79">
        <f t="shared" si="38"/>
        <v>-8.3487912547863807E-4</v>
      </c>
      <c r="E1255" s="79">
        <f t="shared" si="39"/>
        <v>3.1771111298510846E-3</v>
      </c>
    </row>
    <row r="1256" spans="1:5">
      <c r="A1256" s="136">
        <v>42593</v>
      </c>
      <c r="B1256" s="79">
        <v>4503.9501950000003</v>
      </c>
      <c r="C1256" s="79">
        <v>33.416206000000003</v>
      </c>
      <c r="D1256" s="79">
        <f t="shared" si="38"/>
        <v>1.1666737435454211E-2</v>
      </c>
      <c r="E1256" s="79">
        <f t="shared" si="39"/>
        <v>1.4307856927865625E-2</v>
      </c>
    </row>
    <row r="1257" spans="1:5">
      <c r="A1257" s="136">
        <v>42592</v>
      </c>
      <c r="B1257" s="79">
        <v>4452.0097660000001</v>
      </c>
      <c r="C1257" s="79">
        <v>32.944836000000002</v>
      </c>
      <c r="D1257" s="79">
        <f t="shared" si="38"/>
        <v>-3.5944062274350097E-3</v>
      </c>
      <c r="E1257" s="79">
        <f t="shared" si="39"/>
        <v>-6.6582420896118544E-3</v>
      </c>
    </row>
    <row r="1258" spans="1:5">
      <c r="A1258" s="136">
        <v>42591</v>
      </c>
      <c r="B1258" s="79">
        <v>4468.0698240000002</v>
      </c>
      <c r="C1258" s="79">
        <v>33.165661</v>
      </c>
      <c r="D1258" s="79">
        <f t="shared" si="38"/>
        <v>1.1914922446287113E-2</v>
      </c>
      <c r="E1258" s="79">
        <f t="shared" si="39"/>
        <v>1.8518517949814184E-2</v>
      </c>
    </row>
    <row r="1259" spans="1:5">
      <c r="A1259" s="136">
        <v>42590</v>
      </c>
      <c r="B1259" s="79">
        <v>4415.4599609999996</v>
      </c>
      <c r="C1259" s="79">
        <v>32.562649</v>
      </c>
      <c r="D1259" s="79">
        <f t="shared" si="38"/>
        <v>1.1132752643294719E-3</v>
      </c>
      <c r="E1259" s="79">
        <f t="shared" si="39"/>
        <v>1.1609543026411373E-2</v>
      </c>
    </row>
    <row r="1260" spans="1:5">
      <c r="A1260" s="136">
        <v>42587</v>
      </c>
      <c r="B1260" s="79">
        <v>4410.5498049999997</v>
      </c>
      <c r="C1260" s="79">
        <v>32.188949999999998</v>
      </c>
      <c r="D1260" s="79">
        <f t="shared" si="38"/>
        <v>1.4939128215673669E-2</v>
      </c>
      <c r="E1260" s="79">
        <f t="shared" si="39"/>
        <v>8.9178205711355485E-3</v>
      </c>
    </row>
    <row r="1261" spans="1:5">
      <c r="A1261" s="136">
        <v>42586</v>
      </c>
      <c r="B1261" s="79">
        <v>4345.6298829999996</v>
      </c>
      <c r="C1261" s="79">
        <v>31.904432</v>
      </c>
      <c r="D1261" s="79">
        <f t="shared" si="38"/>
        <v>5.6814047777060672E-3</v>
      </c>
      <c r="E1261" s="79">
        <f t="shared" si="39"/>
        <v>8.9981594192343195E-3</v>
      </c>
    </row>
    <row r="1262" spans="1:5">
      <c r="A1262" s="136">
        <v>42585</v>
      </c>
      <c r="B1262" s="79">
        <v>4321.080078</v>
      </c>
      <c r="C1262" s="79">
        <v>31.619910999999998</v>
      </c>
      <c r="D1262" s="79">
        <f t="shared" si="38"/>
        <v>-1.5966200537410602E-3</v>
      </c>
      <c r="E1262" s="79">
        <f t="shared" si="39"/>
        <v>1.3448523572712201E-3</v>
      </c>
    </row>
    <row r="1263" spans="1:5">
      <c r="A1263" s="136">
        <v>42584</v>
      </c>
      <c r="B1263" s="79">
        <v>4327.9902339999999</v>
      </c>
      <c r="C1263" s="79">
        <v>31.577444</v>
      </c>
      <c r="D1263" s="79">
        <f t="shared" si="38"/>
        <v>-1.8411558056528055E-2</v>
      </c>
      <c r="E1263" s="79">
        <f t="shared" si="39"/>
        <v>-1.4446702952819912E-2</v>
      </c>
    </row>
    <row r="1264" spans="1:5">
      <c r="A1264" s="136">
        <v>42583</v>
      </c>
      <c r="B1264" s="79">
        <v>4409.169922</v>
      </c>
      <c r="C1264" s="79">
        <v>32.040320999999999</v>
      </c>
      <c r="D1264" s="79">
        <f t="shared" si="38"/>
        <v>-6.9012269878278021E-3</v>
      </c>
      <c r="E1264" s="79">
        <f t="shared" si="39"/>
        <v>-4.617391993215092E-3</v>
      </c>
    </row>
    <row r="1265" spans="1:5">
      <c r="A1265" s="136">
        <v>42580</v>
      </c>
      <c r="B1265" s="79">
        <v>4439.8100590000004</v>
      </c>
      <c r="C1265" s="79">
        <v>32.188949999999998</v>
      </c>
      <c r="D1265" s="79">
        <f t="shared" si="38"/>
        <v>4.3501035295576695E-3</v>
      </c>
      <c r="E1265" s="79">
        <f t="shared" si="39"/>
        <v>1.6630970248787902E-2</v>
      </c>
    </row>
    <row r="1266" spans="1:5">
      <c r="A1266" s="136">
        <v>42579</v>
      </c>
      <c r="B1266" s="79">
        <v>4420.580078</v>
      </c>
      <c r="C1266" s="79">
        <v>31.662374</v>
      </c>
      <c r="D1266" s="79">
        <f t="shared" si="38"/>
        <v>-5.9321161493137708E-3</v>
      </c>
      <c r="E1266" s="79">
        <f t="shared" si="39"/>
        <v>-5.4688515688118278E-3</v>
      </c>
    </row>
    <row r="1267" spans="1:5">
      <c r="A1267" s="136">
        <v>42578</v>
      </c>
      <c r="B1267" s="79">
        <v>4446.9599609999996</v>
      </c>
      <c r="C1267" s="79">
        <v>31.836483000000001</v>
      </c>
      <c r="D1267" s="79">
        <f t="shared" si="38"/>
        <v>1.1875465783758976E-2</v>
      </c>
      <c r="E1267" s="79">
        <f t="shared" si="39"/>
        <v>1.4890929889429749E-2</v>
      </c>
    </row>
    <row r="1268" spans="1:5">
      <c r="A1268" s="136">
        <v>42577</v>
      </c>
      <c r="B1268" s="79">
        <v>4394.7700199999999</v>
      </c>
      <c r="C1268" s="79">
        <v>31.369364000000001</v>
      </c>
      <c r="D1268" s="79">
        <f t="shared" si="38"/>
        <v>1.5428486782131934E-3</v>
      </c>
      <c r="E1268" s="79">
        <f t="shared" si="39"/>
        <v>5.5812010139875134E-3</v>
      </c>
    </row>
    <row r="1269" spans="1:5">
      <c r="A1269" s="136">
        <v>42576</v>
      </c>
      <c r="B1269" s="79">
        <v>4388</v>
      </c>
      <c r="C1269" s="79">
        <v>31.195257000000002</v>
      </c>
      <c r="D1269" s="79">
        <f t="shared" si="38"/>
        <v>1.5749245270952894E-3</v>
      </c>
      <c r="E1269" s="79">
        <f t="shared" si="39"/>
        <v>1.2264113902219265E-2</v>
      </c>
    </row>
    <row r="1270" spans="1:5">
      <c r="A1270" s="136">
        <v>42573</v>
      </c>
      <c r="B1270" s="79">
        <v>4381.1000979999999</v>
      </c>
      <c r="C1270" s="79">
        <v>30.817309999999999</v>
      </c>
      <c r="D1270" s="79">
        <f t="shared" si="38"/>
        <v>1.1082771779491463E-3</v>
      </c>
      <c r="E1270" s="79">
        <f t="shared" si="39"/>
        <v>1.7944804042686613E-3</v>
      </c>
    </row>
    <row r="1271" spans="1:5">
      <c r="A1271" s="136">
        <v>42572</v>
      </c>
      <c r="B1271" s="79">
        <v>4376.25</v>
      </c>
      <c r="C1271" s="79">
        <v>30.762108000000001</v>
      </c>
      <c r="D1271" s="79">
        <f t="shared" si="38"/>
        <v>-8.0136039132705505E-4</v>
      </c>
      <c r="E1271" s="79">
        <f t="shared" si="39"/>
        <v>-6.8956141366749435E-4</v>
      </c>
    </row>
    <row r="1272" spans="1:5">
      <c r="A1272" s="136">
        <v>42571</v>
      </c>
      <c r="B1272" s="79">
        <v>4379.7597660000001</v>
      </c>
      <c r="C1272" s="79">
        <v>30.783335000000001</v>
      </c>
      <c r="D1272" s="79">
        <f t="shared" si="38"/>
        <v>1.1461522942959768E-2</v>
      </c>
      <c r="E1272" s="79">
        <f t="shared" si="39"/>
        <v>2.7664299225922395E-3</v>
      </c>
    </row>
    <row r="1273" spans="1:5">
      <c r="A1273" s="136">
        <v>42570</v>
      </c>
      <c r="B1273" s="79">
        <v>4330.1298829999996</v>
      </c>
      <c r="C1273" s="79">
        <v>30.698409999999999</v>
      </c>
      <c r="D1273" s="79">
        <f t="shared" si="38"/>
        <v>-6.3359331941308383E-3</v>
      </c>
      <c r="E1273" s="79">
        <f t="shared" si="39"/>
        <v>-4.1326418693016231E-3</v>
      </c>
    </row>
    <row r="1274" spans="1:5">
      <c r="A1274" s="136">
        <v>42569</v>
      </c>
      <c r="B1274" s="79">
        <v>4357.7402339999999</v>
      </c>
      <c r="C1274" s="79">
        <v>30.825801999999999</v>
      </c>
      <c r="D1274" s="79">
        <f t="shared" si="38"/>
        <v>-3.3778156688970551E-3</v>
      </c>
      <c r="E1274" s="79">
        <f t="shared" si="39"/>
        <v>4.1342855139059331E-4</v>
      </c>
    </row>
    <row r="1275" spans="1:5">
      <c r="A1275" s="136">
        <v>42566</v>
      </c>
      <c r="B1275" s="79">
        <v>4372.5097660000001</v>
      </c>
      <c r="C1275" s="79">
        <v>30.813063</v>
      </c>
      <c r="D1275" s="79">
        <f t="shared" si="38"/>
        <v>-2.9666388343154715E-3</v>
      </c>
      <c r="E1275" s="79">
        <f t="shared" si="39"/>
        <v>-4.8006409467387101E-3</v>
      </c>
    </row>
    <row r="1276" spans="1:5">
      <c r="A1276" s="136">
        <v>42565</v>
      </c>
      <c r="B1276" s="79">
        <v>4385.5200199999999</v>
      </c>
      <c r="C1276" s="79">
        <v>30.961698999999999</v>
      </c>
      <c r="D1276" s="79">
        <f t="shared" si="38"/>
        <v>1.1593366190919996E-2</v>
      </c>
      <c r="E1276" s="79">
        <f t="shared" si="39"/>
        <v>1.7301756477500874E-2</v>
      </c>
    </row>
    <row r="1277" spans="1:5">
      <c r="A1277" s="136">
        <v>42564</v>
      </c>
      <c r="B1277" s="79">
        <v>4335.2597660000001</v>
      </c>
      <c r="C1277" s="79">
        <v>30.435117999999999</v>
      </c>
      <c r="D1277" s="79">
        <f t="shared" si="38"/>
        <v>8.9576142125702418E-4</v>
      </c>
      <c r="E1277" s="79">
        <f t="shared" si="39"/>
        <v>4.2034172017284543E-3</v>
      </c>
    </row>
    <row r="1278" spans="1:5">
      <c r="A1278" s="136">
        <v>42563</v>
      </c>
      <c r="B1278" s="79">
        <v>4331.3798829999996</v>
      </c>
      <c r="C1278" s="79">
        <v>30.307721999999998</v>
      </c>
      <c r="D1278" s="79">
        <f t="shared" si="38"/>
        <v>1.5675842676756035E-2</v>
      </c>
      <c r="E1278" s="79">
        <f t="shared" si="39"/>
        <v>1.7101271032523568E-2</v>
      </c>
    </row>
    <row r="1279" spans="1:5">
      <c r="A1279" s="136">
        <v>42562</v>
      </c>
      <c r="B1279" s="79">
        <v>4264.5297849999997</v>
      </c>
      <c r="C1279" s="79">
        <v>29.798136</v>
      </c>
      <c r="D1279" s="79">
        <f t="shared" si="38"/>
        <v>1.7622344320842309E-2</v>
      </c>
      <c r="E1279" s="79">
        <f t="shared" si="39"/>
        <v>2.9489391761040595E-2</v>
      </c>
    </row>
    <row r="1280" spans="1:5">
      <c r="A1280" s="136">
        <v>42559</v>
      </c>
      <c r="B1280" s="79">
        <v>4190.6801759999998</v>
      </c>
      <c r="C1280" s="79">
        <v>28.944578</v>
      </c>
      <c r="D1280" s="79">
        <f t="shared" si="38"/>
        <v>1.768643254774438E-2</v>
      </c>
      <c r="E1280" s="79">
        <f t="shared" si="39"/>
        <v>3.2727392350826889E-2</v>
      </c>
    </row>
    <row r="1281" spans="1:5">
      <c r="A1281" s="136">
        <v>42558</v>
      </c>
      <c r="B1281" s="79">
        <v>4117.8500979999999</v>
      </c>
      <c r="C1281" s="79">
        <v>28.027317</v>
      </c>
      <c r="D1281" s="79">
        <f t="shared" si="38"/>
        <v>7.9676030180371171E-3</v>
      </c>
      <c r="E1281" s="79">
        <f t="shared" si="39"/>
        <v>1.3980669717486238E-2</v>
      </c>
    </row>
    <row r="1282" spans="1:5">
      <c r="A1282" s="136">
        <v>42557</v>
      </c>
      <c r="B1282" s="79">
        <v>4085.3000489999999</v>
      </c>
      <c r="C1282" s="79">
        <v>27.640879000000002</v>
      </c>
    </row>
  </sheetData>
  <sheetProtection formatCells="0" formatColumns="0" formatRows="0" insertColumns="0" insertRows="0" insertHyperlinks="0" deleteColumns="0" deleteRows="0" selectLockedCells="1" sort="0" autoFilter="0" pivotTables="0"/>
  <autoFilter ref="A3:D1282" xr:uid="{19C0A3CE-96E4-439E-B146-43A235F33A1A}">
    <sortState xmlns:xlrd2="http://schemas.microsoft.com/office/spreadsheetml/2017/richdata2" ref="A4:D1282">
      <sortCondition descending="1" ref="A3:A128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DCF &amp; Sensitivity Model</vt:lpstr>
      <vt:lpstr>WACC</vt:lpstr>
      <vt:lpstr>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2021-11-10T18:12:16Z</dcterms:created>
  <dcterms:modified xsi:type="dcterms:W3CDTF">2021-11-10T18:12:38Z</dcterms:modified>
</cp:coreProperties>
</file>