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Somya\Semester 4\Student Managed Investment Fund\"/>
    </mc:Choice>
  </mc:AlternateContent>
  <xr:revisionPtr revIDLastSave="0" documentId="13_ncr:1_{FB643655-D84C-4EED-BE64-27D68611066F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Honda" sheetId="12" r:id="rId1"/>
    <sheet name="Ford" sheetId="11" r:id="rId2"/>
    <sheet name="General Motors" sheetId="1" r:id="rId3"/>
    <sheet name="Valuation_Comple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1" l="1"/>
  <c r="J14" i="12"/>
  <c r="I40" i="12"/>
  <c r="I14" i="12"/>
  <c r="I42" i="12" s="1"/>
  <c r="H40" i="12"/>
  <c r="H16" i="12"/>
  <c r="H14" i="12"/>
  <c r="H42" i="12" s="1"/>
  <c r="G40" i="12"/>
  <c r="G20" i="12"/>
  <c r="G14" i="12"/>
  <c r="G42" i="12" s="1"/>
  <c r="J42" i="12"/>
  <c r="H43" i="12"/>
  <c r="I43" i="12"/>
  <c r="J43" i="12"/>
  <c r="G43" i="12"/>
  <c r="H42" i="1"/>
  <c r="I42" i="1"/>
  <c r="J42" i="1"/>
  <c r="G42" i="1"/>
  <c r="J14" i="1"/>
  <c r="I14" i="1"/>
  <c r="H14" i="1"/>
  <c r="G14" i="1"/>
  <c r="M21" i="11"/>
  <c r="M22" i="11" s="1"/>
  <c r="M26" i="11" s="1"/>
  <c r="M31" i="11" s="1"/>
  <c r="M15" i="11"/>
  <c r="M13" i="11"/>
  <c r="M9" i="11"/>
  <c r="N21" i="11"/>
  <c r="N15" i="11"/>
  <c r="N9" i="11"/>
  <c r="G41" i="11"/>
  <c r="J40" i="11"/>
  <c r="J14" i="11"/>
  <c r="J42" i="11" s="1"/>
  <c r="J9" i="11"/>
  <c r="I40" i="11"/>
  <c r="I14" i="11"/>
  <c r="I9" i="11"/>
  <c r="H40" i="11"/>
  <c r="H16" i="11"/>
  <c r="H14" i="11"/>
  <c r="H42" i="11" s="1"/>
  <c r="H9" i="11"/>
  <c r="H35" i="11" s="1"/>
  <c r="G40" i="11"/>
  <c r="I42" i="11"/>
  <c r="G42" i="11"/>
  <c r="G20" i="11"/>
  <c r="G16" i="11"/>
  <c r="G14" i="11"/>
  <c r="G9" i="11"/>
  <c r="G35" i="11" s="1"/>
  <c r="I64" i="12"/>
  <c r="H64" i="12"/>
  <c r="C64" i="12"/>
  <c r="C61" i="12"/>
  <c r="P47" i="12"/>
  <c r="J47" i="12"/>
  <c r="I47" i="12"/>
  <c r="H47" i="12"/>
  <c r="G47" i="12"/>
  <c r="J46" i="12"/>
  <c r="I46" i="12"/>
  <c r="H46" i="12"/>
  <c r="G46" i="12"/>
  <c r="O45" i="12"/>
  <c r="P45" i="12" s="1"/>
  <c r="O44" i="12"/>
  <c r="P44" i="12" s="1"/>
  <c r="O43" i="12"/>
  <c r="O48" i="12" s="1"/>
  <c r="P35" i="12" s="1"/>
  <c r="I39" i="12"/>
  <c r="G39" i="12"/>
  <c r="J38" i="12"/>
  <c r="I38" i="12"/>
  <c r="H38" i="12"/>
  <c r="G38" i="12"/>
  <c r="I35" i="12"/>
  <c r="H35" i="12"/>
  <c r="J34" i="12"/>
  <c r="I34" i="12"/>
  <c r="H34" i="12"/>
  <c r="G34" i="12"/>
  <c r="C30" i="12"/>
  <c r="C29" i="12"/>
  <c r="C27" i="12"/>
  <c r="N22" i="12"/>
  <c r="N26" i="12" s="1"/>
  <c r="N31" i="12" s="1"/>
  <c r="M22" i="12"/>
  <c r="M26" i="12" s="1"/>
  <c r="M31" i="12" s="1"/>
  <c r="C21" i="12"/>
  <c r="C20" i="12"/>
  <c r="C19" i="12" s="1"/>
  <c r="H10" i="12"/>
  <c r="H13" i="12" s="1"/>
  <c r="N10" i="12"/>
  <c r="N16" i="12" s="1"/>
  <c r="M10" i="12"/>
  <c r="M16" i="12" s="1"/>
  <c r="J10" i="12"/>
  <c r="J13" i="12" s="1"/>
  <c r="J16" i="12" s="1"/>
  <c r="I10" i="12"/>
  <c r="I13" i="12" s="1"/>
  <c r="G35" i="12"/>
  <c r="I64" i="11"/>
  <c r="H64" i="11"/>
  <c r="C64" i="11"/>
  <c r="C61" i="11"/>
  <c r="P47" i="11"/>
  <c r="J47" i="11"/>
  <c r="I47" i="11"/>
  <c r="H47" i="11"/>
  <c r="G47" i="11"/>
  <c r="J46" i="11"/>
  <c r="I46" i="11"/>
  <c r="H46" i="11"/>
  <c r="G46" i="11"/>
  <c r="O45" i="11"/>
  <c r="P45" i="11" s="1"/>
  <c r="P44" i="11"/>
  <c r="O44" i="11"/>
  <c r="O43" i="11"/>
  <c r="P43" i="11" s="1"/>
  <c r="J43" i="11"/>
  <c r="I43" i="11"/>
  <c r="H43" i="11"/>
  <c r="G43" i="11"/>
  <c r="I39" i="11"/>
  <c r="G39" i="11"/>
  <c r="J38" i="11"/>
  <c r="I38" i="11"/>
  <c r="H38" i="11"/>
  <c r="G38" i="11"/>
  <c r="J35" i="11"/>
  <c r="J37" i="11" s="1"/>
  <c r="I35" i="11"/>
  <c r="J34" i="11"/>
  <c r="I34" i="11"/>
  <c r="B54" i="11" s="1"/>
  <c r="H34" i="11"/>
  <c r="G34" i="11"/>
  <c r="C30" i="11"/>
  <c r="C29" i="11"/>
  <c r="C27" i="11"/>
  <c r="N22" i="11"/>
  <c r="N26" i="11" s="1"/>
  <c r="N31" i="11" s="1"/>
  <c r="C21" i="11"/>
  <c r="C20" i="11"/>
  <c r="C19" i="11" s="1"/>
  <c r="I10" i="11"/>
  <c r="I13" i="11" s="1"/>
  <c r="I16" i="11" s="1"/>
  <c r="G10" i="11"/>
  <c r="G13" i="11" s="1"/>
  <c r="N10" i="11"/>
  <c r="M10" i="11"/>
  <c r="J10" i="11"/>
  <c r="J13" i="11" s="1"/>
  <c r="J16" i="11" s="1"/>
  <c r="C61" i="1"/>
  <c r="I16" i="12" l="1"/>
  <c r="I17" i="12" s="1"/>
  <c r="I20" i="12" s="1"/>
  <c r="H17" i="12"/>
  <c r="H20" i="12" s="1"/>
  <c r="B51" i="12"/>
  <c r="H37" i="12"/>
  <c r="H41" i="12" s="1"/>
  <c r="H44" i="12" s="1"/>
  <c r="G37" i="12"/>
  <c r="G41" i="12" s="1"/>
  <c r="G56" i="12" s="1"/>
  <c r="B54" i="12"/>
  <c r="M16" i="11"/>
  <c r="N16" i="11"/>
  <c r="J41" i="11"/>
  <c r="B52" i="11"/>
  <c r="I17" i="11"/>
  <c r="I20" i="11" s="1"/>
  <c r="H10" i="11"/>
  <c r="H13" i="11" s="1"/>
  <c r="H17" i="11" s="1"/>
  <c r="H20" i="11" s="1"/>
  <c r="H37" i="11"/>
  <c r="H41" i="11" s="1"/>
  <c r="H44" i="11" s="1"/>
  <c r="B51" i="11"/>
  <c r="G37" i="11"/>
  <c r="G44" i="11" s="1"/>
  <c r="J17" i="12"/>
  <c r="J20" i="12" s="1"/>
  <c r="P43" i="12"/>
  <c r="P48" i="12" s="1"/>
  <c r="P36" i="12" s="1"/>
  <c r="P37" i="12" s="1"/>
  <c r="C24" i="12" s="1"/>
  <c r="C25" i="12" s="1"/>
  <c r="C31" i="12" s="1"/>
  <c r="G10" i="12"/>
  <c r="G13" i="12" s="1"/>
  <c r="G16" i="12" s="1"/>
  <c r="J35" i="12"/>
  <c r="J37" i="12" s="1"/>
  <c r="B52" i="12"/>
  <c r="B55" i="12"/>
  <c r="I37" i="12"/>
  <c r="I41" i="12" s="1"/>
  <c r="P48" i="11"/>
  <c r="P36" i="11" s="1"/>
  <c r="G17" i="11"/>
  <c r="J17" i="11"/>
  <c r="J20" i="11" s="1"/>
  <c r="C68" i="11"/>
  <c r="J44" i="11"/>
  <c r="J56" i="11"/>
  <c r="C58" i="11"/>
  <c r="C44" i="11"/>
  <c r="B55" i="11"/>
  <c r="C41" i="11"/>
  <c r="O48" i="11"/>
  <c r="P35" i="11" s="1"/>
  <c r="I37" i="11"/>
  <c r="I41" i="11" s="1"/>
  <c r="H56" i="12" l="1"/>
  <c r="G44" i="12"/>
  <c r="G45" i="12" s="1"/>
  <c r="H56" i="11"/>
  <c r="G56" i="11"/>
  <c r="I63" i="12"/>
  <c r="G61" i="12"/>
  <c r="H63" i="12"/>
  <c r="I62" i="12"/>
  <c r="H62" i="12"/>
  <c r="I61" i="12"/>
  <c r="H61" i="12"/>
  <c r="G17" i="12"/>
  <c r="J41" i="12"/>
  <c r="C41" i="12"/>
  <c r="I44" i="12"/>
  <c r="I56" i="12"/>
  <c r="H45" i="12"/>
  <c r="H48" i="12" s="1"/>
  <c r="H52" i="12" s="1"/>
  <c r="C67" i="11"/>
  <c r="C66" i="11"/>
  <c r="C65" i="11"/>
  <c r="C43" i="11"/>
  <c r="J45" i="11"/>
  <c r="J48" i="11" s="1"/>
  <c r="I56" i="11"/>
  <c r="I44" i="11"/>
  <c r="P37" i="11"/>
  <c r="C24" i="11" s="1"/>
  <c r="C25" i="11" s="1"/>
  <c r="C31" i="11" s="1"/>
  <c r="G45" i="11"/>
  <c r="G48" i="11" s="1"/>
  <c r="G52" i="11" s="1"/>
  <c r="H45" i="11"/>
  <c r="H48" i="11" s="1"/>
  <c r="H52" i="11" s="1"/>
  <c r="G48" i="12" l="1"/>
  <c r="G52" i="12" s="1"/>
  <c r="C68" i="12"/>
  <c r="J44" i="12"/>
  <c r="C58" i="12"/>
  <c r="J56" i="12"/>
  <c r="C44" i="12"/>
  <c r="I45" i="12"/>
  <c r="I48" i="12" s="1"/>
  <c r="I52" i="12" s="1"/>
  <c r="G63" i="12"/>
  <c r="C52" i="12"/>
  <c r="C55" i="12"/>
  <c r="C54" i="12"/>
  <c r="C51" i="12"/>
  <c r="I45" i="11"/>
  <c r="I48" i="11" s="1"/>
  <c r="I52" i="11" s="1"/>
  <c r="C54" i="11"/>
  <c r="C51" i="11"/>
  <c r="C55" i="11"/>
  <c r="C52" i="11"/>
  <c r="C45" i="11"/>
  <c r="C60" i="11"/>
  <c r="C59" i="11"/>
  <c r="J52" i="11"/>
  <c r="G64" i="11" s="1"/>
  <c r="I63" i="11"/>
  <c r="G61" i="11"/>
  <c r="H63" i="11"/>
  <c r="G63" i="11"/>
  <c r="I61" i="11"/>
  <c r="I62" i="11"/>
  <c r="H62" i="11"/>
  <c r="H61" i="11"/>
  <c r="D54" i="12" l="1"/>
  <c r="D55" i="12"/>
  <c r="D52" i="12"/>
  <c r="D51" i="12"/>
  <c r="C67" i="12"/>
  <c r="C66" i="12"/>
  <c r="C43" i="12"/>
  <c r="C65" i="12"/>
  <c r="G62" i="12"/>
  <c r="J45" i="12"/>
  <c r="J48" i="12" s="1"/>
  <c r="D51" i="11"/>
  <c r="D55" i="11"/>
  <c r="D52" i="11"/>
  <c r="D54" i="11"/>
  <c r="C60" i="12" l="1"/>
  <c r="C59" i="12"/>
  <c r="J52" i="12"/>
  <c r="G64" i="12" s="1"/>
  <c r="C45" i="12"/>
  <c r="M15" i="1" l="1"/>
  <c r="M9" i="1"/>
  <c r="N15" i="1"/>
  <c r="N9" i="1"/>
  <c r="J43" i="1"/>
  <c r="J40" i="1"/>
  <c r="J9" i="1"/>
  <c r="J35" i="1" s="1"/>
  <c r="H46" i="1"/>
  <c r="I46" i="1"/>
  <c r="J46" i="1"/>
  <c r="I9" i="1"/>
  <c r="H40" i="1"/>
  <c r="H9" i="1"/>
  <c r="H10" i="1" s="1"/>
  <c r="H13" i="1" s="1"/>
  <c r="H16" i="1" s="1"/>
  <c r="H34" i="1"/>
  <c r="H47" i="1"/>
  <c r="I47" i="1"/>
  <c r="J47" i="1"/>
  <c r="G46" i="1"/>
  <c r="G9" i="1"/>
  <c r="J34" i="1"/>
  <c r="I10" i="1"/>
  <c r="I13" i="1" s="1"/>
  <c r="I16" i="1" s="1"/>
  <c r="I17" i="1" s="1"/>
  <c r="J38" i="1"/>
  <c r="J10" i="1" l="1"/>
  <c r="J13" i="1" s="1"/>
  <c r="J16" i="1" s="1"/>
  <c r="J37" i="1"/>
  <c r="H17" i="1"/>
  <c r="H20" i="1" s="1"/>
  <c r="I20" i="1"/>
  <c r="J17" i="1"/>
  <c r="J20" i="1" s="1"/>
  <c r="I8" i="6"/>
  <c r="M8" i="6" s="1"/>
  <c r="E22" i="6" s="1"/>
  <c r="I22" i="6" s="1"/>
  <c r="I9" i="6"/>
  <c r="M9" i="6" s="1"/>
  <c r="E23" i="6" s="1"/>
  <c r="I23" i="6" s="1"/>
  <c r="G8" i="6"/>
  <c r="K8" i="6" s="1"/>
  <c r="C22" i="6" s="1"/>
  <c r="G22" i="6" s="1"/>
  <c r="G9" i="6"/>
  <c r="K9" i="6" s="1"/>
  <c r="C23" i="6" s="1"/>
  <c r="G23" i="6" s="1"/>
  <c r="I7" i="6"/>
  <c r="M7" i="6" s="1"/>
  <c r="E21" i="6" s="1"/>
  <c r="G7" i="6"/>
  <c r="K7" i="6" s="1"/>
  <c r="C21" i="6" s="1"/>
  <c r="I64" i="1"/>
  <c r="H64" i="1"/>
  <c r="C64" i="1"/>
  <c r="G47" i="1"/>
  <c r="H43" i="1"/>
  <c r="I43" i="1"/>
  <c r="G43" i="1"/>
  <c r="I39" i="1"/>
  <c r="G39" i="1"/>
  <c r="H38" i="1"/>
  <c r="I38" i="1"/>
  <c r="G38" i="1"/>
  <c r="H35" i="1"/>
  <c r="I35" i="1"/>
  <c r="G35" i="1"/>
  <c r="I34" i="1"/>
  <c r="G34" i="1"/>
  <c r="C30" i="1"/>
  <c r="C29" i="1"/>
  <c r="C27" i="1"/>
  <c r="N22" i="1"/>
  <c r="N26" i="1" s="1"/>
  <c r="N31" i="1" s="1"/>
  <c r="N10" i="1"/>
  <c r="N16" i="1" s="1"/>
  <c r="P47" i="1"/>
  <c r="O45" i="1"/>
  <c r="P45" i="1" s="1"/>
  <c r="O44" i="1"/>
  <c r="P44" i="1" s="1"/>
  <c r="O43" i="1"/>
  <c r="F27" i="6"/>
  <c r="J27" i="6" s="1"/>
  <c r="F9" i="6"/>
  <c r="J9" i="6" s="1"/>
  <c r="F8" i="6"/>
  <c r="J8" i="6" s="1"/>
  <c r="F7" i="6"/>
  <c r="J7" i="6" s="1"/>
  <c r="F23" i="6"/>
  <c r="J23" i="6" s="1"/>
  <c r="F22" i="6"/>
  <c r="J22" i="6" s="1"/>
  <c r="F21" i="6"/>
  <c r="J21" i="6" s="1"/>
  <c r="M10" i="1"/>
  <c r="M16" i="1" s="1"/>
  <c r="M22" i="1"/>
  <c r="G10" i="1"/>
  <c r="G13" i="1" s="1"/>
  <c r="G16" i="1" s="1"/>
  <c r="C21" i="1"/>
  <c r="C20" i="1"/>
  <c r="C19" i="1" s="1"/>
  <c r="J41" i="1" l="1"/>
  <c r="C41" i="1"/>
  <c r="J56" i="1"/>
  <c r="G17" i="1"/>
  <c r="G20" i="1"/>
  <c r="B54" i="1"/>
  <c r="O48" i="1"/>
  <c r="P35" i="1" s="1"/>
  <c r="G37" i="1"/>
  <c r="G41" i="1" s="1"/>
  <c r="G44" i="1" s="1"/>
  <c r="H37" i="1"/>
  <c r="H41" i="1" s="1"/>
  <c r="E27" i="6"/>
  <c r="I21" i="6"/>
  <c r="I27" i="6" s="1"/>
  <c r="C27" i="6"/>
  <c r="G21" i="6"/>
  <c r="G27" i="6" s="1"/>
  <c r="P43" i="1"/>
  <c r="P48" i="1" s="1"/>
  <c r="P36" i="1" s="1"/>
  <c r="B55" i="1"/>
  <c r="I37" i="1"/>
  <c r="I41" i="1" s="1"/>
  <c r="I44" i="1" s="1"/>
  <c r="B52" i="1"/>
  <c r="B51" i="1"/>
  <c r="M26" i="1"/>
  <c r="M31" i="1" s="1"/>
  <c r="C67" i="1" l="1"/>
  <c r="C43" i="1"/>
  <c r="C66" i="1"/>
  <c r="C65" i="1"/>
  <c r="J44" i="1"/>
  <c r="J45" i="1" s="1"/>
  <c r="C68" i="1"/>
  <c r="C44" i="1"/>
  <c r="C58" i="1"/>
  <c r="H56" i="1"/>
  <c r="H44" i="1"/>
  <c r="P37" i="1"/>
  <c r="G56" i="1"/>
  <c r="I56" i="1"/>
  <c r="G45" i="1"/>
  <c r="G48" i="1" s="1"/>
  <c r="J48" i="1" l="1"/>
  <c r="G52" i="1"/>
  <c r="H45" i="1"/>
  <c r="C24" i="1"/>
  <c r="C25" i="1" s="1"/>
  <c r="I45" i="1"/>
  <c r="I48" i="1" s="1"/>
  <c r="C55" i="1"/>
  <c r="C52" i="1"/>
  <c r="C54" i="1"/>
  <c r="C51" i="1"/>
  <c r="C31" i="1" l="1"/>
  <c r="J52" i="1"/>
  <c r="G64" i="1" s="1"/>
  <c r="C45" i="1"/>
  <c r="C60" i="1"/>
  <c r="C59" i="1"/>
  <c r="H48" i="1"/>
  <c r="H52" i="1" s="1"/>
  <c r="H63" i="1"/>
  <c r="H62" i="1"/>
  <c r="I63" i="1"/>
  <c r="I52" i="1"/>
  <c r="H61" i="1" l="1"/>
  <c r="G63" i="1"/>
  <c r="G62" i="1"/>
  <c r="G61" i="1"/>
  <c r="I62" i="1"/>
  <c r="I61" i="1"/>
  <c r="D51" i="1"/>
  <c r="D52" i="1"/>
  <c r="D55" i="1"/>
  <c r="D54" i="1"/>
</calcChain>
</file>

<file path=xl/sharedStrings.xml><?xml version="1.0" encoding="utf-8"?>
<sst xmlns="http://schemas.openxmlformats.org/spreadsheetml/2006/main" count="502" uniqueCount="142">
  <si>
    <t>Reported Income Statement</t>
  </si>
  <si>
    <t>LTM</t>
  </si>
  <si>
    <t>Sales</t>
  </si>
  <si>
    <t>COGS</t>
  </si>
  <si>
    <t xml:space="preserve">   Gross Profit</t>
  </si>
  <si>
    <t>SG&amp;A</t>
  </si>
  <si>
    <t>Other Expense / (Income)</t>
  </si>
  <si>
    <t xml:space="preserve">   EBIT</t>
  </si>
  <si>
    <t>Interest Expense</t>
  </si>
  <si>
    <t xml:space="preserve">   Pre-tax Income</t>
  </si>
  <si>
    <t>Income Taxes</t>
  </si>
  <si>
    <t>Preferred Dividends</t>
  </si>
  <si>
    <t xml:space="preserve">   Net Income</t>
  </si>
  <si>
    <t xml:space="preserve">   Effective Tax Rate</t>
  </si>
  <si>
    <t>Diluted EPS</t>
  </si>
  <si>
    <t>Reported Balance Sheet</t>
  </si>
  <si>
    <t>General Information</t>
  </si>
  <si>
    <t>Company Name</t>
  </si>
  <si>
    <t>Ticker</t>
  </si>
  <si>
    <t>Stock Exchange</t>
  </si>
  <si>
    <t>Fiscal Year Ending</t>
  </si>
  <si>
    <t>Moody's Corporate Rating</t>
  </si>
  <si>
    <t>S&amp;P Corporate Rating</t>
  </si>
  <si>
    <t>Predicted Beta</t>
  </si>
  <si>
    <t>Marginal Tax Rate</t>
  </si>
  <si>
    <t>Selected Market Data</t>
  </si>
  <si>
    <t>Current Price</t>
  </si>
  <si>
    <t xml:space="preserve">   % of 52-week High</t>
  </si>
  <si>
    <t>52-week High Price</t>
  </si>
  <si>
    <t>52-week Low Price</t>
  </si>
  <si>
    <t>Dividend Per Share (MRQ)</t>
  </si>
  <si>
    <t>Fully Diluted Shares Outstanding</t>
  </si>
  <si>
    <t xml:space="preserve">   Equity Value</t>
  </si>
  <si>
    <t>Plus: Total Debt</t>
  </si>
  <si>
    <t>Plus: Preferred Stock</t>
  </si>
  <si>
    <t>Less: Cash and Cash Equivalents</t>
  </si>
  <si>
    <t xml:space="preserve">   Enterprise Value</t>
  </si>
  <si>
    <t>Cash and Cash Equivalents</t>
  </si>
  <si>
    <t>Accounts Receivable</t>
  </si>
  <si>
    <t>Inventories</t>
  </si>
  <si>
    <t>Prepaids and Other Current Assets</t>
  </si>
  <si>
    <t xml:space="preserve">   Total Current Assets</t>
  </si>
  <si>
    <t>Property, Plant and Equipment, net</t>
  </si>
  <si>
    <t>Goodwill and Intangible Assets</t>
  </si>
  <si>
    <t>Other Assets</t>
  </si>
  <si>
    <t xml:space="preserve">   Total Assets</t>
  </si>
  <si>
    <t>Accounts Payable</t>
  </si>
  <si>
    <t>Accrued Liabilities</t>
  </si>
  <si>
    <t>Other Current Liabilities</t>
  </si>
  <si>
    <t xml:space="preserve">   Total Current Liabilities</t>
  </si>
  <si>
    <t>Total Debt</t>
  </si>
  <si>
    <t>Other Long-Term Liabilities</t>
  </si>
  <si>
    <t xml:space="preserve">   Total Liabilities </t>
  </si>
  <si>
    <t>Preferred Stock</t>
  </si>
  <si>
    <t>Shareholders' Equity</t>
  </si>
  <si>
    <t xml:space="preserve">   Total Liabilities and Equity</t>
  </si>
  <si>
    <t>Adjusted Income Statement</t>
  </si>
  <si>
    <t>Depreciation &amp; Amortization</t>
  </si>
  <si>
    <t>Non-recurring Items</t>
  </si>
  <si>
    <t>Basic Shares Outstanding</t>
  </si>
  <si>
    <t>Plus: Shares from In-the-Money Options</t>
  </si>
  <si>
    <t>Less: Shares Repurchased</t>
  </si>
  <si>
    <t xml:space="preserve">   Fully Diluted Shares Outstanding</t>
  </si>
  <si>
    <t>Options/Warrants</t>
  </si>
  <si>
    <t>Number of</t>
  </si>
  <si>
    <t>Exercise</t>
  </si>
  <si>
    <t>In-the-Money</t>
  </si>
  <si>
    <t>Tranche</t>
  </si>
  <si>
    <t>Shares</t>
  </si>
  <si>
    <t>Price</t>
  </si>
  <si>
    <t>Proceeds</t>
  </si>
  <si>
    <t>Tranche 1</t>
  </si>
  <si>
    <t>Tranche 2</t>
  </si>
  <si>
    <t>Tranche 3</t>
  </si>
  <si>
    <t>Tranche 4</t>
  </si>
  <si>
    <t xml:space="preserve">   Total</t>
  </si>
  <si>
    <t>Calculation of Fully Diluted Shares Outstanding (Million)</t>
  </si>
  <si>
    <t>Return on Invested Capital</t>
  </si>
  <si>
    <t>Return on Equity</t>
  </si>
  <si>
    <t>Return on Assets</t>
  </si>
  <si>
    <t>Implied Annual Dividend Yield</t>
  </si>
  <si>
    <t>LTM Profitability Margins</t>
  </si>
  <si>
    <t>Gross Profit Margin</t>
  </si>
  <si>
    <t>EBITDA Margin</t>
  </si>
  <si>
    <t>EBIT Margin</t>
  </si>
  <si>
    <t>Net Income Margin</t>
  </si>
  <si>
    <t>Cash Flow Statement Data</t>
  </si>
  <si>
    <t>EBITDA</t>
  </si>
  <si>
    <t>Growth Rates</t>
  </si>
  <si>
    <t>Historical</t>
  </si>
  <si>
    <t>1-year</t>
  </si>
  <si>
    <t>2-year CAGR</t>
  </si>
  <si>
    <t>Estimated</t>
  </si>
  <si>
    <t>EPS</t>
  </si>
  <si>
    <t>Diluted Shares Oustanding</t>
  </si>
  <si>
    <t>Estimates for the Following Two Years</t>
  </si>
  <si>
    <t xml:space="preserve">LTM Return on Investment </t>
  </si>
  <si>
    <t>LTM Credit Statistics</t>
  </si>
  <si>
    <t>Total Debt / Total Capitalization</t>
  </si>
  <si>
    <t>Total Debt / EBITDA</t>
  </si>
  <si>
    <t>Net Debt / EBITDA</t>
  </si>
  <si>
    <t>EBITDA / Interest Expense</t>
  </si>
  <si>
    <t>EBIT / Interest Expense</t>
  </si>
  <si>
    <t>Trading Multiples</t>
  </si>
  <si>
    <t>NFY</t>
  </si>
  <si>
    <t>NFY+1</t>
  </si>
  <si>
    <t>EV/Sales</t>
  </si>
  <si>
    <t>EV/EBITDA</t>
  </si>
  <si>
    <t>EV/EBIT</t>
  </si>
  <si>
    <t>P/E</t>
  </si>
  <si>
    <t>EBIT</t>
  </si>
  <si>
    <t>Valuation Multiples</t>
  </si>
  <si>
    <t>Metric</t>
  </si>
  <si>
    <t>Multiple Range</t>
  </si>
  <si>
    <t>-</t>
  </si>
  <si>
    <t>Implied Enterprise Value</t>
  </si>
  <si>
    <t>Control Premium</t>
  </si>
  <si>
    <t>Sector Control Premium</t>
  </si>
  <si>
    <t>Adjusted Valuation</t>
  </si>
  <si>
    <t>Implied Equity Value</t>
  </si>
  <si>
    <t>Financial Statistics</t>
  </si>
  <si>
    <t xml:space="preserve">Preferred Stock </t>
  </si>
  <si>
    <t>Valuations: Final</t>
  </si>
  <si>
    <t>Range</t>
  </si>
  <si>
    <t>product obsolescence.</t>
  </si>
  <si>
    <t xml:space="preserve"> the closure of a manufacturing facility.</t>
  </si>
  <si>
    <t>+ Non-Recurring Items in COGS</t>
  </si>
  <si>
    <t>+ Other Non-Recurring Items</t>
  </si>
  <si>
    <t>Cash</t>
  </si>
  <si>
    <t xml:space="preserve">(1) In Q2 2019, Gasparro Corp. recorded a $30 million pre-tax inventory valuation charge related to </t>
  </si>
  <si>
    <t>(2) In Q4 2018, Gasparro Corp. realized a $25 million pre-tax gain on the sale of a non-core business.</t>
  </si>
  <si>
    <t>(3) In Q3 2019, Gasparro Corp. recognized $15 million of pre-tax restructuring costs in connection with</t>
  </si>
  <si>
    <t>The non-recurring items are from a sample problem. We can modify this according to the respective comparable company.</t>
  </si>
  <si>
    <t>2023E</t>
  </si>
  <si>
    <t>General Motors</t>
  </si>
  <si>
    <t xml:space="preserve">Toyota Motor Corp. </t>
  </si>
  <si>
    <t>2024E</t>
  </si>
  <si>
    <t xml:space="preserve">Honda Motor Co. </t>
  </si>
  <si>
    <t>Year Ending December 31,</t>
  </si>
  <si>
    <t>Minority Interest</t>
  </si>
  <si>
    <t>Plus: Minority Interest</t>
  </si>
  <si>
    <t xml:space="preserve">Ford Motor 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</si>
</sst>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_);[Red]\(0.0\)"/>
    <numFmt numFmtId="166" formatCode="&quot;$&quot;#,##0.0_);[Red]\(&quot;$&quot;#,##0.0\)"/>
    <numFmt numFmtId="167" formatCode="mmm\-dd"/>
    <numFmt numFmtId="168" formatCode="* _(#,##0.00_);* \(#,##0.00\);* _(&quot;-&quot;?_);_(@_)"/>
    <numFmt numFmtId="169" formatCode="* _(#,##0.0%_);* \(#,##0.0%\);* _(&quot;-&quot;?_);_(@_)"/>
    <numFmt numFmtId="170" formatCode="m/d/yyyy;@"/>
    <numFmt numFmtId="171" formatCode="* _(&quot;$&quot;#,##0.00_);* \(&quot;$&quot;#,##0.00\);* _(&quot;-&quot;?_);_(@_)"/>
    <numFmt numFmtId="172" formatCode="* _(##,##0.000_);* \(##,##0.000\);* _(&quot;-&quot;?_);_(@_)"/>
    <numFmt numFmtId="173" formatCode="* _(&quot;$&quot;#,##0.0_);* \(&quot;$&quot;#,##0.0\);* _(&quot;-&quot;?_);_(@_)"/>
    <numFmt numFmtId="174" formatCode="* _(##,##0.0_);* \(##,##0.0\);* _(&quot;-&quot;?_);_(@_)"/>
    <numFmt numFmtId="175" formatCode="* _(##,##0.0_);[Red]* \(##,##0.0\);* _(&quot;-&quot;?_);_(@_)"/>
    <numFmt numFmtId="176" formatCode="yyyy\A"/>
    <numFmt numFmtId="177" formatCode="_(* #,##0.0_);_(* \(#,##0.0\);_(* &quot;-&quot;?_);_(@_)"/>
    <numFmt numFmtId="178" formatCode="* _(##,##0.000_);[Red]* \(##,##0.000\);* _(&quot;-&quot;?_);_(@_)"/>
    <numFmt numFmtId="179" formatCode="_(* 0.0\x_);_(* \(0.0\x\);_(* &quot;-&quot;??_);_(@_)"/>
    <numFmt numFmtId="180" formatCode="yyyy\E"/>
    <numFmt numFmtId="181" formatCode="_(* 0.0\x_);_(* \(0.0\x\);_(* &quot;-&quot;?_);_(@_)"/>
    <numFmt numFmtId="182" formatCode="_(* 0.00\x_);_(* \(0.00\x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0"/>
      <name val="Calibri"/>
      <family val="2"/>
      <scheme val="minor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1"/>
      <color indexed="9"/>
      <name val="Times New Roman"/>
      <family val="1"/>
    </font>
    <font>
      <sz val="11"/>
      <color indexed="12"/>
      <name val="Times New Roman"/>
      <family val="1"/>
    </font>
    <font>
      <b/>
      <u val="singleAccounting"/>
      <sz val="11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 val="singleAccounting"/>
      <sz val="11"/>
      <color rgb="FFFF0000"/>
      <name val="Times New Roman"/>
      <family val="1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Fill="0" applyBorder="0" applyProtection="0">
      <protection locked="0"/>
    </xf>
    <xf numFmtId="0" fontId="4" fillId="0" borderId="0"/>
    <xf numFmtId="0" fontId="2" fillId="0" borderId="0"/>
    <xf numFmtId="0" fontId="2" fillId="0" borderId="0" applyFill="0" applyBorder="0" applyProtection="0">
      <protection locked="0"/>
    </xf>
    <xf numFmtId="0" fontId="4" fillId="0" borderId="0"/>
  </cellStyleXfs>
  <cellXfs count="154">
    <xf numFmtId="0" fontId="0" fillId="0" borderId="0" xfId="0"/>
    <xf numFmtId="0" fontId="0" fillId="2" borderId="0" xfId="0" applyFill="1"/>
    <xf numFmtId="0" fontId="3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5" fillId="4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6" borderId="0" xfId="0" applyFont="1" applyFill="1"/>
    <xf numFmtId="0" fontId="9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14" fontId="9" fillId="6" borderId="2" xfId="0" applyNumberFormat="1" applyFont="1" applyFill="1" applyBorder="1"/>
    <xf numFmtId="0" fontId="10" fillId="6" borderId="0" xfId="0" applyFont="1" applyFill="1"/>
    <xf numFmtId="0" fontId="8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horizontal="right"/>
    </xf>
    <xf numFmtId="167" fontId="12" fillId="3" borderId="0" xfId="0" applyNumberFormat="1" applyFont="1" applyFill="1"/>
    <xf numFmtId="43" fontId="12" fillId="3" borderId="0" xfId="0" applyNumberFormat="1" applyFont="1" applyFill="1"/>
    <xf numFmtId="0" fontId="8" fillId="5" borderId="0" xfId="0" applyFont="1" applyFill="1"/>
    <xf numFmtId="0" fontId="10" fillId="3" borderId="0" xfId="0" applyFont="1" applyFill="1" applyAlignment="1">
      <alignment horizontal="right"/>
    </xf>
    <xf numFmtId="166" fontId="9" fillId="7" borderId="0" xfId="0" applyNumberFormat="1" applyFont="1" applyFill="1"/>
    <xf numFmtId="165" fontId="8" fillId="7" borderId="1" xfId="0" applyNumberFormat="1" applyFont="1" applyFill="1" applyBorder="1"/>
    <xf numFmtId="165" fontId="8" fillId="7" borderId="0" xfId="0" applyNumberFormat="1" applyFont="1" applyFill="1"/>
    <xf numFmtId="166" fontId="9" fillId="7" borderId="3" xfId="0" applyNumberFormat="1" applyFont="1" applyFill="1" applyBorder="1"/>
    <xf numFmtId="166" fontId="9" fillId="8" borderId="0" xfId="0" applyNumberFormat="1" applyFont="1" applyFill="1"/>
    <xf numFmtId="165" fontId="8" fillId="8" borderId="1" xfId="0" applyNumberFormat="1" applyFont="1" applyFill="1" applyBorder="1"/>
    <xf numFmtId="165" fontId="8" fillId="8" borderId="0" xfId="0" applyNumberFormat="1" applyFont="1" applyFill="1"/>
    <xf numFmtId="166" fontId="9" fillId="8" borderId="3" xfId="0" applyNumberFormat="1" applyFont="1" applyFill="1" applyBorder="1"/>
    <xf numFmtId="164" fontId="10" fillId="8" borderId="0" xfId="0" applyNumberFormat="1" applyFont="1" applyFill="1"/>
    <xf numFmtId="14" fontId="13" fillId="5" borderId="0" xfId="2" applyNumberFormat="1" applyFont="1" applyFill="1" applyAlignment="1">
      <alignment horizontal="center"/>
    </xf>
    <xf numFmtId="0" fontId="8" fillId="5" borderId="0" xfId="4" applyFont="1" applyFill="1" applyProtection="1"/>
    <xf numFmtId="0" fontId="8" fillId="6" borderId="0" xfId="4" applyFont="1" applyFill="1" applyProtection="1"/>
    <xf numFmtId="0" fontId="9" fillId="6" borderId="0" xfId="4" applyFont="1" applyFill="1" applyAlignment="1" applyProtection="1">
      <alignment horizontal="left"/>
    </xf>
    <xf numFmtId="0" fontId="8" fillId="6" borderId="0" xfId="4" applyFont="1" applyFill="1" applyAlignment="1" applyProtection="1">
      <alignment horizontal="left"/>
    </xf>
    <xf numFmtId="0" fontId="8" fillId="6" borderId="0" xfId="3" applyFont="1" applyFill="1"/>
    <xf numFmtId="176" fontId="9" fillId="6" borderId="1" xfId="4" applyNumberFormat="1" applyFont="1" applyFill="1" applyBorder="1" applyAlignment="1" applyProtection="1">
      <alignment horizontal="center"/>
    </xf>
    <xf numFmtId="14" fontId="9" fillId="6" borderId="1" xfId="2" applyNumberFormat="1" applyFont="1" applyFill="1" applyBorder="1" applyAlignment="1">
      <alignment horizontal="center"/>
    </xf>
    <xf numFmtId="173" fontId="8" fillId="8" borderId="0" xfId="1" applyNumberFormat="1" applyFont="1" applyFill="1" applyBorder="1" applyAlignment="1" applyProtection="1">
      <alignment horizontal="right"/>
    </xf>
    <xf numFmtId="174" fontId="8" fillId="8" borderId="0" xfId="1" applyNumberFormat="1" applyFont="1" applyFill="1" applyBorder="1" applyAlignment="1" applyProtection="1">
      <alignment horizontal="right"/>
    </xf>
    <xf numFmtId="174" fontId="8" fillId="8" borderId="1" xfId="1" applyNumberFormat="1" applyFont="1" applyFill="1" applyBorder="1" applyAlignment="1" applyProtection="1">
      <alignment horizontal="right"/>
    </xf>
    <xf numFmtId="173" fontId="9" fillId="8" borderId="0" xfId="1" applyNumberFormat="1" applyFont="1" applyFill="1" applyAlignment="1" applyProtection="1">
      <alignment horizontal="right"/>
    </xf>
    <xf numFmtId="0" fontId="8" fillId="8" borderId="0" xfId="0" applyFont="1" applyFill="1"/>
    <xf numFmtId="0" fontId="8" fillId="8" borderId="0" xfId="0" applyFont="1" applyFill="1" applyAlignment="1">
      <alignment horizontal="right"/>
    </xf>
    <xf numFmtId="167" fontId="8" fillId="8" borderId="0" xfId="0" applyNumberFormat="1" applyFont="1" applyFill="1"/>
    <xf numFmtId="168" fontId="8" fillId="8" borderId="0" xfId="1" applyNumberFormat="1" applyFont="1" applyFill="1" applyProtection="1"/>
    <xf numFmtId="169" fontId="10" fillId="8" borderId="0" xfId="1" applyNumberFormat="1" applyFont="1" applyFill="1" applyProtection="1"/>
    <xf numFmtId="170" fontId="8" fillId="8" borderId="0" xfId="2" applyNumberFormat="1" applyFont="1" applyFill="1" applyAlignment="1">
      <alignment horizontal="right"/>
    </xf>
    <xf numFmtId="171" fontId="8" fillId="8" borderId="0" xfId="1" applyNumberFormat="1" applyFont="1" applyFill="1" applyAlignment="1" applyProtection="1">
      <alignment horizontal="right"/>
    </xf>
    <xf numFmtId="168" fontId="8" fillId="8" borderId="0" xfId="1" applyNumberFormat="1" applyFont="1" applyFill="1" applyAlignment="1" applyProtection="1">
      <alignment horizontal="right"/>
    </xf>
    <xf numFmtId="0" fontId="8" fillId="6" borderId="0" xfId="0" applyFont="1" applyFill="1" applyAlignment="1">
      <alignment horizontal="left"/>
    </xf>
    <xf numFmtId="0" fontId="15" fillId="6" borderId="0" xfId="0" applyFont="1" applyFill="1"/>
    <xf numFmtId="0" fontId="15" fillId="6" borderId="0" xfId="0" quotePrefix="1" applyFont="1" applyFill="1"/>
    <xf numFmtId="165" fontId="15" fillId="7" borderId="1" xfId="0" applyNumberFormat="1" applyFont="1" applyFill="1" applyBorder="1"/>
    <xf numFmtId="0" fontId="9" fillId="5" borderId="0" xfId="4" applyFont="1" applyFill="1" applyProtection="1"/>
    <xf numFmtId="172" fontId="9" fillId="5" borderId="0" xfId="1" applyNumberFormat="1" applyFont="1" applyFill="1" applyProtection="1"/>
    <xf numFmtId="0" fontId="9" fillId="5" borderId="0" xfId="2" applyFont="1" applyFill="1" applyAlignment="1">
      <alignment horizontal="center"/>
    </xf>
    <xf numFmtId="0" fontId="8" fillId="5" borderId="0" xfId="2" applyFont="1" applyFill="1"/>
    <xf numFmtId="0" fontId="9" fillId="5" borderId="0" xfId="2" applyFont="1" applyFill="1"/>
    <xf numFmtId="177" fontId="9" fillId="5" borderId="0" xfId="2" applyNumberFormat="1" applyFont="1" applyFill="1"/>
    <xf numFmtId="172" fontId="8" fillId="8" borderId="0" xfId="1" applyNumberFormat="1" applyFont="1" applyFill="1" applyProtection="1"/>
    <xf numFmtId="171" fontId="8" fillId="8" borderId="0" xfId="1" applyNumberFormat="1" applyFont="1" applyFill="1" applyProtection="1"/>
    <xf numFmtId="0" fontId="8" fillId="5" borderId="1" xfId="2" applyFont="1" applyFill="1" applyBorder="1"/>
    <xf numFmtId="172" fontId="8" fillId="8" borderId="1" xfId="1" applyNumberFormat="1" applyFont="1" applyFill="1" applyBorder="1" applyProtection="1"/>
    <xf numFmtId="168" fontId="8" fillId="8" borderId="1" xfId="1" applyNumberFormat="1" applyFont="1" applyFill="1" applyBorder="1" applyProtection="1"/>
    <xf numFmtId="173" fontId="15" fillId="7" borderId="0" xfId="1" applyNumberFormat="1" applyFont="1" applyFill="1" applyProtection="1"/>
    <xf numFmtId="172" fontId="16" fillId="7" borderId="0" xfId="1" applyNumberFormat="1" applyFont="1" applyFill="1" applyBorder="1" applyProtection="1"/>
    <xf numFmtId="173" fontId="16" fillId="7" borderId="0" xfId="1" applyNumberFormat="1" applyFont="1" applyFill="1" applyProtection="1"/>
    <xf numFmtId="174" fontId="6" fillId="8" borderId="0" xfId="1" applyNumberFormat="1" applyFont="1" applyFill="1" applyBorder="1" applyAlignment="1" applyProtection="1">
      <alignment horizontal="right"/>
    </xf>
    <xf numFmtId="174" fontId="6" fillId="8" borderId="1" xfId="1" applyNumberFormat="1" applyFont="1" applyFill="1" applyBorder="1" applyAlignment="1" applyProtection="1">
      <alignment horizontal="right"/>
    </xf>
    <xf numFmtId="0" fontId="8" fillId="3" borderId="0" xfId="0" applyFont="1" applyFill="1" applyAlignment="1">
      <alignment horizontal="right"/>
    </xf>
    <xf numFmtId="0" fontId="8" fillId="3" borderId="0" xfId="3" applyFont="1" applyFill="1"/>
    <xf numFmtId="0" fontId="6" fillId="8" borderId="0" xfId="0" applyFont="1" applyFill="1"/>
    <xf numFmtId="166" fontId="16" fillId="7" borderId="0" xfId="0" applyNumberFormat="1" applyFont="1" applyFill="1"/>
    <xf numFmtId="174" fontId="6" fillId="8" borderId="0" xfId="1" applyNumberFormat="1" applyFont="1" applyFill="1" applyAlignment="1" applyProtection="1">
      <alignment horizontal="right"/>
    </xf>
    <xf numFmtId="174" fontId="15" fillId="7" borderId="0" xfId="1" applyNumberFormat="1" applyFont="1" applyFill="1" applyAlignment="1" applyProtection="1">
      <alignment horizontal="right"/>
    </xf>
    <xf numFmtId="169" fontId="18" fillId="7" borderId="0" xfId="1" applyNumberFormat="1" applyFont="1" applyFill="1" applyAlignment="1" applyProtection="1">
      <alignment horizontal="right"/>
    </xf>
    <xf numFmtId="0" fontId="11" fillId="4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5" fontId="8" fillId="2" borderId="0" xfId="0" applyNumberFormat="1" applyFont="1" applyFill="1"/>
    <xf numFmtId="0" fontId="8" fillId="2" borderId="0" xfId="0" applyFont="1" applyFill="1" applyAlignment="1">
      <alignment horizontal="right"/>
    </xf>
    <xf numFmtId="167" fontId="8" fillId="2" borderId="0" xfId="0" applyNumberFormat="1" applyFont="1" applyFill="1"/>
    <xf numFmtId="168" fontId="8" fillId="2" borderId="0" xfId="1" applyNumberFormat="1" applyFont="1" applyFill="1" applyProtection="1"/>
    <xf numFmtId="169" fontId="10" fillId="2" borderId="0" xfId="1" applyNumberFormat="1" applyFont="1" applyFill="1" applyProtection="1"/>
    <xf numFmtId="171" fontId="8" fillId="2" borderId="0" xfId="1" applyNumberFormat="1" applyFont="1" applyFill="1" applyAlignment="1" applyProtection="1">
      <alignment horizontal="right"/>
    </xf>
    <xf numFmtId="164" fontId="14" fillId="2" borderId="0" xfId="1" applyNumberFormat="1" applyFont="1" applyFill="1" applyAlignment="1" applyProtection="1">
      <alignment horizontal="right"/>
    </xf>
    <xf numFmtId="168" fontId="8" fillId="2" borderId="0" xfId="1" applyNumberFormat="1" applyFont="1" applyFill="1" applyAlignment="1" applyProtection="1">
      <alignment horizontal="right"/>
    </xf>
    <xf numFmtId="172" fontId="15" fillId="2" borderId="0" xfId="1" applyNumberFormat="1" applyFont="1" applyFill="1" applyProtection="1"/>
    <xf numFmtId="173" fontId="16" fillId="2" borderId="0" xfId="1" applyNumberFormat="1" applyFont="1" applyFill="1" applyProtection="1"/>
    <xf numFmtId="174" fontId="15" fillId="2" borderId="0" xfId="1" applyNumberFormat="1" applyFont="1" applyFill="1" applyProtection="1"/>
    <xf numFmtId="165" fontId="15" fillId="2" borderId="0" xfId="0" applyNumberFormat="1" applyFont="1" applyFill="1"/>
    <xf numFmtId="175" fontId="17" fillId="2" borderId="0" xfId="1" applyNumberFormat="1" applyFont="1" applyFill="1" applyProtection="1"/>
    <xf numFmtId="169" fontId="18" fillId="2" borderId="0" xfId="1" applyNumberFormat="1" applyFont="1" applyFill="1" applyAlignment="1" applyProtection="1">
      <alignment horizontal="right"/>
    </xf>
    <xf numFmtId="169" fontId="10" fillId="6" borderId="0" xfId="1" applyNumberFormat="1" applyFont="1" applyFill="1" applyAlignment="1" applyProtection="1">
      <alignment horizontal="center"/>
    </xf>
    <xf numFmtId="169" fontId="10" fillId="6" borderId="0" xfId="1" applyNumberFormat="1" applyFont="1" applyFill="1" applyProtection="1"/>
    <xf numFmtId="43" fontId="16" fillId="7" borderId="0" xfId="1" applyNumberFormat="1" applyFont="1" applyFill="1" applyProtection="1"/>
    <xf numFmtId="8" fontId="15" fillId="7" borderId="1" xfId="0" applyNumberFormat="1" applyFont="1" applyFill="1" applyBorder="1"/>
    <xf numFmtId="166" fontId="8" fillId="8" borderId="0" xfId="0" applyNumberFormat="1" applyFont="1" applyFill="1"/>
    <xf numFmtId="169" fontId="14" fillId="7" borderId="0" xfId="1" applyNumberFormat="1" applyFont="1" applyFill="1" applyAlignment="1" applyProtection="1">
      <alignment horizontal="center"/>
    </xf>
    <xf numFmtId="169" fontId="14" fillId="7" borderId="0" xfId="1" applyNumberFormat="1" applyFont="1" applyFill="1" applyProtection="1"/>
    <xf numFmtId="174" fontId="6" fillId="7" borderId="0" xfId="1" applyNumberFormat="1" applyFont="1" applyFill="1" applyProtection="1"/>
    <xf numFmtId="165" fontId="6" fillId="7" borderId="0" xfId="0" applyNumberFormat="1" applyFont="1" applyFill="1"/>
    <xf numFmtId="175" fontId="6" fillId="7" borderId="1" xfId="1" applyNumberFormat="1" applyFont="1" applyFill="1" applyBorder="1" applyProtection="1"/>
    <xf numFmtId="172" fontId="6" fillId="7" borderId="0" xfId="1" applyNumberFormat="1" applyFont="1" applyFill="1" applyProtection="1"/>
    <xf numFmtId="165" fontId="6" fillId="7" borderId="1" xfId="0" applyNumberFormat="1" applyFont="1" applyFill="1" applyBorder="1"/>
    <xf numFmtId="178" fontId="6" fillId="7" borderId="0" xfId="1" applyNumberFormat="1" applyFont="1" applyFill="1" applyBorder="1" applyProtection="1"/>
    <xf numFmtId="169" fontId="14" fillId="7" borderId="0" xfId="1" applyNumberFormat="1" applyFont="1" applyFill="1" applyAlignment="1" applyProtection="1">
      <alignment horizontal="right"/>
    </xf>
    <xf numFmtId="0" fontId="8" fillId="6" borderId="0" xfId="2" applyFont="1" applyFill="1"/>
    <xf numFmtId="179" fontId="19" fillId="7" borderId="0" xfId="0" applyNumberFormat="1" applyFont="1" applyFill="1" applyAlignment="1">
      <alignment horizontal="right"/>
    </xf>
    <xf numFmtId="0" fontId="7" fillId="6" borderId="0" xfId="2" applyFont="1" applyFill="1" applyAlignment="1">
      <alignment horizontal="center"/>
    </xf>
    <xf numFmtId="14" fontId="7" fillId="6" borderId="1" xfId="2" applyNumberFormat="1" applyFont="1" applyFill="1" applyBorder="1" applyAlignment="1">
      <alignment horizontal="center"/>
    </xf>
    <xf numFmtId="180" fontId="7" fillId="6" borderId="1" xfId="5" applyNumberFormat="1" applyFont="1" applyFill="1" applyBorder="1" applyAlignment="1">
      <alignment horizontal="center"/>
    </xf>
    <xf numFmtId="0" fontId="6" fillId="6" borderId="0" xfId="0" applyFont="1" applyFill="1"/>
    <xf numFmtId="181" fontId="15" fillId="7" borderId="0" xfId="0" applyNumberFormat="1" applyFont="1" applyFill="1" applyAlignment="1">
      <alignment horizontal="right"/>
    </xf>
    <xf numFmtId="181" fontId="0" fillId="2" borderId="0" xfId="0" applyNumberFormat="1" applyFill="1"/>
    <xf numFmtId="0" fontId="6" fillId="2" borderId="0" xfId="0" applyFont="1" applyFill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6" borderId="0" xfId="0" quotePrefix="1" applyFont="1" applyFill="1" applyAlignment="1">
      <alignment horizontal="center"/>
    </xf>
    <xf numFmtId="0" fontId="11" fillId="9" borderId="0" xfId="0" applyFont="1" applyFill="1" applyAlignment="1">
      <alignment horizontal="left"/>
    </xf>
    <xf numFmtId="0" fontId="6" fillId="9" borderId="0" xfId="0" applyFont="1" applyFill="1"/>
    <xf numFmtId="0" fontId="9" fillId="6" borderId="1" xfId="0" applyFont="1" applyFill="1" applyBorder="1"/>
    <xf numFmtId="0" fontId="5" fillId="2" borderId="0" xfId="0" applyFont="1" applyFill="1"/>
    <xf numFmtId="182" fontId="8" fillId="2" borderId="0" xfId="1" applyNumberFormat="1" applyFont="1" applyFill="1" applyBorder="1" applyProtection="1"/>
    <xf numFmtId="179" fontId="8" fillId="2" borderId="0" xfId="0" quotePrefix="1" applyNumberFormat="1" applyFont="1" applyFill="1"/>
    <xf numFmtId="173" fontId="8" fillId="2" borderId="0" xfId="1" applyNumberFormat="1" applyFont="1" applyFill="1" applyBorder="1" applyAlignment="1" applyProtection="1">
      <alignment horizontal="right"/>
    </xf>
    <xf numFmtId="0" fontId="6" fillId="2" borderId="0" xfId="0" quotePrefix="1" applyFont="1" applyFill="1" applyAlignment="1">
      <alignment horizontal="center"/>
    </xf>
    <xf numFmtId="164" fontId="8" fillId="8" borderId="0" xfId="1" applyNumberFormat="1" applyFont="1" applyFill="1" applyBorder="1" applyAlignment="1" applyProtection="1">
      <alignment horizontal="right"/>
    </xf>
    <xf numFmtId="179" fontId="8" fillId="6" borderId="0" xfId="0" quotePrefix="1" applyNumberFormat="1" applyFont="1" applyFill="1" applyAlignment="1">
      <alignment horizontal="center"/>
    </xf>
    <xf numFmtId="173" fontId="8" fillId="6" borderId="0" xfId="1" applyNumberFormat="1" applyFont="1" applyFill="1" applyBorder="1" applyAlignment="1" applyProtection="1">
      <alignment horizontal="right"/>
    </xf>
    <xf numFmtId="173" fontId="15" fillId="7" borderId="0" xfId="1" applyNumberFormat="1" applyFont="1" applyFill="1" applyBorder="1" applyAlignment="1" applyProtection="1">
      <alignment horizontal="right"/>
    </xf>
    <xf numFmtId="182" fontId="15" fillId="7" borderId="0" xfId="1" applyNumberFormat="1" applyFont="1" applyFill="1" applyBorder="1" applyProtection="1"/>
    <xf numFmtId="182" fontId="15" fillId="7" borderId="0" xfId="1" applyNumberFormat="1" applyFont="1" applyFill="1" applyBorder="1" applyAlignment="1" applyProtection="1">
      <alignment horizontal="left"/>
    </xf>
    <xf numFmtId="14" fontId="9" fillId="6" borderId="0" xfId="2" applyNumberFormat="1" applyFont="1" applyFill="1" applyAlignment="1">
      <alignment horizontal="center"/>
    </xf>
    <xf numFmtId="173" fontId="15" fillId="6" borderId="0" xfId="1" applyNumberFormat="1" applyFont="1" applyFill="1" applyBorder="1" applyAlignment="1" applyProtection="1">
      <alignment horizontal="right"/>
    </xf>
    <xf numFmtId="14" fontId="9" fillId="2" borderId="0" xfId="2" applyNumberFormat="1" applyFont="1" applyFill="1" applyAlignment="1">
      <alignment horizontal="center"/>
    </xf>
    <xf numFmtId="173" fontId="15" fillId="2" borderId="0" xfId="1" applyNumberFormat="1" applyFont="1" applyFill="1" applyBorder="1" applyAlignment="1" applyProtection="1">
      <alignment horizontal="right"/>
    </xf>
    <xf numFmtId="182" fontId="15" fillId="2" borderId="0" xfId="1" applyNumberFormat="1" applyFont="1" applyFill="1" applyBorder="1" applyProtection="1"/>
    <xf numFmtId="179" fontId="8" fillId="2" borderId="0" xfId="0" quotePrefix="1" applyNumberFormat="1" applyFont="1" applyFill="1" applyAlignment="1">
      <alignment horizontal="center"/>
    </xf>
    <xf numFmtId="182" fontId="15" fillId="2" borderId="0" xfId="1" applyNumberFormat="1" applyFont="1" applyFill="1" applyBorder="1" applyAlignment="1" applyProtection="1">
      <alignment horizontal="left"/>
    </xf>
    <xf numFmtId="0" fontId="8" fillId="2" borderId="0" xfId="4" applyFont="1" applyFill="1" applyProtection="1"/>
    <xf numFmtId="173" fontId="15" fillId="10" borderId="0" xfId="1" applyNumberFormat="1" applyFont="1" applyFill="1" applyBorder="1" applyAlignment="1" applyProtection="1">
      <alignment horizontal="right"/>
    </xf>
    <xf numFmtId="173" fontId="15" fillId="7" borderId="1" xfId="1" applyNumberFormat="1" applyFont="1" applyFill="1" applyBorder="1" applyProtection="1"/>
    <xf numFmtId="8" fontId="8" fillId="8" borderId="0" xfId="0" applyNumberFormat="1" applyFont="1" applyFill="1"/>
    <xf numFmtId="0" fontId="20" fillId="2" borderId="0" xfId="0" applyFont="1" applyFill="1"/>
    <xf numFmtId="0" fontId="13" fillId="5" borderId="0" xfId="4" applyFont="1" applyFill="1" applyAlignment="1" applyProtection="1">
      <alignment horizontal="left"/>
    </xf>
    <xf numFmtId="0" fontId="11" fillId="4" borderId="0" xfId="0" applyFont="1" applyFill="1" applyAlignment="1">
      <alignment horizontal="left"/>
    </xf>
    <xf numFmtId="0" fontId="9" fillId="6" borderId="1" xfId="0" applyFont="1" applyFill="1" applyBorder="1" applyAlignment="1">
      <alignment horizontal="center"/>
    </xf>
    <xf numFmtId="0" fontId="3" fillId="9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14" fontId="9" fillId="6" borderId="1" xfId="2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73" fontId="8" fillId="11" borderId="0" xfId="1" applyNumberFormat="1" applyFont="1" applyFill="1" applyBorder="1" applyAlignment="1" applyProtection="1">
      <alignment horizontal="right"/>
    </xf>
  </cellXfs>
  <cellStyles count="6">
    <cellStyle name="_x000a_386grabber=M" xfId="1" xr:uid="{00000000-0005-0000-0000-000000000000}"/>
    <cellStyle name="AFE" xfId="4" xr:uid="{00000000-0005-0000-0000-000001000000}"/>
    <cellStyle name="Normal" xfId="0" builtinId="0"/>
    <cellStyle name="Normal_Ch03 Pics" xfId="2" xr:uid="{00000000-0005-0000-0000-000003000000}"/>
    <cellStyle name="Normal_Ch03 Pics v1.0" xfId="5" xr:uid="{00000000-0005-0000-0000-000004000000}"/>
    <cellStyle name="Normal_Input Page2" xfId="3" xr:uid="{00000000-0005-0000-0000-000005000000}"/>
  </cellStyles>
  <dxfs count="0"/>
  <tableStyles count="0" defaultTableStyle="TableStyleMedium9" defaultPivotStyle="PivotStyleLight16"/>
  <colors>
    <mruColors>
      <color rgb="FFFFFFCC"/>
      <color rgb="FFFFFF99"/>
      <color rgb="FF66FFCC"/>
      <color rgb="FFD3F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9FC-AB1C-4EA8-A26B-46B29C10AEEE}">
  <dimension ref="A2:P69"/>
  <sheetViews>
    <sheetView tabSelected="1" workbookViewId="0">
      <selection activeCell="D6" sqref="D5:D6"/>
    </sheetView>
  </sheetViews>
  <sheetFormatPr defaultColWidth="9.15625" defaultRowHeight="14.4" x14ac:dyDescent="0.55000000000000004"/>
  <cols>
    <col min="1" max="1" width="29.734375" style="1" bestFit="1" customWidth="1"/>
    <col min="2" max="2" width="10.26171875" style="1" bestFit="1" customWidth="1"/>
    <col min="3" max="3" width="13.5234375" style="1" bestFit="1" customWidth="1"/>
    <col min="4" max="4" width="10" style="1" customWidth="1"/>
    <col min="5" max="5" width="3.47265625" style="1" customWidth="1"/>
    <col min="6" max="6" width="27.7890625" style="1" bestFit="1" customWidth="1"/>
    <col min="7" max="10" width="12" style="1" bestFit="1" customWidth="1"/>
    <col min="11" max="11" width="9.15625" style="1"/>
    <col min="12" max="12" width="31.26171875" style="1" bestFit="1" customWidth="1"/>
    <col min="13" max="14" width="10.89453125" style="1" bestFit="1" customWidth="1"/>
    <col min="15" max="15" width="12.734375" style="1" bestFit="1" customWidth="1"/>
    <col min="16" max="16" width="9.89453125" style="1" bestFit="1" customWidth="1"/>
    <col min="17" max="16384" width="9.15625" style="1"/>
  </cols>
  <sheetData>
    <row r="2" spans="1:14" ht="30.6" x14ac:dyDescent="1.1000000000000001">
      <c r="A2" s="2" t="s">
        <v>137</v>
      </c>
    </row>
    <row r="4" spans="1:14" x14ac:dyDescent="0.55000000000000004">
      <c r="A4" s="147" t="s">
        <v>16</v>
      </c>
      <c r="B4" s="147"/>
      <c r="C4" s="147"/>
      <c r="D4" s="79"/>
      <c r="F4" s="5" t="s">
        <v>0</v>
      </c>
      <c r="G4" s="3"/>
      <c r="H4" s="3"/>
      <c r="I4" s="3"/>
      <c r="J4" s="3"/>
      <c r="L4" s="5" t="s">
        <v>15</v>
      </c>
      <c r="M4" s="5"/>
      <c r="N4" s="5"/>
    </row>
    <row r="5" spans="1:14" x14ac:dyDescent="0.55000000000000004">
      <c r="A5" s="15" t="s">
        <v>17</v>
      </c>
      <c r="B5" s="17"/>
      <c r="C5" s="28"/>
      <c r="D5" s="80"/>
      <c r="F5" s="8"/>
      <c r="G5" s="9"/>
      <c r="H5" s="9"/>
      <c r="I5" s="9"/>
      <c r="J5" s="10"/>
      <c r="L5" s="8"/>
      <c r="M5" s="37">
        <v>44561</v>
      </c>
      <c r="N5" s="38">
        <v>44926</v>
      </c>
    </row>
    <row r="6" spans="1:14" ht="15.75" customHeight="1" x14ac:dyDescent="0.55000000000000004">
      <c r="A6" s="15" t="s">
        <v>18</v>
      </c>
      <c r="B6" s="17"/>
      <c r="C6" s="44"/>
      <c r="D6" s="81"/>
      <c r="F6" s="8"/>
      <c r="G6" s="148" t="s">
        <v>138</v>
      </c>
      <c r="H6" s="148"/>
      <c r="I6" s="148"/>
      <c r="J6" s="11" t="s">
        <v>1</v>
      </c>
      <c r="L6" s="8" t="s">
        <v>37</v>
      </c>
      <c r="M6" s="39"/>
      <c r="N6" s="39">
        <v>29199</v>
      </c>
    </row>
    <row r="7" spans="1:14" x14ac:dyDescent="0.55000000000000004">
      <c r="A7" s="15" t="s">
        <v>19</v>
      </c>
      <c r="B7" s="17"/>
      <c r="C7" s="44"/>
      <c r="D7" s="81"/>
      <c r="F7" s="8"/>
      <c r="G7" s="12">
        <v>2019</v>
      </c>
      <c r="H7" s="12">
        <v>2020</v>
      </c>
      <c r="I7" s="12">
        <v>2021</v>
      </c>
      <c r="J7" s="13">
        <v>44926</v>
      </c>
      <c r="L7" s="33" t="s">
        <v>38</v>
      </c>
      <c r="M7" s="40"/>
      <c r="N7" s="40"/>
    </row>
    <row r="8" spans="1:14" x14ac:dyDescent="0.55000000000000004">
      <c r="A8" s="15" t="s">
        <v>20</v>
      </c>
      <c r="B8" s="18"/>
      <c r="C8" s="45"/>
      <c r="D8" s="82"/>
      <c r="F8" s="9" t="s">
        <v>2</v>
      </c>
      <c r="G8" s="26">
        <v>142600</v>
      </c>
      <c r="H8" s="26">
        <v>123001</v>
      </c>
      <c r="I8" s="26">
        <v>127618</v>
      </c>
      <c r="J8" s="26">
        <v>123166</v>
      </c>
      <c r="L8" s="33" t="s">
        <v>39</v>
      </c>
      <c r="M8" s="40"/>
      <c r="N8" s="40"/>
    </row>
    <row r="9" spans="1:14" x14ac:dyDescent="0.55000000000000004">
      <c r="A9" s="15" t="s">
        <v>21</v>
      </c>
      <c r="B9" s="17"/>
      <c r="C9" s="44"/>
      <c r="D9" s="81"/>
      <c r="F9" s="8" t="s">
        <v>3</v>
      </c>
      <c r="G9" s="27">
        <v>112890</v>
      </c>
      <c r="H9" s="27">
        <v>97919</v>
      </c>
      <c r="I9" s="27">
        <v>101122</v>
      </c>
      <c r="J9" s="27">
        <v>98550</v>
      </c>
      <c r="L9" s="33" t="s">
        <v>40</v>
      </c>
      <c r="M9" s="41"/>
      <c r="N9" s="41"/>
    </row>
    <row r="10" spans="1:14" x14ac:dyDescent="0.55000000000000004">
      <c r="A10" s="15" t="s">
        <v>22</v>
      </c>
      <c r="B10" s="17"/>
      <c r="C10" s="44"/>
      <c r="D10" s="81"/>
      <c r="F10" s="9" t="s">
        <v>4</v>
      </c>
      <c r="G10" s="26">
        <f>G8-G9</f>
        <v>29710</v>
      </c>
      <c r="H10" s="26">
        <f t="shared" ref="H10:J10" si="0">H8-H9</f>
        <v>25082</v>
      </c>
      <c r="I10" s="26">
        <f t="shared" si="0"/>
        <v>26496</v>
      </c>
      <c r="J10" s="26">
        <f t="shared" si="0"/>
        <v>24616</v>
      </c>
      <c r="L10" s="34" t="s">
        <v>41</v>
      </c>
      <c r="M10" s="42">
        <f>M6+M7+M8+M9</f>
        <v>0</v>
      </c>
      <c r="N10" s="42">
        <f>N6+N7+N8+N9</f>
        <v>29199</v>
      </c>
    </row>
    <row r="11" spans="1:14" x14ac:dyDescent="0.55000000000000004">
      <c r="A11" s="15" t="s">
        <v>23</v>
      </c>
      <c r="B11" s="19"/>
      <c r="C11" s="46"/>
      <c r="D11" s="83"/>
      <c r="F11" s="8" t="s">
        <v>5</v>
      </c>
      <c r="G11" s="28">
        <v>15345</v>
      </c>
      <c r="H11" s="28">
        <v>13980</v>
      </c>
      <c r="I11" s="28">
        <v>11448</v>
      </c>
      <c r="J11" s="28">
        <v>11380</v>
      </c>
      <c r="L11" s="8"/>
      <c r="M11" s="43"/>
      <c r="N11" s="43"/>
    </row>
    <row r="12" spans="1:14" x14ac:dyDescent="0.55000000000000004">
      <c r="A12" s="15" t="s">
        <v>24</v>
      </c>
      <c r="B12" s="15"/>
      <c r="C12" s="47"/>
      <c r="D12" s="84"/>
      <c r="F12" s="8" t="s">
        <v>6</v>
      </c>
      <c r="G12" s="27"/>
      <c r="H12" s="27"/>
      <c r="I12" s="27"/>
      <c r="J12" s="27"/>
      <c r="L12" s="33" t="s">
        <v>42</v>
      </c>
      <c r="M12" s="40"/>
      <c r="N12" s="40"/>
    </row>
    <row r="13" spans="1:14" x14ac:dyDescent="0.55000000000000004">
      <c r="A13" s="15"/>
      <c r="B13" s="15"/>
      <c r="C13" s="47"/>
      <c r="D13" s="6"/>
      <c r="F13" s="9" t="s">
        <v>7</v>
      </c>
      <c r="G13" s="26">
        <f>G10-G11-G12</f>
        <v>14365</v>
      </c>
      <c r="H13" s="26">
        <f t="shared" ref="H13:J13" si="1">H10-H11-H12</f>
        <v>11102</v>
      </c>
      <c r="I13" s="26">
        <f t="shared" si="1"/>
        <v>15048</v>
      </c>
      <c r="J13" s="26">
        <f t="shared" si="1"/>
        <v>13236</v>
      </c>
      <c r="L13" s="33" t="s">
        <v>43</v>
      </c>
      <c r="M13" s="40"/>
      <c r="N13" s="40"/>
    </row>
    <row r="14" spans="1:14" x14ac:dyDescent="0.55000000000000004">
      <c r="A14" s="15"/>
      <c r="B14" s="15"/>
      <c r="C14" s="47"/>
      <c r="D14" s="6"/>
      <c r="F14" s="8" t="s">
        <v>6</v>
      </c>
      <c r="G14" s="26">
        <f>-534-282+325-410+162-592+23-382+57</f>
        <v>-1633</v>
      </c>
      <c r="H14" s="26">
        <f>-134.5+232-124.4-371</f>
        <v>-397.9</v>
      </c>
      <c r="I14" s="26">
        <f>-616+237+37-504-89.6-460+32.7-432.4-10.3</f>
        <v>-1805.5999999999997</v>
      </c>
      <c r="J14" s="26">
        <f>-375-560+764-166+67-417+144-500+124</f>
        <v>-919</v>
      </c>
      <c r="L14" s="33"/>
      <c r="M14" s="40"/>
      <c r="N14" s="40"/>
    </row>
    <row r="15" spans="1:14" x14ac:dyDescent="0.55000000000000004">
      <c r="A15" s="6"/>
      <c r="B15" s="6"/>
      <c r="C15" s="6"/>
      <c r="D15" s="79"/>
      <c r="F15" s="51" t="s">
        <v>8</v>
      </c>
      <c r="G15" s="27">
        <v>-347</v>
      </c>
      <c r="H15" s="27">
        <v>-108</v>
      </c>
      <c r="I15" s="27">
        <v>-119</v>
      </c>
      <c r="J15" s="27">
        <v>-204</v>
      </c>
      <c r="L15" s="33" t="s">
        <v>44</v>
      </c>
      <c r="M15" s="41"/>
      <c r="N15" s="41"/>
    </row>
    <row r="16" spans="1:14" x14ac:dyDescent="0.55000000000000004">
      <c r="A16" s="147" t="s">
        <v>25</v>
      </c>
      <c r="B16" s="147"/>
      <c r="C16" s="147"/>
      <c r="D16" s="85"/>
      <c r="F16" s="9" t="s">
        <v>9</v>
      </c>
      <c r="G16" s="26">
        <f>G13-G15-G14</f>
        <v>16345</v>
      </c>
      <c r="H16" s="26">
        <f>H13-H15-H14</f>
        <v>11607.9</v>
      </c>
      <c r="I16" s="26">
        <f t="shared" ref="H16:J16" si="2">I13-I15-I14</f>
        <v>16972.599999999999</v>
      </c>
      <c r="J16" s="26">
        <f t="shared" si="2"/>
        <v>14359</v>
      </c>
      <c r="L16" s="34" t="s">
        <v>45</v>
      </c>
      <c r="M16" s="42">
        <f>M10+M12+M13+M15</f>
        <v>0</v>
      </c>
      <c r="N16" s="42">
        <f>N10+N12+N13+N15</f>
        <v>29199</v>
      </c>
    </row>
    <row r="17" spans="1:14" x14ac:dyDescent="0.55000000000000004">
      <c r="A17" s="15" t="s">
        <v>26</v>
      </c>
      <c r="B17" s="48"/>
      <c r="C17" s="49">
        <v>26.32</v>
      </c>
      <c r="D17" s="86"/>
      <c r="F17" s="8" t="s">
        <v>10</v>
      </c>
      <c r="G17" s="28">
        <f>G16*G21</f>
        <v>3399.7599999999998</v>
      </c>
      <c r="H17" s="28">
        <f t="shared" ref="H17:J17" si="3">H16*H21</f>
        <v>2023.2569700000001</v>
      </c>
      <c r="I17" s="28">
        <f t="shared" si="3"/>
        <v>2321.8516799999998</v>
      </c>
      <c r="J17" s="28">
        <f t="shared" si="3"/>
        <v>2306.0553999999997</v>
      </c>
      <c r="L17" s="8"/>
      <c r="M17" s="43"/>
      <c r="N17" s="43"/>
    </row>
    <row r="18" spans="1:14" x14ac:dyDescent="0.55000000000000004">
      <c r="A18" s="15"/>
      <c r="B18" s="48"/>
      <c r="C18" s="49"/>
      <c r="D18" s="86"/>
      <c r="F18" s="8" t="s">
        <v>139</v>
      </c>
      <c r="G18" s="28">
        <v>-503.5</v>
      </c>
      <c r="H18" s="28">
        <v>-341</v>
      </c>
      <c r="I18" s="28">
        <v>-394</v>
      </c>
      <c r="J18" s="28">
        <v>-532</v>
      </c>
      <c r="L18" s="8"/>
      <c r="M18" s="43"/>
      <c r="N18" s="43"/>
    </row>
    <row r="19" spans="1:14" x14ac:dyDescent="0.55000000000000004">
      <c r="A19" s="15" t="s">
        <v>27</v>
      </c>
      <c r="B19" s="21"/>
      <c r="C19" s="50">
        <f>C17/C20</f>
        <v>0.8</v>
      </c>
      <c r="D19" s="87"/>
      <c r="F19" s="8" t="s">
        <v>11</v>
      </c>
      <c r="G19" s="27">
        <v>0</v>
      </c>
      <c r="H19" s="27">
        <v>0</v>
      </c>
      <c r="I19" s="27">
        <v>0</v>
      </c>
      <c r="J19" s="27">
        <v>0</v>
      </c>
      <c r="L19" s="33" t="s">
        <v>46</v>
      </c>
      <c r="M19" s="40"/>
      <c r="N19" s="40"/>
    </row>
    <row r="20" spans="1:14" ht="14.7" thickBot="1" x14ac:dyDescent="0.6">
      <c r="A20" s="15" t="s">
        <v>28</v>
      </c>
      <c r="B20" s="48"/>
      <c r="C20" s="50">
        <f>C17/0.8</f>
        <v>32.9</v>
      </c>
      <c r="D20" s="87"/>
      <c r="F20" s="9" t="s">
        <v>12</v>
      </c>
      <c r="G20" s="29">
        <f>G16-G17-G19+G18</f>
        <v>12441.74</v>
      </c>
      <c r="H20" s="29">
        <f t="shared" ref="H20:J20" si="4">H16-H17-H19+H18</f>
        <v>9243.6430299999993</v>
      </c>
      <c r="I20" s="29">
        <f t="shared" si="4"/>
        <v>14256.748319999999</v>
      </c>
      <c r="J20" s="29">
        <f t="shared" si="4"/>
        <v>11520.944600000001</v>
      </c>
      <c r="L20" s="33" t="s">
        <v>47</v>
      </c>
      <c r="M20" s="40"/>
      <c r="N20" s="40"/>
    </row>
    <row r="21" spans="1:14" x14ac:dyDescent="0.55000000000000004">
      <c r="A21" s="15" t="s">
        <v>29</v>
      </c>
      <c r="B21" s="48"/>
      <c r="C21" s="50">
        <f>C17*0.8</f>
        <v>21.056000000000001</v>
      </c>
      <c r="D21" s="81"/>
      <c r="F21" s="14" t="s">
        <v>13</v>
      </c>
      <c r="G21" s="30">
        <v>0.20799999999999999</v>
      </c>
      <c r="H21" s="30">
        <v>0.17430000000000001</v>
      </c>
      <c r="I21" s="30">
        <v>0.1368</v>
      </c>
      <c r="J21" s="30">
        <v>0.16059999999999999</v>
      </c>
      <c r="L21" s="33" t="s">
        <v>48</v>
      </c>
      <c r="M21" s="41"/>
      <c r="N21" s="41"/>
    </row>
    <row r="22" spans="1:14" x14ac:dyDescent="0.55000000000000004">
      <c r="A22" s="15" t="s">
        <v>30</v>
      </c>
      <c r="B22" s="15"/>
      <c r="C22" s="49"/>
      <c r="D22" s="88"/>
      <c r="F22" s="5" t="s">
        <v>58</v>
      </c>
      <c r="G22" s="3"/>
      <c r="H22" s="3"/>
      <c r="I22" s="3"/>
      <c r="J22" s="3"/>
      <c r="L22" s="34" t="s">
        <v>49</v>
      </c>
      <c r="M22" s="42">
        <f>M19+M20+M21</f>
        <v>0</v>
      </c>
      <c r="N22" s="42">
        <f>N19+N20+N21</f>
        <v>0</v>
      </c>
    </row>
    <row r="23" spans="1:14" x14ac:dyDescent="0.55000000000000004">
      <c r="A23" s="15"/>
      <c r="B23" s="15"/>
      <c r="C23" s="71"/>
      <c r="D23" s="89"/>
      <c r="F23" s="73" t="s">
        <v>129</v>
      </c>
      <c r="G23" s="73"/>
      <c r="H23" s="73"/>
      <c r="I23" s="73"/>
      <c r="J23" s="73"/>
      <c r="L23" s="8"/>
      <c r="M23" s="43"/>
      <c r="N23" s="43"/>
    </row>
    <row r="24" spans="1:14" x14ac:dyDescent="0.55000000000000004">
      <c r="A24" s="72" t="s">
        <v>31</v>
      </c>
      <c r="B24" s="15"/>
      <c r="C24" s="104">
        <f>P37</f>
        <v>1674</v>
      </c>
      <c r="D24" s="6"/>
      <c r="F24" s="73" t="s">
        <v>124</v>
      </c>
      <c r="G24" s="73"/>
      <c r="H24" s="73"/>
      <c r="I24" s="73"/>
      <c r="J24" s="73"/>
      <c r="L24" s="35" t="s">
        <v>50</v>
      </c>
      <c r="M24" s="69"/>
      <c r="N24" s="69">
        <v>58333</v>
      </c>
    </row>
    <row r="25" spans="1:14" x14ac:dyDescent="0.55000000000000004">
      <c r="A25" s="16" t="s">
        <v>32</v>
      </c>
      <c r="B25" s="15"/>
      <c r="C25" s="68">
        <f>C17*C24</f>
        <v>44059.68</v>
      </c>
      <c r="D25" s="90"/>
      <c r="F25" s="73" t="s">
        <v>130</v>
      </c>
      <c r="G25" s="73"/>
      <c r="H25" s="73"/>
      <c r="I25" s="73"/>
      <c r="J25" s="73"/>
      <c r="L25" s="35" t="s">
        <v>51</v>
      </c>
      <c r="M25" s="70"/>
      <c r="N25" s="70"/>
    </row>
    <row r="26" spans="1:14" x14ac:dyDescent="0.55000000000000004">
      <c r="A26" s="15"/>
      <c r="B26" s="15"/>
      <c r="C26" s="15"/>
      <c r="D26" s="91"/>
      <c r="F26" s="73" t="s">
        <v>131</v>
      </c>
      <c r="G26" s="73"/>
      <c r="H26" s="73"/>
      <c r="I26" s="73"/>
      <c r="J26" s="73"/>
      <c r="L26" s="34" t="s">
        <v>52</v>
      </c>
      <c r="M26" s="42">
        <f>M24+M25+M22</f>
        <v>0</v>
      </c>
      <c r="N26" s="42">
        <f>N24+N25+N22</f>
        <v>58333</v>
      </c>
    </row>
    <row r="27" spans="1:14" ht="15.9" x14ac:dyDescent="0.8">
      <c r="A27" s="72" t="s">
        <v>33</v>
      </c>
      <c r="B27" s="15"/>
      <c r="C27" s="101">
        <f>N24</f>
        <v>58333</v>
      </c>
      <c r="D27" s="92"/>
      <c r="F27" s="73" t="s">
        <v>125</v>
      </c>
      <c r="G27" s="73"/>
      <c r="H27" s="73"/>
      <c r="I27" s="73"/>
      <c r="J27" s="73"/>
      <c r="L27" s="8"/>
      <c r="M27" s="43"/>
      <c r="N27" s="43"/>
    </row>
    <row r="28" spans="1:14" ht="15.9" x14ac:dyDescent="0.8">
      <c r="A28" s="72" t="s">
        <v>140</v>
      </c>
      <c r="B28" s="15"/>
      <c r="C28" s="101">
        <v>2218</v>
      </c>
      <c r="D28" s="92"/>
      <c r="F28" s="73"/>
      <c r="G28" s="73"/>
      <c r="H28" s="73"/>
      <c r="I28" s="73"/>
      <c r="J28" s="73"/>
      <c r="L28" s="8"/>
      <c r="M28" s="43"/>
      <c r="N28" s="43"/>
    </row>
    <row r="29" spans="1:14" x14ac:dyDescent="0.55000000000000004">
      <c r="A29" s="72" t="s">
        <v>34</v>
      </c>
      <c r="B29" s="15"/>
      <c r="C29" s="102">
        <f>N29</f>
        <v>0</v>
      </c>
      <c r="D29" s="89"/>
      <c r="F29" s="145" t="s">
        <v>132</v>
      </c>
      <c r="L29" s="33" t="s">
        <v>53</v>
      </c>
      <c r="M29" s="28"/>
      <c r="N29" s="28"/>
    </row>
    <row r="30" spans="1:14" x14ac:dyDescent="0.55000000000000004">
      <c r="A30" s="72" t="s">
        <v>35</v>
      </c>
      <c r="B30" s="15"/>
      <c r="C30" s="103">
        <f>N6</f>
        <v>29199</v>
      </c>
      <c r="D30" s="89"/>
      <c r="F30" s="5" t="s">
        <v>56</v>
      </c>
      <c r="G30" s="5"/>
      <c r="H30" s="5"/>
      <c r="I30" s="5"/>
      <c r="J30" s="5"/>
      <c r="L30" s="35" t="s">
        <v>54</v>
      </c>
      <c r="M30" s="41"/>
      <c r="N30" s="41"/>
    </row>
    <row r="31" spans="1:14" x14ac:dyDescent="0.55000000000000004">
      <c r="A31" s="16" t="s">
        <v>36</v>
      </c>
      <c r="B31" s="15"/>
      <c r="C31" s="68">
        <f>C25+C27+C29-C30+C28</f>
        <v>75411.679999999993</v>
      </c>
      <c r="F31" s="8"/>
      <c r="G31" s="9"/>
      <c r="H31" s="9"/>
      <c r="I31" s="9"/>
      <c r="J31" s="10"/>
      <c r="L31" s="34" t="s">
        <v>55</v>
      </c>
      <c r="M31" s="42">
        <f>M26+M29+M30</f>
        <v>0</v>
      </c>
      <c r="N31" s="42">
        <f>N26+N29+N30</f>
        <v>58333</v>
      </c>
    </row>
    <row r="32" spans="1:14" x14ac:dyDescent="0.55000000000000004">
      <c r="A32" s="7"/>
      <c r="B32" s="6"/>
      <c r="C32" s="89"/>
      <c r="F32" s="8"/>
      <c r="G32" s="148" t="s">
        <v>138</v>
      </c>
      <c r="H32" s="148"/>
      <c r="I32" s="148"/>
      <c r="J32" s="11" t="s">
        <v>1</v>
      </c>
    </row>
    <row r="33" spans="1:16" x14ac:dyDescent="0.55000000000000004">
      <c r="A33" s="147" t="s">
        <v>95</v>
      </c>
      <c r="B33" s="147"/>
      <c r="C33" s="147"/>
      <c r="F33" s="8"/>
      <c r="G33" s="12">
        <v>2019</v>
      </c>
      <c r="H33" s="12">
        <v>2020</v>
      </c>
      <c r="I33" s="12">
        <v>2021</v>
      </c>
      <c r="J33" s="13">
        <v>44926</v>
      </c>
      <c r="L33" s="5" t="s">
        <v>76</v>
      </c>
      <c r="M33" s="5"/>
      <c r="N33" s="5"/>
      <c r="O33" s="5"/>
      <c r="P33" s="5"/>
    </row>
    <row r="34" spans="1:16" x14ac:dyDescent="0.55000000000000004">
      <c r="A34" s="8"/>
      <c r="B34" s="11" t="s">
        <v>133</v>
      </c>
      <c r="C34" s="11" t="s">
        <v>136</v>
      </c>
      <c r="F34" s="9" t="s">
        <v>2</v>
      </c>
      <c r="G34" s="22">
        <f>G8</f>
        <v>142600</v>
      </c>
      <c r="H34" s="22">
        <f>H8</f>
        <v>123001</v>
      </c>
      <c r="I34" s="22">
        <f>I8</f>
        <v>127618</v>
      </c>
      <c r="J34" s="22">
        <f>J8</f>
        <v>123166</v>
      </c>
      <c r="L34" s="32" t="s">
        <v>59</v>
      </c>
      <c r="M34" s="32"/>
      <c r="N34" s="32"/>
      <c r="O34" s="32"/>
      <c r="P34" s="61">
        <v>1674</v>
      </c>
    </row>
    <row r="35" spans="1:16" x14ac:dyDescent="0.55000000000000004">
      <c r="A35" s="9" t="s">
        <v>2</v>
      </c>
      <c r="B35" s="98">
        <v>125278</v>
      </c>
      <c r="C35" s="98">
        <v>135479</v>
      </c>
      <c r="F35" s="8" t="s">
        <v>3</v>
      </c>
      <c r="G35" s="24">
        <f>G9</f>
        <v>112890</v>
      </c>
      <c r="H35" s="24">
        <f>H9</f>
        <v>97919</v>
      </c>
      <c r="I35" s="24">
        <f>I9</f>
        <v>101122</v>
      </c>
      <c r="J35" s="24">
        <f>J9</f>
        <v>98550</v>
      </c>
      <c r="L35" s="32" t="s">
        <v>60</v>
      </c>
      <c r="M35" s="32"/>
      <c r="N35" s="32"/>
      <c r="O35" s="32"/>
      <c r="P35" s="104">
        <f>O48</f>
        <v>0</v>
      </c>
    </row>
    <row r="36" spans="1:16" x14ac:dyDescent="0.55000000000000004">
      <c r="A36" s="9" t="s">
        <v>87</v>
      </c>
      <c r="B36" s="98">
        <v>10174</v>
      </c>
      <c r="C36" s="98">
        <v>10857</v>
      </c>
      <c r="F36" s="53" t="s">
        <v>126</v>
      </c>
      <c r="G36" s="105"/>
      <c r="H36" s="105"/>
      <c r="I36" s="54"/>
      <c r="J36" s="105"/>
      <c r="L36" s="32" t="s">
        <v>61</v>
      </c>
      <c r="M36" s="32"/>
      <c r="N36" s="32"/>
      <c r="O36" s="32"/>
      <c r="P36" s="106">
        <f>P48/C17</f>
        <v>0</v>
      </c>
    </row>
    <row r="37" spans="1:16" x14ac:dyDescent="0.55000000000000004">
      <c r="A37" s="9" t="s">
        <v>110</v>
      </c>
      <c r="B37" s="98">
        <v>6631</v>
      </c>
      <c r="C37" s="98">
        <v>7396</v>
      </c>
      <c r="F37" s="9" t="s">
        <v>4</v>
      </c>
      <c r="G37" s="22">
        <f>G34-G35+G36</f>
        <v>29710</v>
      </c>
      <c r="H37" s="22">
        <f t="shared" ref="H37:J37" si="5">H34-H35+H36</f>
        <v>25082</v>
      </c>
      <c r="I37" s="22">
        <f t="shared" si="5"/>
        <v>26496</v>
      </c>
      <c r="J37" s="22">
        <f t="shared" si="5"/>
        <v>24616</v>
      </c>
      <c r="L37" s="55" t="s">
        <v>62</v>
      </c>
      <c r="M37" s="32"/>
      <c r="N37" s="32"/>
      <c r="O37" s="32"/>
      <c r="P37" s="67">
        <f>P34+P35-P36</f>
        <v>1674</v>
      </c>
    </row>
    <row r="38" spans="1:16" x14ac:dyDescent="0.55000000000000004">
      <c r="A38" s="9" t="s">
        <v>93</v>
      </c>
      <c r="B38" s="144">
        <v>3.18</v>
      </c>
      <c r="C38" s="144">
        <v>3.6</v>
      </c>
      <c r="F38" s="8" t="s">
        <v>5</v>
      </c>
      <c r="G38" s="24">
        <f>G11</f>
        <v>15345</v>
      </c>
      <c r="H38" s="24">
        <f t="shared" ref="H38:J38" si="6">H11</f>
        <v>13980</v>
      </c>
      <c r="I38" s="24">
        <f t="shared" si="6"/>
        <v>11448</v>
      </c>
      <c r="J38" s="24">
        <f t="shared" si="6"/>
        <v>11380</v>
      </c>
      <c r="L38" s="20"/>
      <c r="M38" s="20"/>
      <c r="N38" s="20"/>
      <c r="O38" s="20"/>
      <c r="P38" s="20"/>
    </row>
    <row r="39" spans="1:16" ht="17.399999999999999" x14ac:dyDescent="1.05">
      <c r="D39" s="93"/>
      <c r="F39" s="8" t="s">
        <v>6</v>
      </c>
      <c r="G39" s="24">
        <f>G12</f>
        <v>0</v>
      </c>
      <c r="H39" s="24"/>
      <c r="I39" s="24">
        <f>I12</f>
        <v>0</v>
      </c>
      <c r="J39" s="24"/>
      <c r="L39" s="146" t="s">
        <v>63</v>
      </c>
      <c r="M39" s="146"/>
      <c r="N39" s="146"/>
      <c r="O39" s="146"/>
      <c r="P39" s="146"/>
    </row>
    <row r="40" spans="1:16" x14ac:dyDescent="0.55000000000000004">
      <c r="A40" s="147" t="s">
        <v>81</v>
      </c>
      <c r="B40" s="147"/>
      <c r="C40" s="147"/>
      <c r="D40" s="93"/>
      <c r="F40" s="53" t="s">
        <v>127</v>
      </c>
      <c r="G40" s="105">
        <f>615+0.4</f>
        <v>615.4</v>
      </c>
      <c r="H40" s="105">
        <f>0.3</f>
        <v>0.3</v>
      </c>
      <c r="I40" s="54">
        <f>0.4</f>
        <v>0.4</v>
      </c>
      <c r="J40" s="105">
        <v>-0.9</v>
      </c>
      <c r="L40" s="57"/>
      <c r="M40" s="57" t="s">
        <v>64</v>
      </c>
      <c r="N40" s="57" t="s">
        <v>65</v>
      </c>
      <c r="O40" s="57" t="s">
        <v>66</v>
      </c>
      <c r="P40" s="57"/>
    </row>
    <row r="41" spans="1:16" ht="17.399999999999999" x14ac:dyDescent="1.05">
      <c r="A41" s="8" t="s">
        <v>82</v>
      </c>
      <c r="B41" s="8"/>
      <c r="C41" s="107">
        <f>J37/J34</f>
        <v>0.19986035107091243</v>
      </c>
      <c r="D41" s="93"/>
      <c r="F41" s="9" t="s">
        <v>7</v>
      </c>
      <c r="G41" s="74">
        <f>G37-G38-G39+G40</f>
        <v>14980.4</v>
      </c>
      <c r="H41" s="74">
        <f t="shared" ref="H41:J41" si="7">H37-H38-H39+H40</f>
        <v>11102.3</v>
      </c>
      <c r="I41" s="74">
        <f t="shared" si="7"/>
        <v>15048.4</v>
      </c>
      <c r="J41" s="74">
        <f t="shared" si="7"/>
        <v>13235.1</v>
      </c>
      <c r="L41" s="31" t="s">
        <v>67</v>
      </c>
      <c r="M41" s="31" t="s">
        <v>68</v>
      </c>
      <c r="N41" s="31" t="s">
        <v>69</v>
      </c>
      <c r="O41" s="31" t="s">
        <v>68</v>
      </c>
      <c r="P41" s="31" t="s">
        <v>70</v>
      </c>
    </row>
    <row r="42" spans="1:16" ht="17.399999999999999" x14ac:dyDescent="1.05">
      <c r="A42" s="8"/>
      <c r="B42" s="8"/>
      <c r="C42" s="107"/>
      <c r="D42" s="93"/>
      <c r="F42" s="8" t="s">
        <v>6</v>
      </c>
      <c r="G42" s="74">
        <f>G14</f>
        <v>-1633</v>
      </c>
      <c r="H42" s="74">
        <f t="shared" ref="H42:J42" si="8">H14</f>
        <v>-397.9</v>
      </c>
      <c r="I42" s="74">
        <f t="shared" si="8"/>
        <v>-1805.5999999999997</v>
      </c>
      <c r="J42" s="74">
        <f t="shared" si="8"/>
        <v>-919</v>
      </c>
      <c r="L42" s="31"/>
      <c r="M42" s="31"/>
      <c r="N42" s="31"/>
      <c r="O42" s="31"/>
      <c r="P42" s="31"/>
    </row>
    <row r="43" spans="1:16" x14ac:dyDescent="0.55000000000000004">
      <c r="A43" s="36" t="s">
        <v>83</v>
      </c>
      <c r="B43" s="8"/>
      <c r="C43" s="107">
        <f>J56/J34</f>
        <v>0.19666222821233131</v>
      </c>
      <c r="D43" s="93"/>
      <c r="F43" s="8" t="s">
        <v>8</v>
      </c>
      <c r="G43" s="23">
        <f>G15</f>
        <v>-347</v>
      </c>
      <c r="H43" s="23">
        <f t="shared" ref="H43:J43" si="9">H15</f>
        <v>-108</v>
      </c>
      <c r="I43" s="23">
        <f t="shared" si="9"/>
        <v>-119</v>
      </c>
      <c r="J43" s="23">
        <f t="shared" si="9"/>
        <v>-204</v>
      </c>
      <c r="L43" s="58" t="s">
        <v>71</v>
      </c>
      <c r="M43" s="61"/>
      <c r="N43" s="62"/>
      <c r="O43" s="104">
        <f>M43</f>
        <v>0</v>
      </c>
      <c r="P43" s="66">
        <f>N43*O43</f>
        <v>0</v>
      </c>
    </row>
    <row r="44" spans="1:16" x14ac:dyDescent="0.55000000000000004">
      <c r="A44" s="36" t="s">
        <v>84</v>
      </c>
      <c r="B44" s="8"/>
      <c r="C44" s="107">
        <f>J41/J34</f>
        <v>0.10745741519575208</v>
      </c>
      <c r="F44" s="9" t="s">
        <v>9</v>
      </c>
      <c r="G44" s="22">
        <f>G41-G43-G42</f>
        <v>16960.400000000001</v>
      </c>
      <c r="H44" s="22">
        <f t="shared" ref="H44:J44" si="10">H41-H43-H42</f>
        <v>11608.199999999999</v>
      </c>
      <c r="I44" s="22">
        <f t="shared" si="10"/>
        <v>16973</v>
      </c>
      <c r="J44" s="22">
        <f t="shared" si="10"/>
        <v>14358.1</v>
      </c>
      <c r="L44" s="58" t="s">
        <v>72</v>
      </c>
      <c r="M44" s="61"/>
      <c r="N44" s="46"/>
      <c r="O44" s="104">
        <f>M44</f>
        <v>0</v>
      </c>
      <c r="P44" s="66">
        <f t="shared" ref="P44:P47" si="11">N44*O44</f>
        <v>0</v>
      </c>
    </row>
    <row r="45" spans="1:16" x14ac:dyDescent="0.55000000000000004">
      <c r="A45" s="108" t="s">
        <v>85</v>
      </c>
      <c r="B45" s="8"/>
      <c r="C45" s="107">
        <f>J48/J34</f>
        <v>9.3533841644609719E-2</v>
      </c>
      <c r="F45" s="8" t="s">
        <v>10</v>
      </c>
      <c r="G45" s="24">
        <f>G44*G49</f>
        <v>3527.7632000000003</v>
      </c>
      <c r="H45" s="24">
        <f t="shared" ref="H45:J45" si="12">H44*H49</f>
        <v>2019.8267999999996</v>
      </c>
      <c r="I45" s="24">
        <f t="shared" si="12"/>
        <v>2325.3010000000004</v>
      </c>
      <c r="J45" s="24">
        <f t="shared" si="12"/>
        <v>2305.91086</v>
      </c>
      <c r="L45" s="58" t="s">
        <v>73</v>
      </c>
      <c r="M45" s="61"/>
      <c r="N45" s="46"/>
      <c r="O45" s="104">
        <f>M45</f>
        <v>0</v>
      </c>
      <c r="P45" s="66">
        <f t="shared" si="11"/>
        <v>0</v>
      </c>
    </row>
    <row r="46" spans="1:16" x14ac:dyDescent="0.55000000000000004">
      <c r="A46" s="108"/>
      <c r="B46" s="8"/>
      <c r="C46" s="107"/>
      <c r="F46" s="8" t="s">
        <v>139</v>
      </c>
      <c r="G46" s="24">
        <f>G18</f>
        <v>-503.5</v>
      </c>
      <c r="H46" s="24">
        <f t="shared" ref="H46:J47" si="13">H18</f>
        <v>-341</v>
      </c>
      <c r="I46" s="24">
        <f t="shared" si="13"/>
        <v>-394</v>
      </c>
      <c r="J46" s="24">
        <f t="shared" si="13"/>
        <v>-532</v>
      </c>
      <c r="L46" s="58"/>
      <c r="M46" s="61"/>
      <c r="N46" s="46"/>
      <c r="O46" s="104"/>
      <c r="P46" s="66"/>
    </row>
    <row r="47" spans="1:16" x14ac:dyDescent="0.55000000000000004">
      <c r="F47" s="8" t="s">
        <v>11</v>
      </c>
      <c r="G47" s="23">
        <f>G19</f>
        <v>0</v>
      </c>
      <c r="H47" s="23">
        <f t="shared" si="13"/>
        <v>0</v>
      </c>
      <c r="I47" s="23">
        <f t="shared" si="13"/>
        <v>0</v>
      </c>
      <c r="J47" s="23">
        <f t="shared" si="13"/>
        <v>0</v>
      </c>
      <c r="L47" s="63" t="s">
        <v>74</v>
      </c>
      <c r="M47" s="64"/>
      <c r="N47" s="65"/>
      <c r="O47" s="105">
        <v>0</v>
      </c>
      <c r="P47" s="143">
        <f t="shared" si="11"/>
        <v>0</v>
      </c>
    </row>
    <row r="48" spans="1:16" ht="14.7" thickBot="1" x14ac:dyDescent="0.6">
      <c r="A48" s="147" t="s">
        <v>88</v>
      </c>
      <c r="B48" s="147"/>
      <c r="C48" s="147"/>
      <c r="D48" s="78"/>
      <c r="F48" s="9" t="s">
        <v>12</v>
      </c>
      <c r="G48" s="25">
        <f>G44-G45-G47+G46</f>
        <v>12929.1368</v>
      </c>
      <c r="H48" s="25">
        <f t="shared" ref="H48:J48" si="14">H44-H45-H47+H46</f>
        <v>9247.3732</v>
      </c>
      <c r="I48" s="25">
        <f t="shared" si="14"/>
        <v>14253.699000000001</v>
      </c>
      <c r="J48" s="25">
        <f t="shared" si="14"/>
        <v>11520.18914</v>
      </c>
      <c r="L48" s="59" t="s">
        <v>75</v>
      </c>
      <c r="M48" s="56"/>
      <c r="N48" s="60"/>
      <c r="O48" s="96">
        <f>SUM(O43:O47)</f>
        <v>0</v>
      </c>
      <c r="P48" s="96">
        <f>SUM(P43:P47)</f>
        <v>0</v>
      </c>
    </row>
    <row r="49" spans="1:16" x14ac:dyDescent="0.55000000000000004">
      <c r="A49" s="8"/>
      <c r="B49" s="11" t="s">
        <v>2</v>
      </c>
      <c r="C49" s="11" t="s">
        <v>87</v>
      </c>
      <c r="D49" s="11" t="s">
        <v>93</v>
      </c>
      <c r="F49" s="14" t="s">
        <v>13</v>
      </c>
      <c r="G49" s="30">
        <v>0.20799999999999999</v>
      </c>
      <c r="H49" s="30">
        <v>0.17399999999999999</v>
      </c>
      <c r="I49" s="30">
        <v>0.13700000000000001</v>
      </c>
      <c r="J49" s="30">
        <v>0.16059999999999999</v>
      </c>
      <c r="L49" s="4"/>
      <c r="M49" s="4"/>
      <c r="N49" s="4"/>
      <c r="O49" s="4"/>
      <c r="P49" s="4"/>
    </row>
    <row r="50" spans="1:16" x14ac:dyDescent="0.55000000000000004">
      <c r="A50" s="9" t="s">
        <v>89</v>
      </c>
      <c r="B50" s="8"/>
      <c r="C50" s="8"/>
      <c r="D50" s="8"/>
      <c r="F50" s="14"/>
      <c r="G50" s="30"/>
      <c r="H50" s="30"/>
      <c r="I50" s="30"/>
      <c r="J50" s="30"/>
    </row>
    <row r="51" spans="1:16" x14ac:dyDescent="0.55000000000000004">
      <c r="A51" s="8" t="s">
        <v>90</v>
      </c>
      <c r="B51" s="99">
        <f>I34/H34-1</f>
        <v>3.7536280192844051E-2</v>
      </c>
      <c r="C51" s="100">
        <f>I56/H56-1</f>
        <v>0.15117936557063349</v>
      </c>
      <c r="D51" s="99">
        <f>I52/H52-1</f>
        <v>0.54408548917191801</v>
      </c>
      <c r="F51" s="14" t="s">
        <v>94</v>
      </c>
      <c r="G51" s="28">
        <v>1711</v>
      </c>
      <c r="H51" s="28">
        <v>1711</v>
      </c>
      <c r="I51" s="28">
        <v>1708</v>
      </c>
      <c r="J51" s="28">
        <v>1693</v>
      </c>
    </row>
    <row r="52" spans="1:16" x14ac:dyDescent="0.55000000000000004">
      <c r="A52" s="8" t="s">
        <v>91</v>
      </c>
      <c r="B52" s="99">
        <f>(I34/G34)^0.5-1</f>
        <v>-5.3988960743315717E-2</v>
      </c>
      <c r="C52" s="100">
        <f>(I56/G56)^0.5-1</f>
        <v>0.11886364443166664</v>
      </c>
      <c r="D52" s="99">
        <f>(I52/G52)^0.5-1</f>
        <v>5.0896868669951356E-2</v>
      </c>
      <c r="F52" s="14" t="s">
        <v>14</v>
      </c>
      <c r="G52" s="97">
        <f>G48/G51</f>
        <v>7.5564797194623026</v>
      </c>
      <c r="H52" s="97">
        <f t="shared" ref="H52:J52" si="15">H48/H51</f>
        <v>5.4046599649327876</v>
      </c>
      <c r="I52" s="97">
        <f t="shared" si="15"/>
        <v>8.3452570257611249</v>
      </c>
      <c r="J52" s="97">
        <f t="shared" si="15"/>
        <v>6.8046007914943889</v>
      </c>
    </row>
    <row r="53" spans="1:16" x14ac:dyDescent="0.55000000000000004">
      <c r="A53" s="9" t="s">
        <v>92</v>
      </c>
      <c r="B53" s="94"/>
      <c r="C53" s="95"/>
      <c r="D53" s="94"/>
    </row>
    <row r="54" spans="1:16" x14ac:dyDescent="0.55000000000000004">
      <c r="A54" s="8" t="s">
        <v>90</v>
      </c>
      <c r="B54" s="99">
        <f>B35/I34-1</f>
        <v>-1.8335971414690677E-2</v>
      </c>
      <c r="C54" s="100">
        <f>B36/I56-1</f>
        <v>-0.61474379364141707</v>
      </c>
      <c r="D54" s="99">
        <f>B38/I52-1</f>
        <v>-0.61894522958566756</v>
      </c>
      <c r="F54" s="5" t="s">
        <v>86</v>
      </c>
      <c r="G54" s="5"/>
      <c r="H54" s="5"/>
      <c r="I54" s="5"/>
      <c r="J54" s="5"/>
    </row>
    <row r="55" spans="1:16" x14ac:dyDescent="0.55000000000000004">
      <c r="A55" s="8" t="s">
        <v>91</v>
      </c>
      <c r="B55" s="99">
        <f>(C35/I34)^0.5-1</f>
        <v>3.0338727659041664E-2</v>
      </c>
      <c r="C55" s="100">
        <f>(C36/I56)^0.5-1</f>
        <v>-0.35881423179483818</v>
      </c>
      <c r="D55" s="99">
        <f>(C38/I52)^0.5-1</f>
        <v>-0.3432026500056341</v>
      </c>
      <c r="F55" s="8" t="s">
        <v>57</v>
      </c>
      <c r="G55" s="75">
        <v>6115</v>
      </c>
      <c r="H55" s="75">
        <v>11838</v>
      </c>
      <c r="I55" s="75">
        <v>11360</v>
      </c>
      <c r="J55" s="69">
        <v>10987</v>
      </c>
    </row>
    <row r="56" spans="1:16" x14ac:dyDescent="0.55000000000000004">
      <c r="F56" s="8" t="s">
        <v>87</v>
      </c>
      <c r="G56" s="76">
        <f>G41+G55</f>
        <v>21095.4</v>
      </c>
      <c r="H56" s="76">
        <f t="shared" ref="H56:J56" si="16">H41+H55</f>
        <v>22940.3</v>
      </c>
      <c r="I56" s="76">
        <f t="shared" si="16"/>
        <v>26408.400000000001</v>
      </c>
      <c r="J56" s="76">
        <f t="shared" si="16"/>
        <v>24222.1</v>
      </c>
    </row>
    <row r="57" spans="1:16" x14ac:dyDescent="0.55000000000000004">
      <c r="A57" s="147" t="s">
        <v>96</v>
      </c>
      <c r="B57" s="147"/>
      <c r="C57" s="147"/>
    </row>
    <row r="58" spans="1:16" x14ac:dyDescent="0.55000000000000004">
      <c r="A58" s="8" t="s">
        <v>77</v>
      </c>
      <c r="B58" s="8"/>
      <c r="C58" s="107">
        <f>(J41*(1-J49))/AVERAGE(N24-N6+N30,M24-M6+M30)</f>
        <v>0.76265139973913654</v>
      </c>
      <c r="F58" s="147" t="s">
        <v>103</v>
      </c>
      <c r="G58" s="147"/>
      <c r="H58" s="147"/>
      <c r="I58" s="78"/>
    </row>
    <row r="59" spans="1:16" x14ac:dyDescent="0.55000000000000004">
      <c r="A59" s="36" t="s">
        <v>78</v>
      </c>
      <c r="B59" s="8"/>
      <c r="C59" s="107" t="e">
        <f>J48/AVERAGE(M30,N30)</f>
        <v>#DIV/0!</v>
      </c>
      <c r="F59" s="52"/>
      <c r="G59" s="110" t="s">
        <v>1</v>
      </c>
      <c r="H59" s="110" t="s">
        <v>104</v>
      </c>
      <c r="I59" s="110" t="s">
        <v>105</v>
      </c>
    </row>
    <row r="60" spans="1:16" x14ac:dyDescent="0.55000000000000004">
      <c r="A60" s="36" t="s">
        <v>79</v>
      </c>
      <c r="B60" s="8"/>
      <c r="C60" s="107">
        <f>J48/AVERAGE(M16,N16)</f>
        <v>0.78908107400938388</v>
      </c>
      <c r="F60" s="52"/>
      <c r="G60" s="111">
        <v>44926</v>
      </c>
      <c r="H60" s="112" t="s">
        <v>133</v>
      </c>
      <c r="I60" s="112" t="s">
        <v>136</v>
      </c>
    </row>
    <row r="61" spans="1:16" x14ac:dyDescent="0.55000000000000004">
      <c r="A61" s="108" t="s">
        <v>80</v>
      </c>
      <c r="B61" s="8"/>
      <c r="C61" s="107">
        <f>C22*4/C17</f>
        <v>0</v>
      </c>
      <c r="F61" s="113" t="s">
        <v>106</v>
      </c>
      <c r="G61" s="114">
        <f>C31/J34</f>
        <v>0.61227676469155445</v>
      </c>
      <c r="H61" s="114">
        <f>C31/B35</f>
        <v>0.60195469276329439</v>
      </c>
      <c r="I61" s="114">
        <f>C31/C35</f>
        <v>0.55663003122255106</v>
      </c>
    </row>
    <row r="62" spans="1:16" x14ac:dyDescent="0.55000000000000004">
      <c r="F62" s="113" t="s">
        <v>107</v>
      </c>
      <c r="G62" s="114">
        <f>C31/J56</f>
        <v>3.1133419480557012</v>
      </c>
      <c r="H62" s="114">
        <f>C31/B36</f>
        <v>7.4121957931983484</v>
      </c>
      <c r="I62" s="114">
        <f>C31/C36</f>
        <v>6.9459040250529602</v>
      </c>
    </row>
    <row r="63" spans="1:16" x14ac:dyDescent="0.55000000000000004">
      <c r="A63" s="147" t="s">
        <v>97</v>
      </c>
      <c r="B63" s="147"/>
      <c r="C63" s="147"/>
      <c r="F63" s="113" t="s">
        <v>108</v>
      </c>
      <c r="G63" s="114">
        <f>C31/J41</f>
        <v>5.6978549463169896</v>
      </c>
      <c r="H63" s="114">
        <f>C31/B37</f>
        <v>11.372595385311415</v>
      </c>
      <c r="I63" s="114">
        <f>C31/C37</f>
        <v>10.19627906976744</v>
      </c>
    </row>
    <row r="64" spans="1:16" x14ac:dyDescent="0.55000000000000004">
      <c r="A64" s="8" t="s">
        <v>98</v>
      </c>
      <c r="B64" s="8"/>
      <c r="C64" s="77">
        <f>N24/(N24+N29+N30)</f>
        <v>1</v>
      </c>
      <c r="F64" s="113" t="s">
        <v>109</v>
      </c>
      <c r="G64" s="114">
        <f>C17/J52</f>
        <v>3.8679712163128599</v>
      </c>
      <c r="H64" s="114">
        <f>C17/B38</f>
        <v>8.2767295597484267</v>
      </c>
      <c r="I64" s="114">
        <f>C17/C38</f>
        <v>7.3111111111111109</v>
      </c>
    </row>
    <row r="65" spans="1:8" x14ac:dyDescent="0.55000000000000004">
      <c r="A65" s="8" t="s">
        <v>99</v>
      </c>
      <c r="B65" s="8"/>
      <c r="C65" s="109">
        <f>N24/J56</f>
        <v>2.4082552710128353</v>
      </c>
    </row>
    <row r="66" spans="1:8" x14ac:dyDescent="0.55000000000000004">
      <c r="A66" s="8" t="s">
        <v>100</v>
      </c>
      <c r="B66" s="8"/>
      <c r="C66" s="109">
        <f>(N24-N6)/J56</f>
        <v>1.2027858856168541</v>
      </c>
    </row>
    <row r="67" spans="1:8" x14ac:dyDescent="0.55000000000000004">
      <c r="A67" s="8" t="s">
        <v>101</v>
      </c>
      <c r="B67" s="8"/>
      <c r="C67" s="109">
        <f>J56/J43</f>
        <v>-118.73578431372549</v>
      </c>
    </row>
    <row r="68" spans="1:8" x14ac:dyDescent="0.55000000000000004">
      <c r="A68" s="8" t="s">
        <v>102</v>
      </c>
      <c r="B68" s="8"/>
      <c r="C68" s="109">
        <f>J41/J43</f>
        <v>-64.877941176470586</v>
      </c>
    </row>
    <row r="69" spans="1:8" x14ac:dyDescent="0.55000000000000004">
      <c r="H69" s="115"/>
    </row>
  </sheetData>
  <mergeCells count="11">
    <mergeCell ref="A40:C40"/>
    <mergeCell ref="A48:C48"/>
    <mergeCell ref="A57:C57"/>
    <mergeCell ref="F58:H58"/>
    <mergeCell ref="A63:C63"/>
    <mergeCell ref="A4:C4"/>
    <mergeCell ref="G6:I6"/>
    <mergeCell ref="A16:C16"/>
    <mergeCell ref="G32:I32"/>
    <mergeCell ref="A33:C33"/>
    <mergeCell ref="L39:P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3628-9A9C-4156-963D-B5585BCF27B4}">
  <dimension ref="A2:P69"/>
  <sheetViews>
    <sheetView topLeftCell="A26" workbookViewId="0">
      <selection activeCell="K64" sqref="K64"/>
    </sheetView>
  </sheetViews>
  <sheetFormatPr defaultColWidth="9.15625" defaultRowHeight="14.4" x14ac:dyDescent="0.55000000000000004"/>
  <cols>
    <col min="1" max="1" width="29.734375" style="1" bestFit="1" customWidth="1"/>
    <col min="2" max="2" width="10.26171875" style="1" bestFit="1" customWidth="1"/>
    <col min="3" max="3" width="13.5234375" style="1" bestFit="1" customWidth="1"/>
    <col min="4" max="4" width="10" style="1" customWidth="1"/>
    <col min="5" max="5" width="3.47265625" style="1" customWidth="1"/>
    <col min="6" max="6" width="27.7890625" style="1" bestFit="1" customWidth="1"/>
    <col min="7" max="10" width="12" style="1" bestFit="1" customWidth="1"/>
    <col min="11" max="11" width="9.15625" style="1"/>
    <col min="12" max="12" width="31.26171875" style="1" bestFit="1" customWidth="1"/>
    <col min="13" max="14" width="10.89453125" style="1" bestFit="1" customWidth="1"/>
    <col min="15" max="15" width="12.734375" style="1" bestFit="1" customWidth="1"/>
    <col min="16" max="16" width="9.89453125" style="1" bestFit="1" customWidth="1"/>
    <col min="17" max="16384" width="9.15625" style="1"/>
  </cols>
  <sheetData>
    <row r="2" spans="1:14" ht="30.6" x14ac:dyDescent="1.1000000000000001">
      <c r="A2" s="2" t="s">
        <v>141</v>
      </c>
    </row>
    <row r="4" spans="1:14" x14ac:dyDescent="0.55000000000000004">
      <c r="A4" s="147" t="s">
        <v>16</v>
      </c>
      <c r="B4" s="147"/>
      <c r="C4" s="147"/>
      <c r="D4" s="79"/>
      <c r="F4" s="5" t="s">
        <v>0</v>
      </c>
      <c r="G4" s="3"/>
      <c r="H4" s="3"/>
      <c r="I4" s="3"/>
      <c r="J4" s="3"/>
      <c r="L4" s="5" t="s">
        <v>15</v>
      </c>
      <c r="M4" s="5"/>
      <c r="N4" s="5"/>
    </row>
    <row r="5" spans="1:14" x14ac:dyDescent="0.55000000000000004">
      <c r="A5" s="15" t="s">
        <v>17</v>
      </c>
      <c r="B5" s="17"/>
      <c r="C5" s="28"/>
      <c r="D5" s="80"/>
      <c r="F5" s="8"/>
      <c r="G5" s="9"/>
      <c r="H5" s="9"/>
      <c r="I5" s="9"/>
      <c r="J5" s="10"/>
      <c r="L5" s="8"/>
      <c r="M5" s="37">
        <v>44561</v>
      </c>
      <c r="N5" s="38">
        <v>44926</v>
      </c>
    </row>
    <row r="6" spans="1:14" ht="15.75" customHeight="1" x14ac:dyDescent="0.55000000000000004">
      <c r="A6" s="15" t="s">
        <v>18</v>
      </c>
      <c r="B6" s="17"/>
      <c r="C6" s="44"/>
      <c r="D6" s="81"/>
      <c r="F6" s="8"/>
      <c r="G6" s="148" t="s">
        <v>138</v>
      </c>
      <c r="H6" s="148"/>
      <c r="I6" s="148"/>
      <c r="J6" s="11" t="s">
        <v>1</v>
      </c>
      <c r="L6" s="8" t="s">
        <v>37</v>
      </c>
      <c r="M6" s="39">
        <v>36457</v>
      </c>
      <c r="N6" s="39">
        <v>32184</v>
      </c>
    </row>
    <row r="7" spans="1:14" x14ac:dyDescent="0.55000000000000004">
      <c r="A7" s="15" t="s">
        <v>19</v>
      </c>
      <c r="B7" s="17"/>
      <c r="C7" s="44"/>
      <c r="D7" s="81"/>
      <c r="F7" s="8"/>
      <c r="G7" s="12">
        <v>2019</v>
      </c>
      <c r="H7" s="12">
        <v>2020</v>
      </c>
      <c r="I7" s="12">
        <v>2021</v>
      </c>
      <c r="J7" s="13">
        <v>44926</v>
      </c>
      <c r="L7" s="33" t="s">
        <v>38</v>
      </c>
      <c r="M7" s="40">
        <v>11370</v>
      </c>
      <c r="N7" s="40">
        <v>4575</v>
      </c>
    </row>
    <row r="8" spans="1:14" x14ac:dyDescent="0.55000000000000004">
      <c r="A8" s="15" t="s">
        <v>20</v>
      </c>
      <c r="B8" s="18"/>
      <c r="C8" s="45"/>
      <c r="D8" s="82"/>
      <c r="F8" s="9" t="s">
        <v>2</v>
      </c>
      <c r="G8" s="26">
        <v>155900</v>
      </c>
      <c r="H8" s="26">
        <v>127144</v>
      </c>
      <c r="I8" s="26">
        <v>136341</v>
      </c>
      <c r="J8" s="26">
        <v>158057</v>
      </c>
      <c r="L8" s="33" t="s">
        <v>39</v>
      </c>
      <c r="M8" s="40">
        <v>12065</v>
      </c>
      <c r="N8" s="40">
        <v>14080</v>
      </c>
    </row>
    <row r="9" spans="1:14" x14ac:dyDescent="0.55000000000000004">
      <c r="A9" s="15" t="s">
        <v>21</v>
      </c>
      <c r="B9" s="17"/>
      <c r="C9" s="44"/>
      <c r="D9" s="81"/>
      <c r="F9" s="8" t="s">
        <v>3</v>
      </c>
      <c r="G9" s="27">
        <f>133889+4746+4389</f>
        <v>143024</v>
      </c>
      <c r="H9" s="27">
        <f>112528+5205+3402</f>
        <v>121135</v>
      </c>
      <c r="I9" s="27">
        <f>114651+2462+2790</f>
        <v>119903</v>
      </c>
      <c r="J9" s="27">
        <f>134346+3162+3334</f>
        <v>140842</v>
      </c>
      <c r="L9" s="33" t="s">
        <v>40</v>
      </c>
      <c r="M9" s="41">
        <f>32543+13261+3300</f>
        <v>49104</v>
      </c>
      <c r="N9" s="41">
        <f>49874+13139+2624</f>
        <v>65637</v>
      </c>
    </row>
    <row r="10" spans="1:14" x14ac:dyDescent="0.55000000000000004">
      <c r="A10" s="15" t="s">
        <v>22</v>
      </c>
      <c r="B10" s="17"/>
      <c r="C10" s="44"/>
      <c r="D10" s="81"/>
      <c r="F10" s="9" t="s">
        <v>4</v>
      </c>
      <c r="G10" s="26">
        <f>G8-G9</f>
        <v>12876</v>
      </c>
      <c r="H10" s="26">
        <f t="shared" ref="H10:J10" si="0">H8-H9</f>
        <v>6009</v>
      </c>
      <c r="I10" s="26">
        <f t="shared" si="0"/>
        <v>16438</v>
      </c>
      <c r="J10" s="26">
        <f t="shared" si="0"/>
        <v>17215</v>
      </c>
      <c r="L10" s="34" t="s">
        <v>41</v>
      </c>
      <c r="M10" s="42">
        <f>M6+M7+M8+M9</f>
        <v>108996</v>
      </c>
      <c r="N10" s="42">
        <f>N6+N7+N8+N9</f>
        <v>116476</v>
      </c>
    </row>
    <row r="11" spans="1:14" x14ac:dyDescent="0.55000000000000004">
      <c r="A11" s="15" t="s">
        <v>23</v>
      </c>
      <c r="B11" s="19"/>
      <c r="C11" s="46"/>
      <c r="D11" s="83"/>
      <c r="F11" s="8" t="s">
        <v>5</v>
      </c>
      <c r="G11" s="28">
        <v>12763</v>
      </c>
      <c r="H11" s="28">
        <v>10124</v>
      </c>
      <c r="I11" s="28">
        <v>5918</v>
      </c>
      <c r="J11" s="28">
        <v>9552</v>
      </c>
      <c r="L11" s="8"/>
      <c r="M11" s="43"/>
      <c r="N11" s="43"/>
    </row>
    <row r="12" spans="1:14" x14ac:dyDescent="0.55000000000000004">
      <c r="A12" s="15" t="s">
        <v>24</v>
      </c>
      <c r="B12" s="15"/>
      <c r="C12" s="47"/>
      <c r="D12" s="84"/>
      <c r="F12" s="8" t="s">
        <v>6</v>
      </c>
      <c r="G12" s="27">
        <v>0</v>
      </c>
      <c r="H12" s="27">
        <v>0</v>
      </c>
      <c r="I12" s="27">
        <v>0</v>
      </c>
      <c r="J12" s="27">
        <v>0</v>
      </c>
      <c r="L12" s="33" t="s">
        <v>42</v>
      </c>
      <c r="M12" s="40">
        <v>39670</v>
      </c>
      <c r="N12" s="40">
        <v>37983</v>
      </c>
    </row>
    <row r="13" spans="1:14" x14ac:dyDescent="0.55000000000000004">
      <c r="A13" s="15"/>
      <c r="B13" s="15"/>
      <c r="C13" s="47"/>
      <c r="D13" s="6"/>
      <c r="F13" s="9" t="s">
        <v>7</v>
      </c>
      <c r="G13" s="26">
        <f>G10-G11-G12</f>
        <v>113</v>
      </c>
      <c r="H13" s="26">
        <f t="shared" ref="H13:J13" si="1">H10-H11-H12</f>
        <v>-4115</v>
      </c>
      <c r="I13" s="26">
        <f t="shared" si="1"/>
        <v>10520</v>
      </c>
      <c r="J13" s="26">
        <f t="shared" si="1"/>
        <v>7663</v>
      </c>
      <c r="L13" s="33" t="s">
        <v>43</v>
      </c>
      <c r="M13" s="40">
        <f>619+111</f>
        <v>730</v>
      </c>
      <c r="N13" s="40"/>
    </row>
    <row r="14" spans="1:14" x14ac:dyDescent="0.55000000000000004">
      <c r="A14" s="15"/>
      <c r="B14" s="15"/>
      <c r="C14" s="47"/>
      <c r="D14" s="6"/>
      <c r="F14" s="8" t="s">
        <v>6</v>
      </c>
      <c r="G14" s="26">
        <f>-1-52-435</f>
        <v>-488</v>
      </c>
      <c r="H14" s="26">
        <f>-42-610</f>
        <v>-652</v>
      </c>
      <c r="I14" s="26">
        <f>-327-650</f>
        <v>-977</v>
      </c>
      <c r="J14" s="26">
        <f>2883-684</f>
        <v>2199</v>
      </c>
      <c r="L14" s="33"/>
      <c r="M14" s="40"/>
      <c r="N14" s="40"/>
    </row>
    <row r="15" spans="1:14" x14ac:dyDescent="0.55000000000000004">
      <c r="A15" s="6"/>
      <c r="B15" s="6"/>
      <c r="C15" s="6"/>
      <c r="D15" s="79"/>
      <c r="F15" s="51" t="s">
        <v>8</v>
      </c>
      <c r="G15" s="27">
        <v>546</v>
      </c>
      <c r="H15" s="27">
        <v>1199</v>
      </c>
      <c r="I15" s="27">
        <v>1542</v>
      </c>
      <c r="J15" s="27">
        <v>643</v>
      </c>
      <c r="L15" s="33" t="s">
        <v>44</v>
      </c>
      <c r="M15" s="41">
        <f>5445+51256+25295+13796+309+11538</f>
        <v>107639</v>
      </c>
      <c r="N15" s="41">
        <f>2678+49903+23560+15394+9890</f>
        <v>101425</v>
      </c>
    </row>
    <row r="16" spans="1:14" x14ac:dyDescent="0.55000000000000004">
      <c r="A16" s="147" t="s">
        <v>25</v>
      </c>
      <c r="B16" s="147"/>
      <c r="C16" s="147"/>
      <c r="D16" s="85"/>
      <c r="F16" s="9" t="s">
        <v>9</v>
      </c>
      <c r="G16" s="26">
        <f>G13-G15-G14</f>
        <v>55</v>
      </c>
      <c r="H16" s="26">
        <f>H13-H15-H14</f>
        <v>-4662</v>
      </c>
      <c r="I16" s="26">
        <f t="shared" ref="H16:J16" si="2">I13-I15-I14</f>
        <v>9955</v>
      </c>
      <c r="J16" s="26">
        <f t="shared" si="2"/>
        <v>4821</v>
      </c>
      <c r="L16" s="34" t="s">
        <v>45</v>
      </c>
      <c r="M16" s="42">
        <f>M10+M12+M13+M15</f>
        <v>257035</v>
      </c>
      <c r="N16" s="42">
        <f>N10+N12+N13+N15</f>
        <v>255884</v>
      </c>
    </row>
    <row r="17" spans="1:14" x14ac:dyDescent="0.55000000000000004">
      <c r="A17" s="15" t="s">
        <v>26</v>
      </c>
      <c r="B17" s="48"/>
      <c r="C17" s="49">
        <v>13.08</v>
      </c>
      <c r="D17" s="86"/>
      <c r="F17" s="8" t="s">
        <v>10</v>
      </c>
      <c r="G17" s="28">
        <f>G16*G21</f>
        <v>62.221499999999999</v>
      </c>
      <c r="H17" s="28">
        <f t="shared" ref="H17:J17" si="3">H16*H21</f>
        <v>668.5308</v>
      </c>
      <c r="I17" s="28">
        <f t="shared" si="3"/>
        <v>-72.671499999999995</v>
      </c>
      <c r="J17" s="28">
        <f t="shared" si="3"/>
        <v>1381.2165</v>
      </c>
      <c r="L17" s="8"/>
      <c r="M17" s="43"/>
      <c r="N17" s="43"/>
    </row>
    <row r="18" spans="1:14" x14ac:dyDescent="0.55000000000000004">
      <c r="A18" s="15"/>
      <c r="B18" s="48"/>
      <c r="C18" s="49"/>
      <c r="D18" s="86"/>
      <c r="F18" s="8" t="s">
        <v>139</v>
      </c>
      <c r="G18" s="28">
        <v>-37</v>
      </c>
      <c r="H18" s="28">
        <v>-3</v>
      </c>
      <c r="I18" s="28">
        <v>27</v>
      </c>
      <c r="J18" s="28">
        <v>171</v>
      </c>
      <c r="L18" s="8"/>
      <c r="M18" s="43"/>
      <c r="N18" s="43"/>
    </row>
    <row r="19" spans="1:14" x14ac:dyDescent="0.55000000000000004">
      <c r="A19" s="15" t="s">
        <v>27</v>
      </c>
      <c r="B19" s="21"/>
      <c r="C19" s="50">
        <f>C17/C20</f>
        <v>0.80000000000000016</v>
      </c>
      <c r="D19" s="87"/>
      <c r="F19" s="8" t="s">
        <v>11</v>
      </c>
      <c r="G19" s="27">
        <v>0</v>
      </c>
      <c r="H19" s="27">
        <v>0</v>
      </c>
      <c r="I19" s="27">
        <v>0</v>
      </c>
      <c r="J19" s="27">
        <v>0</v>
      </c>
      <c r="L19" s="33" t="s">
        <v>46</v>
      </c>
      <c r="M19" s="40">
        <v>22349</v>
      </c>
      <c r="N19" s="40">
        <v>24507</v>
      </c>
    </row>
    <row r="20" spans="1:14" ht="14.7" thickBot="1" x14ac:dyDescent="0.6">
      <c r="A20" s="15" t="s">
        <v>28</v>
      </c>
      <c r="B20" s="48"/>
      <c r="C20" s="50">
        <f>C17/0.8</f>
        <v>16.349999999999998</v>
      </c>
      <c r="D20" s="87"/>
      <c r="F20" s="9" t="s">
        <v>12</v>
      </c>
      <c r="G20" s="29">
        <f>G16-G17-G19+G18</f>
        <v>-44.221499999999999</v>
      </c>
      <c r="H20" s="29">
        <f t="shared" ref="H20:J20" si="4">H16-H17-H19+H18</f>
        <v>-5333.5308000000005</v>
      </c>
      <c r="I20" s="29">
        <f t="shared" si="4"/>
        <v>10054.6715</v>
      </c>
      <c r="J20" s="29">
        <f t="shared" si="4"/>
        <v>3610.7835</v>
      </c>
      <c r="L20" s="33" t="s">
        <v>47</v>
      </c>
      <c r="M20" s="40">
        <v>3109</v>
      </c>
      <c r="N20" s="40">
        <v>3480</v>
      </c>
    </row>
    <row r="21" spans="1:14" x14ac:dyDescent="0.55000000000000004">
      <c r="A21" s="15" t="s">
        <v>29</v>
      </c>
      <c r="B21" s="48"/>
      <c r="C21" s="50">
        <f>C17*0.8</f>
        <v>10.464</v>
      </c>
      <c r="D21" s="81"/>
      <c r="F21" s="14" t="s">
        <v>13</v>
      </c>
      <c r="G21" s="30">
        <v>1.1313</v>
      </c>
      <c r="H21" s="30">
        <v>-0.1434</v>
      </c>
      <c r="I21" s="30">
        <v>-7.3000000000000001E-3</v>
      </c>
      <c r="J21" s="30">
        <v>0.28649999999999998</v>
      </c>
      <c r="L21" s="33" t="s">
        <v>48</v>
      </c>
      <c r="M21" s="41">
        <f>286+2813+421+46517+2349+12883-21799</f>
        <v>43470</v>
      </c>
      <c r="N21" s="41">
        <f>359+285+490+49434+1098+2404+14809-24623</f>
        <v>44256</v>
      </c>
    </row>
    <row r="22" spans="1:14" x14ac:dyDescent="0.55000000000000004">
      <c r="A22" s="15" t="s">
        <v>30</v>
      </c>
      <c r="B22" s="15"/>
      <c r="C22" s="49">
        <v>0.5</v>
      </c>
      <c r="D22" s="88"/>
      <c r="F22" s="5" t="s">
        <v>58</v>
      </c>
      <c r="G22" s="3"/>
      <c r="H22" s="3"/>
      <c r="I22" s="3"/>
      <c r="J22" s="3"/>
      <c r="L22" s="34" t="s">
        <v>49</v>
      </c>
      <c r="M22" s="42">
        <f>M19+M20+M21</f>
        <v>68928</v>
      </c>
      <c r="N22" s="42">
        <f>N19+N20+N21</f>
        <v>72243</v>
      </c>
    </row>
    <row r="23" spans="1:14" x14ac:dyDescent="0.55000000000000004">
      <c r="A23" s="15"/>
      <c r="B23" s="15"/>
      <c r="C23" s="71"/>
      <c r="D23" s="89"/>
      <c r="F23" s="73" t="s">
        <v>129</v>
      </c>
      <c r="G23" s="73"/>
      <c r="H23" s="73"/>
      <c r="I23" s="73"/>
      <c r="J23" s="73"/>
      <c r="L23" s="8"/>
      <c r="M23" s="43"/>
      <c r="N23" s="43"/>
    </row>
    <row r="24" spans="1:14" x14ac:dyDescent="0.55000000000000004">
      <c r="A24" s="72" t="s">
        <v>31</v>
      </c>
      <c r="B24" s="15"/>
      <c r="C24" s="104">
        <f>P37</f>
        <v>3986.2</v>
      </c>
      <c r="D24" s="6"/>
      <c r="F24" s="73" t="s">
        <v>124</v>
      </c>
      <c r="G24" s="73"/>
      <c r="H24" s="73"/>
      <c r="I24" s="73"/>
      <c r="J24" s="73"/>
      <c r="L24" s="35" t="s">
        <v>50</v>
      </c>
      <c r="M24" s="69">
        <v>139485</v>
      </c>
      <c r="N24" s="69">
        <v>140474</v>
      </c>
    </row>
    <row r="25" spans="1:14" x14ac:dyDescent="0.55000000000000004">
      <c r="A25" s="16" t="s">
        <v>32</v>
      </c>
      <c r="B25" s="15"/>
      <c r="C25" s="68">
        <f>C17*C24</f>
        <v>52139.495999999999</v>
      </c>
      <c r="D25" s="90"/>
      <c r="F25" s="73" t="s">
        <v>130</v>
      </c>
      <c r="G25" s="73"/>
      <c r="H25" s="73"/>
      <c r="I25" s="73"/>
      <c r="J25" s="73"/>
      <c r="L25" s="35" t="s">
        <v>51</v>
      </c>
      <c r="M25" s="70"/>
      <c r="N25" s="70"/>
    </row>
    <row r="26" spans="1:14" x14ac:dyDescent="0.55000000000000004">
      <c r="A26" s="15"/>
      <c r="B26" s="15"/>
      <c r="C26" s="15"/>
      <c r="D26" s="91"/>
      <c r="F26" s="73" t="s">
        <v>131</v>
      </c>
      <c r="G26" s="73"/>
      <c r="H26" s="73"/>
      <c r="I26" s="73"/>
      <c r="J26" s="73"/>
      <c r="L26" s="34" t="s">
        <v>52</v>
      </c>
      <c r="M26" s="42">
        <f>M24+M25+M22</f>
        <v>208413</v>
      </c>
      <c r="N26" s="42">
        <f>N24+N25+N22</f>
        <v>212717</v>
      </c>
    </row>
    <row r="27" spans="1:14" ht="15.9" x14ac:dyDescent="0.8">
      <c r="A27" s="72" t="s">
        <v>33</v>
      </c>
      <c r="B27" s="15"/>
      <c r="C27" s="101">
        <f>N24</f>
        <v>140474</v>
      </c>
      <c r="D27" s="92"/>
      <c r="F27" s="73" t="s">
        <v>125</v>
      </c>
      <c r="G27" s="73"/>
      <c r="H27" s="73"/>
      <c r="I27" s="73"/>
      <c r="J27" s="73"/>
      <c r="L27" s="8"/>
      <c r="M27" s="43"/>
      <c r="N27" s="43"/>
    </row>
    <row r="28" spans="1:14" ht="15.9" x14ac:dyDescent="0.8">
      <c r="A28" s="72" t="s">
        <v>140</v>
      </c>
      <c r="B28" s="15"/>
      <c r="C28" s="101">
        <v>-75</v>
      </c>
      <c r="D28" s="92"/>
      <c r="F28" s="73"/>
      <c r="G28" s="73"/>
      <c r="H28" s="73"/>
      <c r="I28" s="73"/>
      <c r="J28" s="73"/>
      <c r="L28" s="8"/>
      <c r="M28" s="43"/>
      <c r="N28" s="43"/>
    </row>
    <row r="29" spans="1:14" x14ac:dyDescent="0.55000000000000004">
      <c r="A29" s="72" t="s">
        <v>34</v>
      </c>
      <c r="B29" s="15"/>
      <c r="C29" s="102">
        <f>N29</f>
        <v>0</v>
      </c>
      <c r="D29" s="89"/>
      <c r="F29" s="145" t="s">
        <v>132</v>
      </c>
      <c r="L29" s="33" t="s">
        <v>53</v>
      </c>
      <c r="M29" s="28">
        <v>0</v>
      </c>
      <c r="N29" s="28">
        <v>0</v>
      </c>
    </row>
    <row r="30" spans="1:14" x14ac:dyDescent="0.55000000000000004">
      <c r="A30" s="72" t="s">
        <v>35</v>
      </c>
      <c r="B30" s="15"/>
      <c r="C30" s="103">
        <f>N6</f>
        <v>32184</v>
      </c>
      <c r="D30" s="89"/>
      <c r="F30" s="5" t="s">
        <v>56</v>
      </c>
      <c r="G30" s="5"/>
      <c r="H30" s="5"/>
      <c r="I30" s="5"/>
      <c r="J30" s="5"/>
      <c r="L30" s="35" t="s">
        <v>54</v>
      </c>
      <c r="M30" s="41">
        <v>48622</v>
      </c>
      <c r="N30" s="41">
        <v>43167</v>
      </c>
    </row>
    <row r="31" spans="1:14" x14ac:dyDescent="0.55000000000000004">
      <c r="A31" s="16" t="s">
        <v>36</v>
      </c>
      <c r="B31" s="15"/>
      <c r="C31" s="68">
        <f>C25+C27+C29-C30+C28</f>
        <v>160354.49599999998</v>
      </c>
      <c r="F31" s="8"/>
      <c r="G31" s="9"/>
      <c r="H31" s="9"/>
      <c r="I31" s="9"/>
      <c r="J31" s="10"/>
      <c r="L31" s="34" t="s">
        <v>55</v>
      </c>
      <c r="M31" s="42">
        <f>M26+M29+M30</f>
        <v>257035</v>
      </c>
      <c r="N31" s="42">
        <f>N26+N29+N30</f>
        <v>255884</v>
      </c>
    </row>
    <row r="32" spans="1:14" x14ac:dyDescent="0.55000000000000004">
      <c r="A32" s="7"/>
      <c r="B32" s="6"/>
      <c r="C32" s="89"/>
      <c r="F32" s="8"/>
      <c r="G32" s="148" t="s">
        <v>138</v>
      </c>
      <c r="H32" s="148"/>
      <c r="I32" s="148"/>
      <c r="J32" s="11" t="s">
        <v>1</v>
      </c>
    </row>
    <row r="33" spans="1:16" x14ac:dyDescent="0.55000000000000004">
      <c r="A33" s="147" t="s">
        <v>95</v>
      </c>
      <c r="B33" s="147"/>
      <c r="C33" s="147"/>
      <c r="F33" s="8"/>
      <c r="G33" s="12">
        <v>2019</v>
      </c>
      <c r="H33" s="12">
        <v>2020</v>
      </c>
      <c r="I33" s="12">
        <v>2021</v>
      </c>
      <c r="J33" s="13">
        <v>44926</v>
      </c>
      <c r="L33" s="5" t="s">
        <v>76</v>
      </c>
      <c r="M33" s="5"/>
      <c r="N33" s="5"/>
      <c r="O33" s="5"/>
      <c r="P33" s="5"/>
    </row>
    <row r="34" spans="1:16" x14ac:dyDescent="0.55000000000000004">
      <c r="A34" s="8"/>
      <c r="B34" s="11" t="s">
        <v>133</v>
      </c>
      <c r="C34" s="11" t="s">
        <v>136</v>
      </c>
      <c r="F34" s="9" t="s">
        <v>2</v>
      </c>
      <c r="G34" s="22">
        <f>G8</f>
        <v>155900</v>
      </c>
      <c r="H34" s="22">
        <f>H8</f>
        <v>127144</v>
      </c>
      <c r="I34" s="22">
        <f>I8</f>
        <v>136341</v>
      </c>
      <c r="J34" s="22">
        <f>J8</f>
        <v>158057</v>
      </c>
      <c r="L34" s="32" t="s">
        <v>59</v>
      </c>
      <c r="M34" s="32"/>
      <c r="N34" s="32"/>
      <c r="O34" s="32"/>
      <c r="P34" s="61">
        <v>3986.2</v>
      </c>
    </row>
    <row r="35" spans="1:16" x14ac:dyDescent="0.55000000000000004">
      <c r="A35" s="9" t="s">
        <v>2</v>
      </c>
      <c r="B35" s="98">
        <v>153201</v>
      </c>
      <c r="C35" s="98">
        <v>154964</v>
      </c>
      <c r="F35" s="8" t="s">
        <v>3</v>
      </c>
      <c r="G35" s="24">
        <f>G9</f>
        <v>143024</v>
      </c>
      <c r="H35" s="24">
        <f>H9</f>
        <v>121135</v>
      </c>
      <c r="I35" s="24">
        <f>I9</f>
        <v>119903</v>
      </c>
      <c r="J35" s="24">
        <f>J9</f>
        <v>140842</v>
      </c>
      <c r="L35" s="32" t="s">
        <v>60</v>
      </c>
      <c r="M35" s="32"/>
      <c r="N35" s="32"/>
      <c r="O35" s="32"/>
      <c r="P35" s="104">
        <f>O48</f>
        <v>0</v>
      </c>
    </row>
    <row r="36" spans="1:16" x14ac:dyDescent="0.55000000000000004">
      <c r="A36" s="9" t="s">
        <v>87</v>
      </c>
      <c r="B36" s="98">
        <v>15466</v>
      </c>
      <c r="C36" s="98">
        <v>15483</v>
      </c>
      <c r="F36" s="53" t="s">
        <v>126</v>
      </c>
      <c r="G36" s="105"/>
      <c r="H36" s="105"/>
      <c r="I36" s="54"/>
      <c r="J36" s="105"/>
      <c r="L36" s="32" t="s">
        <v>61</v>
      </c>
      <c r="M36" s="32"/>
      <c r="N36" s="32"/>
      <c r="O36" s="32"/>
      <c r="P36" s="106">
        <f>P48/C17</f>
        <v>0</v>
      </c>
    </row>
    <row r="37" spans="1:16" x14ac:dyDescent="0.55000000000000004">
      <c r="A37" s="9" t="s">
        <v>110</v>
      </c>
      <c r="B37" s="98">
        <v>9758</v>
      </c>
      <c r="C37" s="98">
        <v>10033</v>
      </c>
      <c r="F37" s="9" t="s">
        <v>4</v>
      </c>
      <c r="G37" s="22">
        <f>G34-G35+G36</f>
        <v>12876</v>
      </c>
      <c r="H37" s="22">
        <f t="shared" ref="H37:J37" si="5">H34-H35+H36</f>
        <v>6009</v>
      </c>
      <c r="I37" s="22">
        <f t="shared" si="5"/>
        <v>16438</v>
      </c>
      <c r="J37" s="22">
        <f t="shared" si="5"/>
        <v>17215</v>
      </c>
      <c r="L37" s="55" t="s">
        <v>62</v>
      </c>
      <c r="M37" s="32"/>
      <c r="N37" s="32"/>
      <c r="O37" s="32"/>
      <c r="P37" s="67">
        <f>P34+P35-P36</f>
        <v>3986.2</v>
      </c>
    </row>
    <row r="38" spans="1:16" x14ac:dyDescent="0.55000000000000004">
      <c r="A38" s="9" t="s">
        <v>93</v>
      </c>
      <c r="B38" s="144">
        <v>1.6</v>
      </c>
      <c r="C38" s="144">
        <v>1.63</v>
      </c>
      <c r="F38" s="8" t="s">
        <v>5</v>
      </c>
      <c r="G38" s="24">
        <f>G11</f>
        <v>12763</v>
      </c>
      <c r="H38" s="24">
        <f t="shared" ref="H38:J38" si="6">H11</f>
        <v>10124</v>
      </c>
      <c r="I38" s="24">
        <f t="shared" si="6"/>
        <v>5918</v>
      </c>
      <c r="J38" s="24">
        <f t="shared" si="6"/>
        <v>9552</v>
      </c>
      <c r="L38" s="20"/>
      <c r="M38" s="20"/>
      <c r="N38" s="20"/>
      <c r="O38" s="20"/>
      <c r="P38" s="20"/>
    </row>
    <row r="39" spans="1:16" ht="17.399999999999999" x14ac:dyDescent="1.05">
      <c r="D39" s="93"/>
      <c r="F39" s="8" t="s">
        <v>6</v>
      </c>
      <c r="G39" s="24">
        <f>G12</f>
        <v>0</v>
      </c>
      <c r="H39" s="24"/>
      <c r="I39" s="24">
        <f>I12</f>
        <v>0</v>
      </c>
      <c r="J39" s="24"/>
      <c r="L39" s="146" t="s">
        <v>63</v>
      </c>
      <c r="M39" s="146"/>
      <c r="N39" s="146"/>
      <c r="O39" s="146"/>
      <c r="P39" s="146"/>
    </row>
    <row r="40" spans="1:16" x14ac:dyDescent="0.55000000000000004">
      <c r="A40" s="147" t="s">
        <v>81</v>
      </c>
      <c r="B40" s="147"/>
      <c r="C40" s="147"/>
      <c r="D40" s="93"/>
      <c r="F40" s="53" t="s">
        <v>127</v>
      </c>
      <c r="G40" s="105">
        <f>804-164+55</f>
        <v>695</v>
      </c>
      <c r="H40" s="105">
        <f>224-3771+1</f>
        <v>-3546</v>
      </c>
      <c r="I40" s="54">
        <f>-9527+1702</f>
        <v>-7825</v>
      </c>
      <c r="J40" s="105">
        <f>51+7665+121</f>
        <v>7837</v>
      </c>
      <c r="L40" s="57"/>
      <c r="M40" s="57" t="s">
        <v>64</v>
      </c>
      <c r="N40" s="57" t="s">
        <v>65</v>
      </c>
      <c r="O40" s="57" t="s">
        <v>66</v>
      </c>
      <c r="P40" s="57"/>
    </row>
    <row r="41" spans="1:16" ht="17.399999999999999" x14ac:dyDescent="1.05">
      <c r="A41" s="8" t="s">
        <v>82</v>
      </c>
      <c r="B41" s="8"/>
      <c r="C41" s="107">
        <f>J37/J34</f>
        <v>0.10891640357592514</v>
      </c>
      <c r="D41" s="93"/>
      <c r="F41" s="9" t="s">
        <v>7</v>
      </c>
      <c r="G41" s="74">
        <f>G37-G38-G39+G40</f>
        <v>808</v>
      </c>
      <c r="H41" s="74">
        <f t="shared" ref="H41:J41" si="7">H37-H38-H39+H40</f>
        <v>-7661</v>
      </c>
      <c r="I41" s="74">
        <f t="shared" si="7"/>
        <v>2695</v>
      </c>
      <c r="J41" s="74">
        <f t="shared" si="7"/>
        <v>15500</v>
      </c>
      <c r="L41" s="31" t="s">
        <v>67</v>
      </c>
      <c r="M41" s="31" t="s">
        <v>68</v>
      </c>
      <c r="N41" s="31" t="s">
        <v>69</v>
      </c>
      <c r="O41" s="31" t="s">
        <v>68</v>
      </c>
      <c r="P41" s="31" t="s">
        <v>70</v>
      </c>
    </row>
    <row r="42" spans="1:16" ht="17.399999999999999" x14ac:dyDescent="1.05">
      <c r="A42" s="8"/>
      <c r="B42" s="8"/>
      <c r="C42" s="107"/>
      <c r="D42" s="93"/>
      <c r="F42" s="8" t="s">
        <v>6</v>
      </c>
      <c r="G42" s="74">
        <f>G14</f>
        <v>-488</v>
      </c>
      <c r="H42" s="74">
        <f t="shared" ref="H42:J42" si="8">H14</f>
        <v>-652</v>
      </c>
      <c r="I42" s="74">
        <f t="shared" si="8"/>
        <v>-977</v>
      </c>
      <c r="J42" s="74">
        <f t="shared" si="8"/>
        <v>2199</v>
      </c>
      <c r="L42" s="31"/>
      <c r="M42" s="31"/>
      <c r="N42" s="31"/>
      <c r="O42" s="31"/>
      <c r="P42" s="31"/>
    </row>
    <row r="43" spans="1:16" x14ac:dyDescent="0.55000000000000004">
      <c r="A43" s="36" t="s">
        <v>83</v>
      </c>
      <c r="B43" s="8"/>
      <c r="C43" s="107">
        <f>J56/J34</f>
        <v>0.13903844815477961</v>
      </c>
      <c r="D43" s="93"/>
      <c r="F43" s="8" t="s">
        <v>8</v>
      </c>
      <c r="G43" s="23">
        <f>G15</f>
        <v>546</v>
      </c>
      <c r="H43" s="23">
        <f>H15</f>
        <v>1199</v>
      </c>
      <c r="I43" s="23">
        <f>I15</f>
        <v>1542</v>
      </c>
      <c r="J43" s="23">
        <f>J15</f>
        <v>643</v>
      </c>
      <c r="L43" s="58" t="s">
        <v>71</v>
      </c>
      <c r="M43" s="61"/>
      <c r="N43" s="62"/>
      <c r="O43" s="104">
        <f>M43</f>
        <v>0</v>
      </c>
      <c r="P43" s="66">
        <f>N43*O43</f>
        <v>0</v>
      </c>
    </row>
    <row r="44" spans="1:16" x14ac:dyDescent="0.55000000000000004">
      <c r="A44" s="36" t="s">
        <v>84</v>
      </c>
      <c r="B44" s="8"/>
      <c r="C44" s="107">
        <f>J41/J34</f>
        <v>9.806588762281962E-2</v>
      </c>
      <c r="F44" s="9" t="s">
        <v>9</v>
      </c>
      <c r="G44" s="22">
        <f>G41-G43-G42</f>
        <v>750</v>
      </c>
      <c r="H44" s="22">
        <f t="shared" ref="H44:J44" si="9">H41-H43-H42</f>
        <v>-8208</v>
      </c>
      <c r="I44" s="22">
        <f t="shared" si="9"/>
        <v>2130</v>
      </c>
      <c r="J44" s="22">
        <f t="shared" si="9"/>
        <v>12658</v>
      </c>
      <c r="L44" s="58" t="s">
        <v>72</v>
      </c>
      <c r="M44" s="61"/>
      <c r="N44" s="46"/>
      <c r="O44" s="104">
        <f>M44</f>
        <v>0</v>
      </c>
      <c r="P44" s="66">
        <f t="shared" ref="P44:P47" si="10">N44*O44</f>
        <v>0</v>
      </c>
    </row>
    <row r="45" spans="1:16" x14ac:dyDescent="0.55000000000000004">
      <c r="A45" s="108" t="s">
        <v>85</v>
      </c>
      <c r="B45" s="8"/>
      <c r="C45" s="107">
        <f>J48/J34</f>
        <v>5.8182516433944717E-2</v>
      </c>
      <c r="F45" s="8" t="s">
        <v>10</v>
      </c>
      <c r="G45" s="24">
        <f>G44*G49</f>
        <v>848.25</v>
      </c>
      <c r="H45" s="24">
        <f t="shared" ref="H45:J45" si="11">H44*H49</f>
        <v>1173.7439999999999</v>
      </c>
      <c r="I45" s="24">
        <f t="shared" si="11"/>
        <v>-14.91</v>
      </c>
      <c r="J45" s="24">
        <f t="shared" si="11"/>
        <v>3632.8459999999995</v>
      </c>
      <c r="L45" s="58" t="s">
        <v>73</v>
      </c>
      <c r="M45" s="61"/>
      <c r="N45" s="46"/>
      <c r="O45" s="104">
        <f>M45</f>
        <v>0</v>
      </c>
      <c r="P45" s="66">
        <f t="shared" si="10"/>
        <v>0</v>
      </c>
    </row>
    <row r="46" spans="1:16" x14ac:dyDescent="0.55000000000000004">
      <c r="A46" s="108"/>
      <c r="B46" s="8"/>
      <c r="C46" s="107"/>
      <c r="F46" s="8" t="s">
        <v>139</v>
      </c>
      <c r="G46" s="24">
        <f>G18</f>
        <v>-37</v>
      </c>
      <c r="H46" s="24">
        <f t="shared" ref="H46:J47" si="12">H18</f>
        <v>-3</v>
      </c>
      <c r="I46" s="24">
        <f t="shared" si="12"/>
        <v>27</v>
      </c>
      <c r="J46" s="24">
        <f t="shared" si="12"/>
        <v>171</v>
      </c>
      <c r="L46" s="58"/>
      <c r="M46" s="61"/>
      <c r="N46" s="46"/>
      <c r="O46" s="104"/>
      <c r="P46" s="66"/>
    </row>
    <row r="47" spans="1:16" x14ac:dyDescent="0.55000000000000004">
      <c r="F47" s="8" t="s">
        <v>11</v>
      </c>
      <c r="G47" s="23">
        <f>G19</f>
        <v>0</v>
      </c>
      <c r="H47" s="23">
        <f t="shared" si="12"/>
        <v>0</v>
      </c>
      <c r="I47" s="23">
        <f t="shared" si="12"/>
        <v>0</v>
      </c>
      <c r="J47" s="23">
        <f t="shared" si="12"/>
        <v>0</v>
      </c>
      <c r="L47" s="63" t="s">
        <v>74</v>
      </c>
      <c r="M47" s="64"/>
      <c r="N47" s="65"/>
      <c r="O47" s="105">
        <v>0</v>
      </c>
      <c r="P47" s="143">
        <f t="shared" si="10"/>
        <v>0</v>
      </c>
    </row>
    <row r="48" spans="1:16" ht="14.7" thickBot="1" x14ac:dyDescent="0.6">
      <c r="A48" s="147" t="s">
        <v>88</v>
      </c>
      <c r="B48" s="147"/>
      <c r="C48" s="147"/>
      <c r="D48" s="78"/>
      <c r="F48" s="9" t="s">
        <v>12</v>
      </c>
      <c r="G48" s="25">
        <f>G44-G45-G47+G46</f>
        <v>-135.25</v>
      </c>
      <c r="H48" s="25">
        <f t="shared" ref="H48:J48" si="13">H44-H45-H47+H46</f>
        <v>-9384.7440000000006</v>
      </c>
      <c r="I48" s="25">
        <f t="shared" si="13"/>
        <v>2171.91</v>
      </c>
      <c r="J48" s="25">
        <f t="shared" si="13"/>
        <v>9196.1540000000005</v>
      </c>
      <c r="L48" s="59" t="s">
        <v>75</v>
      </c>
      <c r="M48" s="56"/>
      <c r="N48" s="60"/>
      <c r="O48" s="96">
        <f>SUM(O43:O47)</f>
        <v>0</v>
      </c>
      <c r="P48" s="96">
        <f>SUM(P43:P47)</f>
        <v>0</v>
      </c>
    </row>
    <row r="49" spans="1:16" x14ac:dyDescent="0.55000000000000004">
      <c r="A49" s="8"/>
      <c r="B49" s="11" t="s">
        <v>2</v>
      </c>
      <c r="C49" s="11" t="s">
        <v>87</v>
      </c>
      <c r="D49" s="11" t="s">
        <v>93</v>
      </c>
      <c r="F49" s="14" t="s">
        <v>13</v>
      </c>
      <c r="G49" s="30">
        <v>1.131</v>
      </c>
      <c r="H49" s="30">
        <v>-0.14299999999999999</v>
      </c>
      <c r="I49" s="30">
        <v>-7.0000000000000001E-3</v>
      </c>
      <c r="J49" s="30">
        <v>0.28699999999999998</v>
      </c>
      <c r="L49" s="4"/>
      <c r="M49" s="4"/>
      <c r="N49" s="4"/>
      <c r="O49" s="4"/>
      <c r="P49" s="4"/>
    </row>
    <row r="50" spans="1:16" x14ac:dyDescent="0.55000000000000004">
      <c r="A50" s="9" t="s">
        <v>89</v>
      </c>
      <c r="B50" s="8"/>
      <c r="C50" s="8"/>
      <c r="D50" s="8"/>
      <c r="F50" s="14"/>
      <c r="G50" s="30"/>
      <c r="H50" s="30"/>
      <c r="I50" s="30"/>
      <c r="J50" s="30"/>
    </row>
    <row r="51" spans="1:16" x14ac:dyDescent="0.55000000000000004">
      <c r="A51" s="8" t="s">
        <v>90</v>
      </c>
      <c r="B51" s="99">
        <f>I34/H34-1</f>
        <v>7.2335304851192328E-2</v>
      </c>
      <c r="C51" s="100">
        <f>I56/H56-1</f>
        <v>-24.876790830945559</v>
      </c>
      <c r="D51" s="99">
        <f>I52/H52-1</f>
        <v>-1.2279303019310428</v>
      </c>
      <c r="F51" s="14" t="s">
        <v>94</v>
      </c>
      <c r="G51" s="28">
        <v>4004</v>
      </c>
      <c r="H51" s="28">
        <v>3973</v>
      </c>
      <c r="I51" s="28">
        <v>4034</v>
      </c>
      <c r="J51" s="28">
        <v>4014</v>
      </c>
    </row>
    <row r="52" spans="1:16" x14ac:dyDescent="0.55000000000000004">
      <c r="A52" s="8" t="s">
        <v>91</v>
      </c>
      <c r="B52" s="99">
        <f>(I34/G34)^0.5-1</f>
        <v>-6.4830832055081333E-2</v>
      </c>
      <c r="C52" s="100">
        <f>(I56/G56)^0.5-1</f>
        <v>-5.3314075513201664E-2</v>
      </c>
      <c r="D52" s="99" t="e">
        <f>(I52/G52)^0.5-1</f>
        <v>#NUM!</v>
      </c>
      <c r="F52" s="14" t="s">
        <v>14</v>
      </c>
      <c r="G52" s="97">
        <f>G48/G51</f>
        <v>-3.377872127872128E-2</v>
      </c>
      <c r="H52" s="97">
        <f t="shared" ref="H52:J52" si="14">H48/H51</f>
        <v>-2.3621303800654418</v>
      </c>
      <c r="I52" s="97">
        <f t="shared" si="14"/>
        <v>0.53840109072880515</v>
      </c>
      <c r="J52" s="97">
        <f t="shared" si="14"/>
        <v>2.2910199302441456</v>
      </c>
    </row>
    <row r="53" spans="1:16" x14ac:dyDescent="0.55000000000000004">
      <c r="A53" s="9" t="s">
        <v>92</v>
      </c>
      <c r="B53" s="94"/>
      <c r="C53" s="95"/>
      <c r="D53" s="94"/>
    </row>
    <row r="54" spans="1:16" x14ac:dyDescent="0.55000000000000004">
      <c r="A54" s="8" t="s">
        <v>90</v>
      </c>
      <c r="B54" s="99">
        <f>B35/I34-1</f>
        <v>0.1236605276475895</v>
      </c>
      <c r="C54" s="100">
        <f>B36/I56-1</f>
        <v>0.85599423976959077</v>
      </c>
      <c r="D54" s="99">
        <f>B38/I52-1</f>
        <v>1.9717621816741948</v>
      </c>
      <c r="F54" s="5" t="s">
        <v>86</v>
      </c>
      <c r="G54" s="5"/>
      <c r="H54" s="5"/>
      <c r="I54" s="5"/>
      <c r="J54" s="5"/>
    </row>
    <row r="55" spans="1:16" x14ac:dyDescent="0.55000000000000004">
      <c r="A55" s="8" t="s">
        <v>91</v>
      </c>
      <c r="B55" s="99">
        <f>(C35/I34)^0.5-1</f>
        <v>6.6110379289707533E-2</v>
      </c>
      <c r="C55" s="100">
        <f>(C36/I56)^0.5-1</f>
        <v>0.36309732644916259</v>
      </c>
      <c r="D55" s="99">
        <f>(C38/I52)^0.5-1</f>
        <v>0.7399662992657603</v>
      </c>
      <c r="F55" s="8" t="s">
        <v>57</v>
      </c>
      <c r="G55" s="75">
        <v>8490</v>
      </c>
      <c r="H55" s="75">
        <v>7312</v>
      </c>
      <c r="I55" s="75">
        <v>5638</v>
      </c>
      <c r="J55" s="69">
        <v>6476</v>
      </c>
    </row>
    <row r="56" spans="1:16" x14ac:dyDescent="0.55000000000000004">
      <c r="F56" s="8" t="s">
        <v>87</v>
      </c>
      <c r="G56" s="76">
        <f>G41+G55</f>
        <v>9298</v>
      </c>
      <c r="H56" s="76">
        <f t="shared" ref="H56:J56" si="15">H41+H55</f>
        <v>-349</v>
      </c>
      <c r="I56" s="76">
        <f t="shared" si="15"/>
        <v>8333</v>
      </c>
      <c r="J56" s="76">
        <f t="shared" si="15"/>
        <v>21976</v>
      </c>
    </row>
    <row r="57" spans="1:16" x14ac:dyDescent="0.55000000000000004">
      <c r="A57" s="147" t="s">
        <v>96</v>
      </c>
      <c r="B57" s="147"/>
      <c r="C57" s="147"/>
    </row>
    <row r="58" spans="1:16" x14ac:dyDescent="0.55000000000000004">
      <c r="A58" s="8" t="s">
        <v>77</v>
      </c>
      <c r="B58" s="8"/>
      <c r="C58" s="107">
        <f>(J41*(1-J49))/AVERAGE(N24-N6+N30,M24-M6+M30)</f>
        <v>7.2921443582629253E-2</v>
      </c>
      <c r="F58" s="147" t="s">
        <v>103</v>
      </c>
      <c r="G58" s="147"/>
      <c r="H58" s="147"/>
      <c r="I58" s="78"/>
    </row>
    <row r="59" spans="1:16" x14ac:dyDescent="0.55000000000000004">
      <c r="A59" s="36" t="s">
        <v>78</v>
      </c>
      <c r="B59" s="8"/>
      <c r="C59" s="107">
        <f>J48/AVERAGE(M30,N30)</f>
        <v>0.20037594918781118</v>
      </c>
      <c r="F59" s="52"/>
      <c r="G59" s="110" t="s">
        <v>1</v>
      </c>
      <c r="H59" s="110" t="s">
        <v>104</v>
      </c>
      <c r="I59" s="110" t="s">
        <v>105</v>
      </c>
    </row>
    <row r="60" spans="1:16" x14ac:dyDescent="0.55000000000000004">
      <c r="A60" s="36" t="s">
        <v>79</v>
      </c>
      <c r="B60" s="8"/>
      <c r="C60" s="107">
        <f>J48/AVERAGE(M16,N16)</f>
        <v>3.5858114049196851E-2</v>
      </c>
      <c r="F60" s="52"/>
      <c r="G60" s="111">
        <v>44926</v>
      </c>
      <c r="H60" s="112" t="s">
        <v>133</v>
      </c>
      <c r="I60" s="112" t="s">
        <v>136</v>
      </c>
    </row>
    <row r="61" spans="1:16" x14ac:dyDescent="0.55000000000000004">
      <c r="A61" s="108" t="s">
        <v>80</v>
      </c>
      <c r="B61" s="8"/>
      <c r="C61" s="107">
        <f>C22*4/C17</f>
        <v>0.1529051987767584</v>
      </c>
      <c r="F61" s="113" t="s">
        <v>106</v>
      </c>
      <c r="G61" s="114">
        <f>C31/J34</f>
        <v>1.0145358699709597</v>
      </c>
      <c r="H61" s="114">
        <f>C31/B35</f>
        <v>1.0466935333320277</v>
      </c>
      <c r="I61" s="114">
        <f>C31/C35</f>
        <v>1.0347854727549624</v>
      </c>
    </row>
    <row r="62" spans="1:16" x14ac:dyDescent="0.55000000000000004">
      <c r="F62" s="113" t="s">
        <v>107</v>
      </c>
      <c r="G62" s="114">
        <f>C31/J56</f>
        <v>7.296800873680378</v>
      </c>
      <c r="H62" s="114">
        <f>C31/B36</f>
        <v>10.368194491141859</v>
      </c>
      <c r="I62" s="114">
        <f>C31/C36</f>
        <v>10.356810437253761</v>
      </c>
    </row>
    <row r="63" spans="1:16" x14ac:dyDescent="0.55000000000000004">
      <c r="A63" s="147" t="s">
        <v>97</v>
      </c>
      <c r="B63" s="147"/>
      <c r="C63" s="147"/>
      <c r="F63" s="113" t="s">
        <v>108</v>
      </c>
      <c r="G63" s="114">
        <f>C31/J41</f>
        <v>10.345451354838708</v>
      </c>
      <c r="H63" s="114">
        <f>C31/B37</f>
        <v>16.43313137938102</v>
      </c>
      <c r="I63" s="114">
        <f>C31/C37</f>
        <v>15.982706667995613</v>
      </c>
    </row>
    <row r="64" spans="1:16" x14ac:dyDescent="0.55000000000000004">
      <c r="A64" s="8" t="s">
        <v>98</v>
      </c>
      <c r="B64" s="8"/>
      <c r="C64" s="77">
        <f>N24/(N24+N29+N30)</f>
        <v>0.76493811294863345</v>
      </c>
      <c r="F64" s="113" t="s">
        <v>109</v>
      </c>
      <c r="G64" s="114">
        <f>C17/J52</f>
        <v>5.7092475832831848</v>
      </c>
      <c r="H64" s="114">
        <f>C17/B38</f>
        <v>8.1749999999999989</v>
      </c>
      <c r="I64" s="114">
        <f>C17/C38</f>
        <v>8.0245398773006134</v>
      </c>
    </row>
    <row r="65" spans="1:8" x14ac:dyDescent="0.55000000000000004">
      <c r="A65" s="8" t="s">
        <v>99</v>
      </c>
      <c r="B65" s="8"/>
      <c r="C65" s="109">
        <f>N24/J56</f>
        <v>6.3921550782672005</v>
      </c>
    </row>
    <row r="66" spans="1:8" x14ac:dyDescent="0.55000000000000004">
      <c r="A66" s="8" t="s">
        <v>100</v>
      </c>
      <c r="B66" s="8"/>
      <c r="C66" s="109">
        <f>(N24-N6)/J56</f>
        <v>4.9276483436476157</v>
      </c>
    </row>
    <row r="67" spans="1:8" x14ac:dyDescent="0.55000000000000004">
      <c r="A67" s="8" t="s">
        <v>101</v>
      </c>
      <c r="B67" s="8"/>
      <c r="C67" s="109">
        <f>J56/J43</f>
        <v>34.177293934681181</v>
      </c>
    </row>
    <row r="68" spans="1:8" x14ac:dyDescent="0.55000000000000004">
      <c r="A68" s="8" t="s">
        <v>102</v>
      </c>
      <c r="B68" s="8"/>
      <c r="C68" s="109">
        <f>J41/J43</f>
        <v>24.105754276827373</v>
      </c>
    </row>
    <row r="69" spans="1:8" x14ac:dyDescent="0.55000000000000004">
      <c r="H69" s="115"/>
    </row>
  </sheetData>
  <mergeCells count="11">
    <mergeCell ref="A40:C40"/>
    <mergeCell ref="A48:C48"/>
    <mergeCell ref="A57:C57"/>
    <mergeCell ref="F58:H58"/>
    <mergeCell ref="A63:C63"/>
    <mergeCell ref="A4:C4"/>
    <mergeCell ref="G6:I6"/>
    <mergeCell ref="A16:C16"/>
    <mergeCell ref="G32:I32"/>
    <mergeCell ref="A33:C33"/>
    <mergeCell ref="L39:P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9"/>
  <sheetViews>
    <sheetView topLeftCell="A38" workbookViewId="0">
      <selection activeCell="I69" sqref="I69"/>
    </sheetView>
  </sheetViews>
  <sheetFormatPr defaultColWidth="9.15625" defaultRowHeight="14.4" x14ac:dyDescent="0.55000000000000004"/>
  <cols>
    <col min="1" max="1" width="29.734375" style="1" bestFit="1" customWidth="1"/>
    <col min="2" max="2" width="10.26171875" style="1" bestFit="1" customWidth="1"/>
    <col min="3" max="3" width="13.5234375" style="1" bestFit="1" customWidth="1"/>
    <col min="4" max="4" width="10" style="1" customWidth="1"/>
    <col min="5" max="5" width="3.47265625" style="1" customWidth="1"/>
    <col min="6" max="6" width="27.7890625" style="1" bestFit="1" customWidth="1"/>
    <col min="7" max="10" width="12" style="1" bestFit="1" customWidth="1"/>
    <col min="11" max="11" width="9.15625" style="1"/>
    <col min="12" max="12" width="31.26171875" style="1" bestFit="1" customWidth="1"/>
    <col min="13" max="14" width="10.89453125" style="1" bestFit="1" customWidth="1"/>
    <col min="15" max="15" width="12.734375" style="1" bestFit="1" customWidth="1"/>
    <col min="16" max="16" width="9.89453125" style="1" bestFit="1" customWidth="1"/>
    <col min="17" max="16384" width="9.15625" style="1"/>
  </cols>
  <sheetData>
    <row r="2" spans="1:14" ht="30.6" x14ac:dyDescent="1.1000000000000001">
      <c r="A2" s="2" t="s">
        <v>134</v>
      </c>
    </row>
    <row r="4" spans="1:14" x14ac:dyDescent="0.55000000000000004">
      <c r="A4" s="147" t="s">
        <v>16</v>
      </c>
      <c r="B4" s="147"/>
      <c r="C4" s="147"/>
      <c r="D4" s="79"/>
      <c r="F4" s="5" t="s">
        <v>0</v>
      </c>
      <c r="G4" s="3"/>
      <c r="H4" s="3"/>
      <c r="I4" s="3"/>
      <c r="J4" s="3"/>
      <c r="L4" s="5" t="s">
        <v>15</v>
      </c>
      <c r="M4" s="5"/>
      <c r="N4" s="5"/>
    </row>
    <row r="5" spans="1:14" x14ac:dyDescent="0.55000000000000004">
      <c r="A5" s="15" t="s">
        <v>17</v>
      </c>
      <c r="B5" s="17"/>
      <c r="C5" s="28"/>
      <c r="D5" s="80"/>
      <c r="F5" s="8"/>
      <c r="G5" s="9"/>
      <c r="H5" s="9"/>
      <c r="I5" s="9"/>
      <c r="J5" s="10"/>
      <c r="L5" s="8"/>
      <c r="M5" s="37">
        <v>44561</v>
      </c>
      <c r="N5" s="38">
        <v>44926</v>
      </c>
    </row>
    <row r="6" spans="1:14" ht="15.75" customHeight="1" x14ac:dyDescent="0.55000000000000004">
      <c r="A6" s="15" t="s">
        <v>18</v>
      </c>
      <c r="B6" s="17"/>
      <c r="C6" s="44"/>
      <c r="D6" s="81"/>
      <c r="F6" s="8"/>
      <c r="G6" s="148" t="s">
        <v>138</v>
      </c>
      <c r="H6" s="148"/>
      <c r="I6" s="148"/>
      <c r="J6" s="11" t="s">
        <v>1</v>
      </c>
      <c r="L6" s="8" t="s">
        <v>37</v>
      </c>
      <c r="M6" s="39">
        <v>24676</v>
      </c>
      <c r="N6" s="39">
        <v>27303</v>
      </c>
    </row>
    <row r="7" spans="1:14" x14ac:dyDescent="0.55000000000000004">
      <c r="A7" s="15" t="s">
        <v>19</v>
      </c>
      <c r="B7" s="17"/>
      <c r="C7" s="44"/>
      <c r="D7" s="81"/>
      <c r="F7" s="8"/>
      <c r="G7" s="12">
        <v>2019</v>
      </c>
      <c r="H7" s="12">
        <v>2020</v>
      </c>
      <c r="I7" s="12">
        <v>2021</v>
      </c>
      <c r="J7" s="13">
        <v>44926</v>
      </c>
      <c r="L7" s="33" t="s">
        <v>38</v>
      </c>
      <c r="M7" s="40">
        <v>7394</v>
      </c>
      <c r="N7" s="40">
        <v>13333</v>
      </c>
    </row>
    <row r="8" spans="1:14" x14ac:dyDescent="0.55000000000000004">
      <c r="A8" s="15" t="s">
        <v>20</v>
      </c>
      <c r="B8" s="18"/>
      <c r="C8" s="45"/>
      <c r="D8" s="82"/>
      <c r="F8" s="9" t="s">
        <v>2</v>
      </c>
      <c r="G8" s="26">
        <v>137237</v>
      </c>
      <c r="H8" s="26">
        <v>122485</v>
      </c>
      <c r="I8" s="26">
        <v>127004</v>
      </c>
      <c r="J8" s="26">
        <v>156735</v>
      </c>
      <c r="L8" s="33" t="s">
        <v>39</v>
      </c>
      <c r="M8" s="40">
        <v>12988</v>
      </c>
      <c r="N8" s="40">
        <v>15366</v>
      </c>
    </row>
    <row r="9" spans="1:14" x14ac:dyDescent="0.55000000000000004">
      <c r="A9" s="15" t="s">
        <v>21</v>
      </c>
      <c r="B9" s="17"/>
      <c r="C9" s="44"/>
      <c r="D9" s="81"/>
      <c r="F9" s="8" t="s">
        <v>3</v>
      </c>
      <c r="G9" s="27">
        <f>110651+8807+3641</f>
        <v>123099</v>
      </c>
      <c r="H9" s="27">
        <f>96856+8104+3023</f>
        <v>107983</v>
      </c>
      <c r="I9" s="27">
        <f>100544+5835+2546</f>
        <v>108925</v>
      </c>
      <c r="J9" s="27">
        <f>126892+5808+2881</f>
        <v>135581</v>
      </c>
      <c r="L9" s="33" t="s">
        <v>40</v>
      </c>
      <c r="M9" s="41">
        <f>26649+6291+644+3461</f>
        <v>37045</v>
      </c>
      <c r="N9" s="41">
        <f>33623+6176+180+4470</f>
        <v>44449</v>
      </c>
    </row>
    <row r="10" spans="1:14" x14ac:dyDescent="0.55000000000000004">
      <c r="A10" s="15" t="s">
        <v>22</v>
      </c>
      <c r="B10" s="17"/>
      <c r="C10" s="44"/>
      <c r="D10" s="81"/>
      <c r="F10" s="9" t="s">
        <v>4</v>
      </c>
      <c r="G10" s="26">
        <f>G8-G9</f>
        <v>14138</v>
      </c>
      <c r="H10" s="26">
        <f t="shared" ref="H10:J10" si="0">H8-H9</f>
        <v>14502</v>
      </c>
      <c r="I10" s="26">
        <f t="shared" si="0"/>
        <v>18079</v>
      </c>
      <c r="J10" s="26">
        <f t="shared" si="0"/>
        <v>21154</v>
      </c>
      <c r="L10" s="34" t="s">
        <v>41</v>
      </c>
      <c r="M10" s="42">
        <f>M6+M7+M8+M9</f>
        <v>82103</v>
      </c>
      <c r="N10" s="42">
        <f>N6+N7+N8+N9</f>
        <v>100451</v>
      </c>
    </row>
    <row r="11" spans="1:14" x14ac:dyDescent="0.55000000000000004">
      <c r="A11" s="15" t="s">
        <v>23</v>
      </c>
      <c r="B11" s="19"/>
      <c r="C11" s="46"/>
      <c r="D11" s="83"/>
      <c r="F11" s="8" t="s">
        <v>5</v>
      </c>
      <c r="G11" s="28">
        <v>7694</v>
      </c>
      <c r="H11" s="28">
        <v>5943</v>
      </c>
      <c r="I11" s="28">
        <v>6645</v>
      </c>
      <c r="J11" s="28">
        <v>9155</v>
      </c>
      <c r="L11" s="8"/>
      <c r="M11" s="43"/>
      <c r="N11" s="43"/>
    </row>
    <row r="12" spans="1:14" x14ac:dyDescent="0.55000000000000004">
      <c r="A12" s="15" t="s">
        <v>24</v>
      </c>
      <c r="B12" s="15"/>
      <c r="C12" s="47"/>
      <c r="D12" s="84"/>
      <c r="F12" s="8" t="s">
        <v>6</v>
      </c>
      <c r="G12" s="27">
        <v>0</v>
      </c>
      <c r="H12" s="27">
        <v>0</v>
      </c>
      <c r="I12" s="27">
        <v>0</v>
      </c>
      <c r="J12" s="27">
        <v>0</v>
      </c>
      <c r="L12" s="33" t="s">
        <v>42</v>
      </c>
      <c r="M12" s="40">
        <v>42215</v>
      </c>
      <c r="N12" s="40">
        <v>46348</v>
      </c>
    </row>
    <row r="13" spans="1:14" x14ac:dyDescent="0.55000000000000004">
      <c r="A13" s="15"/>
      <c r="B13" s="15"/>
      <c r="C13" s="47"/>
      <c r="D13" s="6"/>
      <c r="F13" s="9" t="s">
        <v>7</v>
      </c>
      <c r="G13" s="26">
        <f>G10-G11-G12</f>
        <v>6444</v>
      </c>
      <c r="H13" s="26">
        <f t="shared" ref="H13:J13" si="1">H10-H11-H12</f>
        <v>8559</v>
      </c>
      <c r="I13" s="26">
        <f t="shared" si="1"/>
        <v>11434</v>
      </c>
      <c r="J13" s="26">
        <f t="shared" si="1"/>
        <v>11999</v>
      </c>
      <c r="L13" s="33" t="s">
        <v>43</v>
      </c>
      <c r="M13" s="40">
        <v>3748</v>
      </c>
      <c r="N13" s="40">
        <v>3604</v>
      </c>
    </row>
    <row r="14" spans="1:14" x14ac:dyDescent="0.55000000000000004">
      <c r="A14" s="15"/>
      <c r="B14" s="15"/>
      <c r="C14" s="47"/>
      <c r="D14" s="6"/>
      <c r="F14" s="8" t="s">
        <v>6</v>
      </c>
      <c r="G14" s="26">
        <f>-1102-85+76</f>
        <v>-1111</v>
      </c>
      <c r="H14" s="26">
        <f>-527+203-348</f>
        <v>-672</v>
      </c>
      <c r="I14" s="26">
        <f>-1100-17-82</f>
        <v>-1199</v>
      </c>
      <c r="J14" s="26">
        <f>-664+172-888</f>
        <v>-1380</v>
      </c>
      <c r="L14" s="33"/>
      <c r="M14" s="40"/>
      <c r="N14" s="40"/>
    </row>
    <row r="15" spans="1:14" x14ac:dyDescent="0.55000000000000004">
      <c r="A15" s="6"/>
      <c r="B15" s="6"/>
      <c r="C15" s="6"/>
      <c r="D15" s="79"/>
      <c r="F15" s="51" t="s">
        <v>8</v>
      </c>
      <c r="G15" s="27">
        <v>353</v>
      </c>
      <c r="H15" s="27">
        <v>857</v>
      </c>
      <c r="I15" s="27">
        <v>804</v>
      </c>
      <c r="J15" s="27">
        <v>527</v>
      </c>
      <c r="L15" s="33" t="s">
        <v>44</v>
      </c>
      <c r="M15" s="41">
        <f>7960+36167+42280+21152+9093</f>
        <v>116652</v>
      </c>
      <c r="N15" s="41">
        <f>8511+40591+38335+20539+5658</f>
        <v>113634</v>
      </c>
    </row>
    <row r="16" spans="1:14" x14ac:dyDescent="0.55000000000000004">
      <c r="A16" s="147" t="s">
        <v>25</v>
      </c>
      <c r="B16" s="147"/>
      <c r="C16" s="147"/>
      <c r="D16" s="85"/>
      <c r="F16" s="9" t="s">
        <v>9</v>
      </c>
      <c r="G16" s="26">
        <f>G13-G15</f>
        <v>6091</v>
      </c>
      <c r="H16" s="26">
        <f t="shared" ref="H16:J16" si="2">H13-H15</f>
        <v>7702</v>
      </c>
      <c r="I16" s="26">
        <f t="shared" si="2"/>
        <v>10630</v>
      </c>
      <c r="J16" s="26">
        <f t="shared" si="2"/>
        <v>11472</v>
      </c>
      <c r="L16" s="34" t="s">
        <v>45</v>
      </c>
      <c r="M16" s="42">
        <f>M10+M12+M13+M15</f>
        <v>244718</v>
      </c>
      <c r="N16" s="42">
        <f>N10+N12+N13+N15</f>
        <v>264037</v>
      </c>
    </row>
    <row r="17" spans="1:14" x14ac:dyDescent="0.55000000000000004">
      <c r="A17" s="15" t="s">
        <v>26</v>
      </c>
      <c r="B17" s="48"/>
      <c r="C17" s="49">
        <v>41.01</v>
      </c>
      <c r="D17" s="86"/>
      <c r="F17" s="8" t="s">
        <v>10</v>
      </c>
      <c r="G17" s="28">
        <f>G16*G21</f>
        <v>627.37299999999993</v>
      </c>
      <c r="H17" s="28">
        <f t="shared" ref="H17:J17" si="3">H16*H21</f>
        <v>1686.7380000000001</v>
      </c>
      <c r="I17" s="28">
        <f t="shared" si="3"/>
        <v>2317.34</v>
      </c>
      <c r="J17" s="28">
        <f t="shared" si="3"/>
        <v>1869.9360000000001</v>
      </c>
      <c r="L17" s="8"/>
      <c r="M17" s="43"/>
      <c r="N17" s="43"/>
    </row>
    <row r="18" spans="1:14" x14ac:dyDescent="0.55000000000000004">
      <c r="A18" s="15"/>
      <c r="B18" s="48"/>
      <c r="C18" s="49"/>
      <c r="D18" s="86"/>
      <c r="F18" s="8" t="s">
        <v>139</v>
      </c>
      <c r="G18" s="28">
        <v>65</v>
      </c>
      <c r="H18" s="28">
        <v>106</v>
      </c>
      <c r="I18" s="28">
        <v>74</v>
      </c>
      <c r="J18" s="28">
        <v>226</v>
      </c>
      <c r="L18" s="8"/>
      <c r="M18" s="43"/>
      <c r="N18" s="43"/>
    </row>
    <row r="19" spans="1:14" x14ac:dyDescent="0.55000000000000004">
      <c r="A19" s="15" t="s">
        <v>27</v>
      </c>
      <c r="B19" s="21"/>
      <c r="C19" s="50">
        <f>C17/C20</f>
        <v>0.8</v>
      </c>
      <c r="D19" s="87"/>
      <c r="F19" s="8" t="s">
        <v>11</v>
      </c>
      <c r="G19" s="27">
        <v>151</v>
      </c>
      <c r="H19" s="27">
        <v>180</v>
      </c>
      <c r="I19" s="27">
        <v>182</v>
      </c>
      <c r="J19" s="27">
        <v>1019</v>
      </c>
      <c r="L19" s="33" t="s">
        <v>46</v>
      </c>
      <c r="M19" s="40">
        <v>20391</v>
      </c>
      <c r="N19" s="40">
        <v>27486</v>
      </c>
    </row>
    <row r="20" spans="1:14" ht="14.7" thickBot="1" x14ac:dyDescent="0.6">
      <c r="A20" s="15" t="s">
        <v>28</v>
      </c>
      <c r="B20" s="48"/>
      <c r="C20" s="50">
        <f>C17/0.8</f>
        <v>51.262499999999996</v>
      </c>
      <c r="D20" s="87"/>
      <c r="F20" s="9" t="s">
        <v>12</v>
      </c>
      <c r="G20" s="29">
        <f>G16-G17-G19+G18</f>
        <v>5377.6270000000004</v>
      </c>
      <c r="H20" s="29">
        <f t="shared" ref="H20:J20" si="4">H16-H17-H19+H18</f>
        <v>5941.2619999999997</v>
      </c>
      <c r="I20" s="29">
        <f t="shared" si="4"/>
        <v>8204.66</v>
      </c>
      <c r="J20" s="29">
        <f t="shared" si="4"/>
        <v>8809.0640000000003</v>
      </c>
      <c r="L20" s="33" t="s">
        <v>47</v>
      </c>
      <c r="M20" s="40">
        <v>13863</v>
      </c>
      <c r="N20" s="40">
        <v>19132</v>
      </c>
    </row>
    <row r="21" spans="1:14" x14ac:dyDescent="0.55000000000000004">
      <c r="A21" s="15" t="s">
        <v>29</v>
      </c>
      <c r="B21" s="48"/>
      <c r="C21" s="50">
        <f>C17*0.8</f>
        <v>32.808</v>
      </c>
      <c r="D21" s="81"/>
      <c r="F21" s="14" t="s">
        <v>13</v>
      </c>
      <c r="G21" s="30">
        <v>0.10299999999999999</v>
      </c>
      <c r="H21" s="30">
        <v>0.219</v>
      </c>
      <c r="I21" s="30">
        <v>0.218</v>
      </c>
      <c r="J21" s="30">
        <v>0.16300000000000001</v>
      </c>
      <c r="L21" s="33" t="s">
        <v>48</v>
      </c>
      <c r="M21" s="41">
        <v>34054</v>
      </c>
      <c r="N21" s="41">
        <v>29222</v>
      </c>
    </row>
    <row r="22" spans="1:14" x14ac:dyDescent="0.55000000000000004">
      <c r="A22" s="15" t="s">
        <v>30</v>
      </c>
      <c r="B22" s="15"/>
      <c r="C22" s="49">
        <v>0.18</v>
      </c>
      <c r="D22" s="88"/>
      <c r="F22" s="5" t="s">
        <v>58</v>
      </c>
      <c r="G22" s="3"/>
      <c r="H22" s="3"/>
      <c r="I22" s="3"/>
      <c r="J22" s="3"/>
      <c r="L22" s="34" t="s">
        <v>49</v>
      </c>
      <c r="M22" s="42">
        <f>M19+M20+M21</f>
        <v>68308</v>
      </c>
      <c r="N22" s="42">
        <f>N19+N20+N21</f>
        <v>75840</v>
      </c>
    </row>
    <row r="23" spans="1:14" x14ac:dyDescent="0.55000000000000004">
      <c r="A23" s="15"/>
      <c r="B23" s="15"/>
      <c r="C23" s="71"/>
      <c r="D23" s="89"/>
      <c r="F23" s="73" t="s">
        <v>129</v>
      </c>
      <c r="G23" s="73"/>
      <c r="H23" s="73"/>
      <c r="I23" s="73"/>
      <c r="J23" s="73"/>
      <c r="L23" s="8"/>
      <c r="M23" s="43"/>
      <c r="N23" s="43"/>
    </row>
    <row r="24" spans="1:14" x14ac:dyDescent="0.55000000000000004">
      <c r="A24" s="72" t="s">
        <v>31</v>
      </c>
      <c r="B24" s="15"/>
      <c r="C24" s="104">
        <f>P37</f>
        <v>1394.4</v>
      </c>
      <c r="D24" s="6"/>
      <c r="F24" s="73" t="s">
        <v>124</v>
      </c>
      <c r="G24" s="73"/>
      <c r="H24" s="73"/>
      <c r="I24" s="73"/>
      <c r="J24" s="73"/>
      <c r="L24" s="35" t="s">
        <v>50</v>
      </c>
      <c r="M24" s="69">
        <v>110595</v>
      </c>
      <c r="N24" s="69">
        <v>115913</v>
      </c>
    </row>
    <row r="25" spans="1:14" x14ac:dyDescent="0.55000000000000004">
      <c r="A25" s="16" t="s">
        <v>32</v>
      </c>
      <c r="B25" s="15"/>
      <c r="C25" s="68">
        <f>C17*C24</f>
        <v>57184.343999999997</v>
      </c>
      <c r="D25" s="90"/>
      <c r="F25" s="73" t="s">
        <v>130</v>
      </c>
      <c r="G25" s="73"/>
      <c r="H25" s="73"/>
      <c r="I25" s="73"/>
      <c r="J25" s="73"/>
      <c r="L25" s="35" t="s">
        <v>51</v>
      </c>
      <c r="M25" s="70"/>
      <c r="N25" s="70"/>
    </row>
    <row r="26" spans="1:14" x14ac:dyDescent="0.55000000000000004">
      <c r="A26" s="15"/>
      <c r="B26" s="15"/>
      <c r="C26" s="15"/>
      <c r="D26" s="91"/>
      <c r="F26" s="73" t="s">
        <v>131</v>
      </c>
      <c r="G26" s="73"/>
      <c r="H26" s="73"/>
      <c r="I26" s="73"/>
      <c r="J26" s="73"/>
      <c r="L26" s="34" t="s">
        <v>52</v>
      </c>
      <c r="M26" s="42">
        <f>M24+M25+M22</f>
        <v>178903</v>
      </c>
      <c r="N26" s="42">
        <f>N24+N25+N22</f>
        <v>191753</v>
      </c>
    </row>
    <row r="27" spans="1:14" ht="15.9" x14ac:dyDescent="0.8">
      <c r="A27" s="72" t="s">
        <v>33</v>
      </c>
      <c r="B27" s="15"/>
      <c r="C27" s="101">
        <f>N24</f>
        <v>115913</v>
      </c>
      <c r="D27" s="92"/>
      <c r="F27" s="73" t="s">
        <v>125</v>
      </c>
      <c r="G27" s="73"/>
      <c r="H27" s="73"/>
      <c r="I27" s="73"/>
      <c r="J27" s="73"/>
      <c r="L27" s="8"/>
      <c r="M27" s="43"/>
      <c r="N27" s="43"/>
    </row>
    <row r="28" spans="1:14" ht="15.9" x14ac:dyDescent="0.8">
      <c r="A28" s="72" t="s">
        <v>140</v>
      </c>
      <c r="B28" s="15"/>
      <c r="C28" s="101">
        <v>4492</v>
      </c>
      <c r="D28" s="92"/>
      <c r="F28" s="73"/>
      <c r="G28" s="73"/>
      <c r="H28" s="73"/>
      <c r="I28" s="73"/>
      <c r="J28" s="73"/>
      <c r="L28" s="8"/>
      <c r="M28" s="43"/>
      <c r="N28" s="43"/>
    </row>
    <row r="29" spans="1:14" x14ac:dyDescent="0.55000000000000004">
      <c r="A29" s="72" t="s">
        <v>34</v>
      </c>
      <c r="B29" s="15"/>
      <c r="C29" s="102">
        <f>N29</f>
        <v>0</v>
      </c>
      <c r="D29" s="89"/>
      <c r="F29" s="145" t="s">
        <v>132</v>
      </c>
      <c r="L29" s="33" t="s">
        <v>53</v>
      </c>
      <c r="M29" s="28">
        <v>0</v>
      </c>
      <c r="N29" s="28">
        <v>0</v>
      </c>
    </row>
    <row r="30" spans="1:14" x14ac:dyDescent="0.55000000000000004">
      <c r="A30" s="72" t="s">
        <v>35</v>
      </c>
      <c r="B30" s="15"/>
      <c r="C30" s="103">
        <f>N6</f>
        <v>27303</v>
      </c>
      <c r="D30" s="89"/>
      <c r="F30" s="5" t="s">
        <v>56</v>
      </c>
      <c r="G30" s="5"/>
      <c r="H30" s="5"/>
      <c r="I30" s="5"/>
      <c r="J30" s="5"/>
      <c r="L30" s="35" t="s">
        <v>54</v>
      </c>
      <c r="M30" s="41">
        <v>65815</v>
      </c>
      <c r="N30" s="41">
        <v>72284</v>
      </c>
    </row>
    <row r="31" spans="1:14" x14ac:dyDescent="0.55000000000000004">
      <c r="A31" s="16" t="s">
        <v>36</v>
      </c>
      <c r="B31" s="15"/>
      <c r="C31" s="68">
        <f>C25+C27+C29-C30+C28</f>
        <v>150286.34399999998</v>
      </c>
      <c r="F31" s="8"/>
      <c r="G31" s="9"/>
      <c r="H31" s="9"/>
      <c r="I31" s="9"/>
      <c r="J31" s="10"/>
      <c r="L31" s="34" t="s">
        <v>55</v>
      </c>
      <c r="M31" s="42">
        <f>M26+M29+M30</f>
        <v>244718</v>
      </c>
      <c r="N31" s="42">
        <f>N26+N29+N30</f>
        <v>264037</v>
      </c>
    </row>
    <row r="32" spans="1:14" x14ac:dyDescent="0.55000000000000004">
      <c r="A32" s="7"/>
      <c r="B32" s="6"/>
      <c r="C32" s="89"/>
      <c r="F32" s="8"/>
      <c r="G32" s="148" t="s">
        <v>138</v>
      </c>
      <c r="H32" s="148"/>
      <c r="I32" s="148"/>
      <c r="J32" s="11" t="s">
        <v>1</v>
      </c>
    </row>
    <row r="33" spans="1:16" x14ac:dyDescent="0.55000000000000004">
      <c r="A33" s="147" t="s">
        <v>95</v>
      </c>
      <c r="B33" s="147"/>
      <c r="C33" s="147"/>
      <c r="F33" s="8"/>
      <c r="G33" s="12">
        <v>2019</v>
      </c>
      <c r="H33" s="12">
        <v>2020</v>
      </c>
      <c r="I33" s="12">
        <v>2021</v>
      </c>
      <c r="J33" s="13">
        <v>44926</v>
      </c>
      <c r="L33" s="5" t="s">
        <v>76</v>
      </c>
      <c r="M33" s="5"/>
      <c r="N33" s="5"/>
      <c r="O33" s="5"/>
      <c r="P33" s="5"/>
    </row>
    <row r="34" spans="1:16" x14ac:dyDescent="0.55000000000000004">
      <c r="A34" s="8"/>
      <c r="B34" s="11" t="s">
        <v>133</v>
      </c>
      <c r="C34" s="11" t="s">
        <v>136</v>
      </c>
      <c r="F34" s="9" t="s">
        <v>2</v>
      </c>
      <c r="G34" s="22">
        <f>G8</f>
        <v>137237</v>
      </c>
      <c r="H34" s="22">
        <f t="shared" ref="H34:J34" si="5">H8</f>
        <v>122485</v>
      </c>
      <c r="I34" s="22">
        <f t="shared" si="5"/>
        <v>127004</v>
      </c>
      <c r="J34" s="22">
        <f>J8</f>
        <v>156735</v>
      </c>
      <c r="L34" s="32" t="s">
        <v>59</v>
      </c>
      <c r="M34" s="32"/>
      <c r="N34" s="32"/>
      <c r="O34" s="32"/>
      <c r="P34" s="61">
        <v>1394.4</v>
      </c>
    </row>
    <row r="35" spans="1:16" x14ac:dyDescent="0.55000000000000004">
      <c r="A35" s="9" t="s">
        <v>2</v>
      </c>
      <c r="B35" s="98">
        <v>161440</v>
      </c>
      <c r="C35" s="98">
        <v>164641</v>
      </c>
      <c r="F35" s="8" t="s">
        <v>3</v>
      </c>
      <c r="G35" s="24">
        <f>G9</f>
        <v>123099</v>
      </c>
      <c r="H35" s="24">
        <f t="shared" ref="H35:J35" si="6">H9</f>
        <v>107983</v>
      </c>
      <c r="I35" s="24">
        <f t="shared" si="6"/>
        <v>108925</v>
      </c>
      <c r="J35" s="24">
        <f>J9</f>
        <v>135581</v>
      </c>
      <c r="L35" s="32" t="s">
        <v>60</v>
      </c>
      <c r="M35" s="32"/>
      <c r="N35" s="32"/>
      <c r="O35" s="32"/>
      <c r="P35" s="104">
        <f>O48</f>
        <v>0</v>
      </c>
    </row>
    <row r="36" spans="1:16" x14ac:dyDescent="0.55000000000000004">
      <c r="A36" s="9" t="s">
        <v>87</v>
      </c>
      <c r="B36" s="98">
        <v>21287</v>
      </c>
      <c r="C36" s="98">
        <v>22328</v>
      </c>
      <c r="F36" s="53" t="s">
        <v>126</v>
      </c>
      <c r="G36" s="105"/>
      <c r="H36" s="105"/>
      <c r="I36" s="54"/>
      <c r="J36" s="105"/>
      <c r="L36" s="32" t="s">
        <v>61</v>
      </c>
      <c r="M36" s="32"/>
      <c r="N36" s="32"/>
      <c r="O36" s="32"/>
      <c r="P36" s="106">
        <f>P48/C17</f>
        <v>0</v>
      </c>
    </row>
    <row r="37" spans="1:16" x14ac:dyDescent="0.55000000000000004">
      <c r="A37" s="9" t="s">
        <v>110</v>
      </c>
      <c r="B37" s="98">
        <v>11097</v>
      </c>
      <c r="C37" s="98">
        <v>11580</v>
      </c>
      <c r="F37" s="9" t="s">
        <v>4</v>
      </c>
      <c r="G37" s="22">
        <f>G34-G35+G36</f>
        <v>14138</v>
      </c>
      <c r="H37" s="22">
        <f t="shared" ref="H37:J37" si="7">H34-H35+H36</f>
        <v>14502</v>
      </c>
      <c r="I37" s="22">
        <f t="shared" si="7"/>
        <v>18079</v>
      </c>
      <c r="J37" s="22">
        <f t="shared" si="7"/>
        <v>21154</v>
      </c>
      <c r="L37" s="55" t="s">
        <v>62</v>
      </c>
      <c r="M37" s="32"/>
      <c r="N37" s="32"/>
      <c r="O37" s="32"/>
      <c r="P37" s="67">
        <f>P34+P35-P36</f>
        <v>1394.4</v>
      </c>
    </row>
    <row r="38" spans="1:16" x14ac:dyDescent="0.55000000000000004">
      <c r="A38" s="9" t="s">
        <v>93</v>
      </c>
      <c r="B38" s="144">
        <v>5.88</v>
      </c>
      <c r="C38" s="144">
        <v>6.01</v>
      </c>
      <c r="F38" s="8" t="s">
        <v>5</v>
      </c>
      <c r="G38" s="24">
        <f>G11</f>
        <v>7694</v>
      </c>
      <c r="H38" s="24">
        <f t="shared" ref="H38:J38" si="8">H11</f>
        <v>5943</v>
      </c>
      <c r="I38" s="24">
        <f t="shared" si="8"/>
        <v>6645</v>
      </c>
      <c r="J38" s="24">
        <f t="shared" si="8"/>
        <v>9155</v>
      </c>
      <c r="L38" s="20"/>
      <c r="M38" s="20"/>
      <c r="N38" s="20"/>
      <c r="O38" s="20"/>
      <c r="P38" s="20"/>
    </row>
    <row r="39" spans="1:16" ht="17.399999999999999" x14ac:dyDescent="1.05">
      <c r="D39" s="93"/>
      <c r="F39" s="8" t="s">
        <v>6</v>
      </c>
      <c r="G39" s="24">
        <f>G12</f>
        <v>0</v>
      </c>
      <c r="H39" s="24"/>
      <c r="I39" s="24">
        <f>I12</f>
        <v>0</v>
      </c>
      <c r="J39" s="24"/>
      <c r="L39" s="146" t="s">
        <v>63</v>
      </c>
      <c r="M39" s="146"/>
      <c r="N39" s="146"/>
      <c r="O39" s="146"/>
      <c r="P39" s="146"/>
    </row>
    <row r="40" spans="1:16" x14ac:dyDescent="0.55000000000000004">
      <c r="A40" s="147" t="s">
        <v>81</v>
      </c>
      <c r="B40" s="147"/>
      <c r="C40" s="147"/>
      <c r="D40" s="93"/>
      <c r="F40" s="53" t="s">
        <v>127</v>
      </c>
      <c r="G40" s="105">
        <v>-234</v>
      </c>
      <c r="H40" s="105">
        <f>683-404</f>
        <v>279</v>
      </c>
      <c r="I40" s="54">
        <v>-887</v>
      </c>
      <c r="J40" s="105">
        <f>599+657</f>
        <v>1256</v>
      </c>
      <c r="L40" s="57"/>
      <c r="M40" s="57" t="s">
        <v>64</v>
      </c>
      <c r="N40" s="57" t="s">
        <v>65</v>
      </c>
      <c r="O40" s="57" t="s">
        <v>66</v>
      </c>
      <c r="P40" s="57"/>
    </row>
    <row r="41" spans="1:16" ht="17.399999999999999" x14ac:dyDescent="1.05">
      <c r="A41" s="8" t="s">
        <v>82</v>
      </c>
      <c r="B41" s="8"/>
      <c r="C41" s="107">
        <f>J37/J34</f>
        <v>0.13496666347656874</v>
      </c>
      <c r="D41" s="93"/>
      <c r="F41" s="9" t="s">
        <v>7</v>
      </c>
      <c r="G41" s="74">
        <f>G37-G38-G39+G40</f>
        <v>6210</v>
      </c>
      <c r="H41" s="74">
        <f t="shared" ref="H41:J41" si="9">H37-H38-H39+H40</f>
        <v>8838</v>
      </c>
      <c r="I41" s="74">
        <f t="shared" si="9"/>
        <v>10547</v>
      </c>
      <c r="J41" s="74">
        <f t="shared" si="9"/>
        <v>13255</v>
      </c>
      <c r="L41" s="31" t="s">
        <v>67</v>
      </c>
      <c r="M41" s="31" t="s">
        <v>68</v>
      </c>
      <c r="N41" s="31" t="s">
        <v>69</v>
      </c>
      <c r="O41" s="31" t="s">
        <v>68</v>
      </c>
      <c r="P41" s="31" t="s">
        <v>70</v>
      </c>
    </row>
    <row r="42" spans="1:16" ht="17.399999999999999" x14ac:dyDescent="1.05">
      <c r="A42" s="8"/>
      <c r="B42" s="8"/>
      <c r="C42" s="107"/>
      <c r="D42" s="93"/>
      <c r="F42" s="8" t="s">
        <v>6</v>
      </c>
      <c r="G42" s="74">
        <f>G14</f>
        <v>-1111</v>
      </c>
      <c r="H42" s="74">
        <f t="shared" ref="H42:J42" si="10">H14</f>
        <v>-672</v>
      </c>
      <c r="I42" s="74">
        <f t="shared" si="10"/>
        <v>-1199</v>
      </c>
      <c r="J42" s="74">
        <f t="shared" si="10"/>
        <v>-1380</v>
      </c>
      <c r="L42" s="31"/>
      <c r="M42" s="31"/>
      <c r="N42" s="31"/>
      <c r="O42" s="31"/>
      <c r="P42" s="31"/>
    </row>
    <row r="43" spans="1:16" x14ac:dyDescent="0.55000000000000004">
      <c r="A43" s="36" t="s">
        <v>83</v>
      </c>
      <c r="B43" s="8"/>
      <c r="C43" s="107">
        <f>J56/J34</f>
        <v>0.12173413723801321</v>
      </c>
      <c r="D43" s="93"/>
      <c r="F43" s="8" t="s">
        <v>8</v>
      </c>
      <c r="G43" s="23">
        <f>G15</f>
        <v>353</v>
      </c>
      <c r="H43" s="23">
        <f>H15</f>
        <v>857</v>
      </c>
      <c r="I43" s="23">
        <f>I15</f>
        <v>804</v>
      </c>
      <c r="J43" s="23">
        <f>J15</f>
        <v>527</v>
      </c>
      <c r="L43" s="58" t="s">
        <v>71</v>
      </c>
      <c r="M43" s="61"/>
      <c r="N43" s="62"/>
      <c r="O43" s="104">
        <f>M43</f>
        <v>0</v>
      </c>
      <c r="P43" s="66">
        <f>N43*O43</f>
        <v>0</v>
      </c>
    </row>
    <row r="44" spans="1:16" x14ac:dyDescent="0.55000000000000004">
      <c r="A44" s="36" t="s">
        <v>84</v>
      </c>
      <c r="B44" s="8"/>
      <c r="C44" s="107">
        <f>J41/J34</f>
        <v>8.4569496283535911E-2</v>
      </c>
      <c r="F44" s="9" t="s">
        <v>9</v>
      </c>
      <c r="G44" s="22">
        <f>G41-G43-G42</f>
        <v>6968</v>
      </c>
      <c r="H44" s="22">
        <f t="shared" ref="H44:J44" si="11">H41-H43-H42</f>
        <v>8653</v>
      </c>
      <c r="I44" s="22">
        <f t="shared" si="11"/>
        <v>10942</v>
      </c>
      <c r="J44" s="22">
        <f t="shared" si="11"/>
        <v>14108</v>
      </c>
      <c r="L44" s="58" t="s">
        <v>72</v>
      </c>
      <c r="M44" s="61"/>
      <c r="N44" s="46"/>
      <c r="O44" s="104">
        <f>M44</f>
        <v>0</v>
      </c>
      <c r="P44" s="66">
        <f t="shared" ref="P44:P47" si="12">N44*O44</f>
        <v>0</v>
      </c>
    </row>
    <row r="45" spans="1:16" x14ac:dyDescent="0.55000000000000004">
      <c r="A45" s="108" t="s">
        <v>85</v>
      </c>
      <c r="B45" s="8"/>
      <c r="C45" s="107">
        <f>J48/J34</f>
        <v>7.0280384087791498E-2</v>
      </c>
      <c r="F45" s="8" t="s">
        <v>10</v>
      </c>
      <c r="G45" s="24">
        <f>G44*G49</f>
        <v>717.70399999999995</v>
      </c>
      <c r="H45" s="24">
        <f t="shared" ref="H45:J45" si="13">H44*H49</f>
        <v>1895.0070000000001</v>
      </c>
      <c r="I45" s="24">
        <f t="shared" si="13"/>
        <v>2385.3559999999998</v>
      </c>
      <c r="J45" s="24">
        <f t="shared" si="13"/>
        <v>2299.6040000000003</v>
      </c>
      <c r="L45" s="58" t="s">
        <v>73</v>
      </c>
      <c r="M45" s="61"/>
      <c r="N45" s="46"/>
      <c r="O45" s="104">
        <f>M45</f>
        <v>0</v>
      </c>
      <c r="P45" s="66">
        <f t="shared" si="12"/>
        <v>0</v>
      </c>
    </row>
    <row r="46" spans="1:16" x14ac:dyDescent="0.55000000000000004">
      <c r="A46" s="108"/>
      <c r="B46" s="8"/>
      <c r="C46" s="107"/>
      <c r="F46" s="8" t="s">
        <v>139</v>
      </c>
      <c r="G46" s="24">
        <f>G18</f>
        <v>65</v>
      </c>
      <c r="H46" s="24">
        <f t="shared" ref="H46:J46" si="14">H18</f>
        <v>106</v>
      </c>
      <c r="I46" s="24">
        <f t="shared" si="14"/>
        <v>74</v>
      </c>
      <c r="J46" s="24">
        <f t="shared" si="14"/>
        <v>226</v>
      </c>
      <c r="L46" s="58"/>
      <c r="M46" s="61"/>
      <c r="N46" s="46"/>
      <c r="O46" s="104"/>
      <c r="P46" s="66"/>
    </row>
    <row r="47" spans="1:16" x14ac:dyDescent="0.55000000000000004">
      <c r="F47" s="8" t="s">
        <v>11</v>
      </c>
      <c r="G47" s="23">
        <f>G19</f>
        <v>151</v>
      </c>
      <c r="H47" s="23">
        <f t="shared" ref="H47:J47" si="15">H19</f>
        <v>180</v>
      </c>
      <c r="I47" s="23">
        <f t="shared" si="15"/>
        <v>182</v>
      </c>
      <c r="J47" s="23">
        <f t="shared" si="15"/>
        <v>1019</v>
      </c>
      <c r="L47" s="63" t="s">
        <v>74</v>
      </c>
      <c r="M47" s="64"/>
      <c r="N47" s="65"/>
      <c r="O47" s="105">
        <v>0</v>
      </c>
      <c r="P47" s="143">
        <f t="shared" si="12"/>
        <v>0</v>
      </c>
    </row>
    <row r="48" spans="1:16" ht="14.7" thickBot="1" x14ac:dyDescent="0.6">
      <c r="A48" s="147" t="s">
        <v>88</v>
      </c>
      <c r="B48" s="147"/>
      <c r="C48" s="147"/>
      <c r="D48" s="78"/>
      <c r="F48" s="9" t="s">
        <v>12</v>
      </c>
      <c r="G48" s="25">
        <f>G44-G45-G47+G46</f>
        <v>6164.2960000000003</v>
      </c>
      <c r="H48" s="25">
        <f t="shared" ref="H48:J48" si="16">H44-H45-H47+H46</f>
        <v>6683.9930000000004</v>
      </c>
      <c r="I48" s="25">
        <f t="shared" si="16"/>
        <v>8448.6440000000002</v>
      </c>
      <c r="J48" s="25">
        <f t="shared" si="16"/>
        <v>11015.396000000001</v>
      </c>
      <c r="L48" s="59" t="s">
        <v>75</v>
      </c>
      <c r="M48" s="56"/>
      <c r="N48" s="60"/>
      <c r="O48" s="96">
        <f>SUM(O43:O47)</f>
        <v>0</v>
      </c>
      <c r="P48" s="96">
        <f>SUM(P43:P47)</f>
        <v>0</v>
      </c>
    </row>
    <row r="49" spans="1:16" x14ac:dyDescent="0.55000000000000004">
      <c r="A49" s="8"/>
      <c r="B49" s="11" t="s">
        <v>2</v>
      </c>
      <c r="C49" s="11" t="s">
        <v>87</v>
      </c>
      <c r="D49" s="11" t="s">
        <v>93</v>
      </c>
      <c r="F49" s="14" t="s">
        <v>13</v>
      </c>
      <c r="G49" s="30">
        <v>0.10299999999999999</v>
      </c>
      <c r="H49" s="30">
        <v>0.219</v>
      </c>
      <c r="I49" s="30">
        <v>0.218</v>
      </c>
      <c r="J49" s="30">
        <v>0.16300000000000001</v>
      </c>
      <c r="L49" s="4"/>
      <c r="M49" s="4"/>
      <c r="N49" s="4"/>
      <c r="O49" s="4"/>
      <c r="P49" s="4"/>
    </row>
    <row r="50" spans="1:16" x14ac:dyDescent="0.55000000000000004">
      <c r="A50" s="9" t="s">
        <v>89</v>
      </c>
      <c r="B50" s="8"/>
      <c r="C50" s="8"/>
      <c r="D50" s="8"/>
      <c r="F50" s="14"/>
      <c r="G50" s="30"/>
      <c r="H50" s="30"/>
      <c r="I50" s="30"/>
      <c r="J50" s="30"/>
    </row>
    <row r="51" spans="1:16" x14ac:dyDescent="0.55000000000000004">
      <c r="A51" s="8" t="s">
        <v>90</v>
      </c>
      <c r="B51" s="99">
        <f>I34/H34-1</f>
        <v>3.6894313589419081E-2</v>
      </c>
      <c r="C51" s="100">
        <f>I56/H56-1</f>
        <v>0.14893769738730978</v>
      </c>
      <c r="D51" s="99">
        <f>I52/H52-1</f>
        <v>0.24162437270712522</v>
      </c>
      <c r="F51" s="14" t="s">
        <v>94</v>
      </c>
      <c r="G51" s="28">
        <v>1439</v>
      </c>
      <c r="H51" s="28">
        <v>1442</v>
      </c>
      <c r="I51" s="28">
        <v>1468</v>
      </c>
      <c r="J51" s="28">
        <v>1454</v>
      </c>
    </row>
    <row r="52" spans="1:16" x14ac:dyDescent="0.55000000000000004">
      <c r="A52" s="8" t="s">
        <v>91</v>
      </c>
      <c r="B52" s="99">
        <f>(I34/G34)^0.5-1</f>
        <v>-3.8004386506390153E-2</v>
      </c>
      <c r="C52" s="100">
        <f>(I56/G56)^0.5-1</f>
        <v>0.12994722400740266</v>
      </c>
      <c r="D52" s="99">
        <f>(I52/G52)^0.5-1</f>
        <v>0.15909526620829628</v>
      </c>
      <c r="F52" s="14" t="s">
        <v>14</v>
      </c>
      <c r="G52" s="97">
        <f>G48/G51</f>
        <v>4.283735927727589</v>
      </c>
      <c r="H52" s="97">
        <f t="shared" ref="H52:J52" si="17">H48/H51</f>
        <v>4.6352239944521498</v>
      </c>
      <c r="I52" s="97">
        <f t="shared" si="17"/>
        <v>5.7552070844686654</v>
      </c>
      <c r="J52" s="97">
        <f t="shared" si="17"/>
        <v>7.5759257221458052</v>
      </c>
    </row>
    <row r="53" spans="1:16" x14ac:dyDescent="0.55000000000000004">
      <c r="A53" s="9" t="s">
        <v>92</v>
      </c>
      <c r="B53" s="94"/>
      <c r="C53" s="95"/>
      <c r="D53" s="94"/>
    </row>
    <row r="54" spans="1:16" x14ac:dyDescent="0.55000000000000004">
      <c r="A54" s="8" t="s">
        <v>90</v>
      </c>
      <c r="B54" s="99">
        <f>B35/I34-1</f>
        <v>0.27114106642310487</v>
      </c>
      <c r="C54" s="100">
        <f>B36/I56-1</f>
        <v>0.32985568813644028</v>
      </c>
      <c r="D54" s="99">
        <f>B38/I52-1</f>
        <v>2.1683479621108281E-2</v>
      </c>
      <c r="F54" s="5" t="s">
        <v>86</v>
      </c>
      <c r="G54" s="5"/>
      <c r="H54" s="5"/>
      <c r="I54" s="5"/>
      <c r="J54" s="5"/>
    </row>
    <row r="55" spans="1:16" x14ac:dyDescent="0.55000000000000004">
      <c r="A55" s="8" t="s">
        <v>91</v>
      </c>
      <c r="B55" s="99">
        <f>(C35/I34)^0.5-1</f>
        <v>0.1385714720683846</v>
      </c>
      <c r="C55" s="100">
        <f>(C36/I56)^0.5-1</f>
        <v>0.1810545015961853</v>
      </c>
      <c r="D55" s="99">
        <f>(C38/I52)^0.5-1</f>
        <v>2.1896139447063812E-2</v>
      </c>
      <c r="F55" s="8" t="s">
        <v>57</v>
      </c>
      <c r="G55" s="75">
        <v>6327</v>
      </c>
      <c r="H55" s="75">
        <v>5094</v>
      </c>
      <c r="I55" s="75">
        <v>5460</v>
      </c>
      <c r="J55" s="69">
        <v>5825</v>
      </c>
    </row>
    <row r="56" spans="1:16" x14ac:dyDescent="0.55000000000000004">
      <c r="F56" s="8" t="s">
        <v>87</v>
      </c>
      <c r="G56" s="76">
        <f>G41+G55</f>
        <v>12537</v>
      </c>
      <c r="H56" s="76">
        <f t="shared" ref="H56:J56" si="18">H41+H55</f>
        <v>13932</v>
      </c>
      <c r="I56" s="76">
        <f t="shared" si="18"/>
        <v>16007</v>
      </c>
      <c r="J56" s="76">
        <f t="shared" si="18"/>
        <v>19080</v>
      </c>
    </row>
    <row r="57" spans="1:16" x14ac:dyDescent="0.55000000000000004">
      <c r="A57" s="147" t="s">
        <v>96</v>
      </c>
      <c r="B57" s="147"/>
      <c r="C57" s="147"/>
    </row>
    <row r="58" spans="1:16" x14ac:dyDescent="0.55000000000000004">
      <c r="A58" s="8" t="s">
        <v>77</v>
      </c>
      <c r="B58" s="8"/>
      <c r="C58" s="107">
        <f>(J41*(1-J49))/AVERAGE(N24-N6+N30,M24-M6+M30)</f>
        <v>7.0975312511995084E-2</v>
      </c>
      <c r="F58" s="147" t="s">
        <v>103</v>
      </c>
      <c r="G58" s="147"/>
      <c r="H58" s="147"/>
      <c r="I58" s="78"/>
    </row>
    <row r="59" spans="1:16" x14ac:dyDescent="0.55000000000000004">
      <c r="A59" s="36" t="s">
        <v>78</v>
      </c>
      <c r="B59" s="8"/>
      <c r="C59" s="107">
        <f>J48/AVERAGE(M30,N30)</f>
        <v>0.15952897558997531</v>
      </c>
      <c r="F59" s="52"/>
      <c r="G59" s="110" t="s">
        <v>1</v>
      </c>
      <c r="H59" s="110" t="s">
        <v>104</v>
      </c>
      <c r="I59" s="110" t="s">
        <v>105</v>
      </c>
    </row>
    <row r="60" spans="1:16" x14ac:dyDescent="0.55000000000000004">
      <c r="A60" s="36" t="s">
        <v>79</v>
      </c>
      <c r="B60" s="8"/>
      <c r="C60" s="107">
        <f>J48/AVERAGE(M16,N16)</f>
        <v>4.330334247329265E-2</v>
      </c>
      <c r="F60" s="52"/>
      <c r="G60" s="111">
        <v>44926</v>
      </c>
      <c r="H60" s="112" t="s">
        <v>133</v>
      </c>
      <c r="I60" s="112" t="s">
        <v>136</v>
      </c>
    </row>
    <row r="61" spans="1:16" x14ac:dyDescent="0.55000000000000004">
      <c r="A61" s="108" t="s">
        <v>80</v>
      </c>
      <c r="B61" s="8"/>
      <c r="C61" s="107">
        <f>C22*4/C17</f>
        <v>1.755669348939283E-2</v>
      </c>
      <c r="F61" s="113" t="s">
        <v>106</v>
      </c>
      <c r="G61" s="114">
        <f>C31/J34</f>
        <v>0.95885631160876628</v>
      </c>
      <c r="H61" s="114">
        <f>C31/B35</f>
        <v>0.93091144697720507</v>
      </c>
      <c r="I61" s="114">
        <f>C31/C35</f>
        <v>0.91281238573623813</v>
      </c>
    </row>
    <row r="62" spans="1:16" x14ac:dyDescent="0.55000000000000004">
      <c r="F62" s="113" t="s">
        <v>107</v>
      </c>
      <c r="G62" s="114">
        <f>C31/J56</f>
        <v>7.8766427672955963</v>
      </c>
      <c r="H62" s="114">
        <f>C31/B36</f>
        <v>7.0600058251515003</v>
      </c>
      <c r="I62" s="114">
        <f>C31/C36</f>
        <v>6.7308466499462547</v>
      </c>
    </row>
    <row r="63" spans="1:16" x14ac:dyDescent="0.55000000000000004">
      <c r="A63" s="147" t="s">
        <v>97</v>
      </c>
      <c r="B63" s="147"/>
      <c r="C63" s="147"/>
      <c r="F63" s="113" t="s">
        <v>108</v>
      </c>
      <c r="G63" s="114">
        <f>C31/J41</f>
        <v>11.338087061486231</v>
      </c>
      <c r="H63" s="114">
        <f>C31/B37</f>
        <v>13.542970532576371</v>
      </c>
      <c r="I63" s="114">
        <f>C31/C37</f>
        <v>12.978095336787563</v>
      </c>
    </row>
    <row r="64" spans="1:16" x14ac:dyDescent="0.55000000000000004">
      <c r="A64" s="8" t="s">
        <v>98</v>
      </c>
      <c r="B64" s="8"/>
      <c r="C64" s="77">
        <f>N24/(N24+N29+N30)</f>
        <v>0.61591311232378843</v>
      </c>
      <c r="F64" s="113" t="s">
        <v>109</v>
      </c>
      <c r="G64" s="114">
        <f>C17/J52</f>
        <v>5.4131998522794813</v>
      </c>
      <c r="H64" s="114">
        <f>C17/B38</f>
        <v>6.9744897959183669</v>
      </c>
      <c r="I64" s="114">
        <f>C17/C38</f>
        <v>6.8236272878535775</v>
      </c>
    </row>
    <row r="65" spans="1:8" x14ac:dyDescent="0.55000000000000004">
      <c r="A65" s="8" t="s">
        <v>99</v>
      </c>
      <c r="B65" s="8"/>
      <c r="C65" s="109">
        <f>N24/J56</f>
        <v>6.0751048218029347</v>
      </c>
    </row>
    <row r="66" spans="1:8" x14ac:dyDescent="0.55000000000000004">
      <c r="A66" s="8" t="s">
        <v>100</v>
      </c>
      <c r="B66" s="8"/>
      <c r="C66" s="109">
        <f>(N24-N6)/J56</f>
        <v>4.6441299790356396</v>
      </c>
    </row>
    <row r="67" spans="1:8" x14ac:dyDescent="0.55000000000000004">
      <c r="A67" s="8" t="s">
        <v>101</v>
      </c>
      <c r="B67" s="8"/>
      <c r="C67" s="109">
        <f>J56/J43</f>
        <v>36.204933586337759</v>
      </c>
    </row>
    <row r="68" spans="1:8" x14ac:dyDescent="0.55000000000000004">
      <c r="A68" s="8" t="s">
        <v>102</v>
      </c>
      <c r="B68" s="8"/>
      <c r="C68" s="109">
        <f>J41/J43</f>
        <v>25.15180265654649</v>
      </c>
    </row>
    <row r="69" spans="1:8" x14ac:dyDescent="0.55000000000000004">
      <c r="H69" s="115"/>
    </row>
  </sheetData>
  <mergeCells count="11">
    <mergeCell ref="A33:C33"/>
    <mergeCell ref="G32:I32"/>
    <mergeCell ref="L39:P39"/>
    <mergeCell ref="G6:I6"/>
    <mergeCell ref="A4:C4"/>
    <mergeCell ref="A16:C16"/>
    <mergeCell ref="A57:C57"/>
    <mergeCell ref="A63:C63"/>
    <mergeCell ref="F58:H58"/>
    <mergeCell ref="A40:C40"/>
    <mergeCell ref="A48:C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7"/>
  <sheetViews>
    <sheetView workbookViewId="0">
      <selection activeCell="Q29" sqref="Q29"/>
    </sheetView>
  </sheetViews>
  <sheetFormatPr defaultColWidth="9.15625" defaultRowHeight="14.1" x14ac:dyDescent="0.5"/>
  <cols>
    <col min="1" max="1" width="21.734375" style="116" bestFit="1" customWidth="1"/>
    <col min="2" max="2" width="14.68359375" style="116" customWidth="1"/>
    <col min="3" max="3" width="10.89453125" style="118" bestFit="1" customWidth="1"/>
    <col min="4" max="4" width="2.26171875" style="116" customWidth="1"/>
    <col min="5" max="5" width="10.89453125" style="116" bestFit="1" customWidth="1"/>
    <col min="6" max="6" width="1.734375" style="116" customWidth="1"/>
    <col min="7" max="7" width="10.47265625" style="116" customWidth="1"/>
    <col min="8" max="8" width="2.734375" style="116" customWidth="1"/>
    <col min="9" max="9" width="12.3671875" style="116" bestFit="1" customWidth="1"/>
    <col min="10" max="10" width="1.734375" style="116" customWidth="1"/>
    <col min="11" max="11" width="10.89453125" style="116" bestFit="1" customWidth="1"/>
    <col min="12" max="12" width="2.26171875" style="116" customWidth="1"/>
    <col min="13" max="13" width="12.3671875" style="116" bestFit="1" customWidth="1"/>
    <col min="14" max="16384" width="9.15625" style="116"/>
  </cols>
  <sheetData>
    <row r="3" spans="1:13" ht="30.6" x14ac:dyDescent="1.1000000000000001">
      <c r="A3" s="149" t="s">
        <v>135</v>
      </c>
      <c r="B3" s="149"/>
      <c r="C3" s="117"/>
      <c r="D3" s="1"/>
    </row>
    <row r="4" spans="1:13" ht="14.4" x14ac:dyDescent="0.55000000000000004">
      <c r="A4" s="1"/>
      <c r="B4" s="1"/>
      <c r="C4" s="117"/>
      <c r="D4" s="1"/>
    </row>
    <row r="5" spans="1:13" x14ac:dyDescent="0.5">
      <c r="A5" s="150" t="s">
        <v>111</v>
      </c>
      <c r="B5" s="150"/>
      <c r="C5" s="150"/>
      <c r="D5" s="120"/>
      <c r="E5" s="121"/>
      <c r="F5" s="121"/>
      <c r="G5" s="121"/>
      <c r="H5" s="121"/>
      <c r="I5" s="121"/>
      <c r="J5" s="121"/>
      <c r="K5" s="121"/>
      <c r="L5" s="121"/>
      <c r="M5" s="121"/>
    </row>
    <row r="6" spans="1:13" x14ac:dyDescent="0.5">
      <c r="A6" s="122" t="s">
        <v>87</v>
      </c>
      <c r="B6" s="37" t="s">
        <v>112</v>
      </c>
      <c r="C6" s="151" t="s">
        <v>113</v>
      </c>
      <c r="D6" s="151"/>
      <c r="E6" s="151"/>
      <c r="F6" s="134"/>
      <c r="G6" s="152" t="s">
        <v>115</v>
      </c>
      <c r="H6" s="152"/>
      <c r="I6" s="152"/>
      <c r="J6" s="134"/>
      <c r="K6" s="152" t="s">
        <v>119</v>
      </c>
      <c r="L6" s="152"/>
      <c r="M6" s="152"/>
    </row>
    <row r="7" spans="1:13" x14ac:dyDescent="0.5">
      <c r="A7" s="8" t="s">
        <v>1</v>
      </c>
      <c r="B7" s="39">
        <v>142108</v>
      </c>
      <c r="C7" s="132">
        <v>3.1</v>
      </c>
      <c r="D7" s="129">
        <v>7.9</v>
      </c>
      <c r="E7" s="133">
        <v>7.9</v>
      </c>
      <c r="F7" s="135" t="e">
        <f>A7*B7</f>
        <v>#VALUE!</v>
      </c>
      <c r="G7" s="131">
        <f>B7*C7</f>
        <v>440534.8</v>
      </c>
      <c r="H7" s="119" t="s">
        <v>114</v>
      </c>
      <c r="I7" s="131">
        <f>B7*E7</f>
        <v>1122653.2</v>
      </c>
      <c r="J7" s="135" t="e">
        <f>E7*F7</f>
        <v>#VALUE!</v>
      </c>
      <c r="K7" s="142">
        <f>G7-$B$12-($B$13-$B$14)</f>
        <v>275839.8</v>
      </c>
      <c r="L7" s="119" t="s">
        <v>114</v>
      </c>
      <c r="M7" s="142">
        <f>I7-$B$12-($B$13-$B$14)</f>
        <v>957958.2</v>
      </c>
    </row>
    <row r="8" spans="1:13" x14ac:dyDescent="0.5">
      <c r="A8" s="33" t="s">
        <v>133</v>
      </c>
      <c r="B8" s="153"/>
      <c r="C8" s="132">
        <v>7.1</v>
      </c>
      <c r="D8" s="129" t="s">
        <v>114</v>
      </c>
      <c r="E8" s="133">
        <v>10.4</v>
      </c>
      <c r="F8" s="135" t="e">
        <f t="shared" ref="F8:F9" si="0">A8*B8</f>
        <v>#VALUE!</v>
      </c>
      <c r="G8" s="131">
        <f t="shared" ref="G8:G9" si="1">B8*C8</f>
        <v>0</v>
      </c>
      <c r="H8" s="119" t="s">
        <v>114</v>
      </c>
      <c r="I8" s="131">
        <f t="shared" ref="I8:I9" si="2">B8*E8</f>
        <v>0</v>
      </c>
      <c r="J8" s="135" t="e">
        <f t="shared" ref="J8:J9" si="3">E8*F8</f>
        <v>#VALUE!</v>
      </c>
      <c r="K8" s="142">
        <f t="shared" ref="K8:K9" si="4">G8-$B$12-($B$13-$B$14)</f>
        <v>-164695</v>
      </c>
      <c r="L8" s="119" t="s">
        <v>114</v>
      </c>
      <c r="M8" s="142">
        <f t="shared" ref="M8:M9" si="5">I8-$B$12-($B$13-$B$14)</f>
        <v>-164695</v>
      </c>
    </row>
    <row r="9" spans="1:13" x14ac:dyDescent="0.5">
      <c r="A9" s="33" t="s">
        <v>136</v>
      </c>
      <c r="B9" s="153"/>
      <c r="C9" s="132">
        <v>6.7</v>
      </c>
      <c r="D9" s="129" t="s">
        <v>114</v>
      </c>
      <c r="E9" s="133">
        <v>10.4</v>
      </c>
      <c r="F9" s="135" t="e">
        <f t="shared" si="0"/>
        <v>#VALUE!</v>
      </c>
      <c r="G9" s="131">
        <f t="shared" si="1"/>
        <v>0</v>
      </c>
      <c r="H9" s="119" t="s">
        <v>114</v>
      </c>
      <c r="I9" s="131">
        <f t="shared" si="2"/>
        <v>0</v>
      </c>
      <c r="J9" s="135" t="e">
        <f t="shared" si="3"/>
        <v>#VALUE!</v>
      </c>
      <c r="K9" s="142">
        <f t="shared" si="4"/>
        <v>-164695</v>
      </c>
      <c r="L9" s="119" t="s">
        <v>114</v>
      </c>
      <c r="M9" s="142">
        <f t="shared" si="5"/>
        <v>-164695</v>
      </c>
    </row>
    <row r="10" spans="1:13" x14ac:dyDescent="0.5">
      <c r="A10" s="141"/>
      <c r="B10" s="126"/>
      <c r="C10" s="138"/>
      <c r="D10" s="139"/>
      <c r="E10" s="140"/>
      <c r="F10" s="137"/>
      <c r="G10" s="137"/>
      <c r="H10" s="127"/>
      <c r="I10" s="137"/>
      <c r="J10" s="137"/>
      <c r="K10" s="137"/>
      <c r="L10" s="127"/>
      <c r="M10" s="137"/>
    </row>
    <row r="11" spans="1:13" x14ac:dyDescent="0.5">
      <c r="A11" s="150" t="s">
        <v>120</v>
      </c>
      <c r="B11" s="150"/>
      <c r="C11" s="123"/>
      <c r="D11" s="79"/>
    </row>
    <row r="12" spans="1:13" x14ac:dyDescent="0.5">
      <c r="A12" s="8" t="s">
        <v>121</v>
      </c>
      <c r="B12" s="39">
        <v>0</v>
      </c>
      <c r="C12" s="138"/>
      <c r="D12" s="139"/>
      <c r="E12" s="140"/>
      <c r="F12" s="137"/>
      <c r="G12" s="137"/>
      <c r="H12" s="127"/>
      <c r="I12" s="137"/>
      <c r="J12" s="137"/>
      <c r="K12" s="137"/>
      <c r="L12" s="127"/>
      <c r="M12" s="137"/>
    </row>
    <row r="13" spans="1:13" x14ac:dyDescent="0.5">
      <c r="A13" s="8" t="s">
        <v>50</v>
      </c>
      <c r="B13" s="39">
        <v>208900</v>
      </c>
      <c r="C13" s="138"/>
      <c r="D13" s="139"/>
      <c r="E13" s="140"/>
      <c r="F13" s="137"/>
      <c r="G13" s="137"/>
      <c r="H13" s="127"/>
      <c r="I13" s="137"/>
      <c r="J13" s="137"/>
      <c r="K13" s="137"/>
      <c r="L13" s="127"/>
      <c r="M13" s="137"/>
    </row>
    <row r="14" spans="1:13" x14ac:dyDescent="0.5">
      <c r="A14" s="33" t="s">
        <v>128</v>
      </c>
      <c r="B14" s="39">
        <v>44205</v>
      </c>
      <c r="C14" s="138"/>
      <c r="D14" s="139"/>
      <c r="E14" s="140"/>
      <c r="F14" s="137"/>
      <c r="G14" s="137"/>
      <c r="H14" s="127"/>
      <c r="I14" s="137"/>
      <c r="J14" s="137"/>
      <c r="K14" s="137"/>
      <c r="L14" s="127"/>
      <c r="M14" s="137"/>
    </row>
    <row r="16" spans="1:13" x14ac:dyDescent="0.5">
      <c r="A16" s="150" t="s">
        <v>116</v>
      </c>
      <c r="B16" s="150"/>
      <c r="C16" s="123"/>
      <c r="D16" s="79"/>
    </row>
    <row r="17" spans="1:10" x14ac:dyDescent="0.5">
      <c r="A17" s="8" t="s">
        <v>117</v>
      </c>
      <c r="B17" s="128"/>
      <c r="C17" s="124"/>
      <c r="D17" s="125"/>
      <c r="E17" s="124"/>
      <c r="F17" s="126"/>
      <c r="G17" s="126"/>
      <c r="H17" s="127"/>
      <c r="I17" s="126"/>
      <c r="J17" s="126"/>
    </row>
    <row r="19" spans="1:10" x14ac:dyDescent="0.5">
      <c r="A19" s="150" t="s">
        <v>118</v>
      </c>
      <c r="B19" s="150"/>
      <c r="C19" s="150"/>
      <c r="D19" s="120"/>
      <c r="E19" s="121"/>
      <c r="F19" s="121"/>
      <c r="G19" s="121"/>
      <c r="H19" s="121"/>
      <c r="I19" s="121"/>
    </row>
    <row r="20" spans="1:10" x14ac:dyDescent="0.5">
      <c r="A20" s="122" t="s">
        <v>87</v>
      </c>
      <c r="B20" s="37"/>
      <c r="C20" s="151" t="s">
        <v>119</v>
      </c>
      <c r="D20" s="151"/>
      <c r="E20" s="151"/>
      <c r="F20" s="134"/>
      <c r="G20" s="152" t="s">
        <v>115</v>
      </c>
      <c r="H20" s="152"/>
      <c r="I20" s="152"/>
      <c r="J20" s="136"/>
    </row>
    <row r="21" spans="1:10" x14ac:dyDescent="0.5">
      <c r="A21" s="8" t="s">
        <v>1</v>
      </c>
      <c r="B21" s="130"/>
      <c r="C21" s="142">
        <f>K7*(1+$B$17)</f>
        <v>275839.8</v>
      </c>
      <c r="D21" s="129" t="s">
        <v>114</v>
      </c>
      <c r="E21" s="142">
        <f>M7*(1+$B$17)</f>
        <v>957958.2</v>
      </c>
      <c r="F21" s="135">
        <f>B21+'General Motors'!B29+('General Motors'!B27-'General Motors'!B30)</f>
        <v>0</v>
      </c>
      <c r="G21" s="142">
        <f>C21+$B$12+($B$13-$B$14)</f>
        <v>440534.8</v>
      </c>
      <c r="H21" s="119" t="s">
        <v>114</v>
      </c>
      <c r="I21" s="142">
        <f t="shared" ref="I21:I23" si="6">E21+$B$12+($B$13-$B$14)</f>
        <v>1122653.2</v>
      </c>
      <c r="J21" s="137" t="e">
        <f>F21+'General Motors'!F31+('General Motors'!F30-'General Motors'!F32)</f>
        <v>#VALUE!</v>
      </c>
    </row>
    <row r="22" spans="1:10" x14ac:dyDescent="0.5">
      <c r="A22" s="33" t="s">
        <v>133</v>
      </c>
      <c r="B22" s="130"/>
      <c r="C22" s="142">
        <f t="shared" ref="C22:C23" si="7">K8*(1+$B$17)</f>
        <v>-164695</v>
      </c>
      <c r="D22" s="129" t="s">
        <v>114</v>
      </c>
      <c r="E22" s="142">
        <f t="shared" ref="E22:E23" si="8">M8*(1+$B$17)</f>
        <v>-164695</v>
      </c>
      <c r="F22" s="135">
        <f>B22+'General Motors'!B29+('General Motors'!B27-'General Motors'!B30)</f>
        <v>0</v>
      </c>
      <c r="G22" s="142">
        <f t="shared" ref="G22:G23" si="9">C22+$B$12+($B$13-$B$14)</f>
        <v>0</v>
      </c>
      <c r="H22" s="119" t="s">
        <v>114</v>
      </c>
      <c r="I22" s="142">
        <f t="shared" si="6"/>
        <v>0</v>
      </c>
      <c r="J22" s="137" t="e">
        <f>F22+'General Motors'!F31+('General Motors'!F30-'General Motors'!F32)</f>
        <v>#VALUE!</v>
      </c>
    </row>
    <row r="23" spans="1:10" x14ac:dyDescent="0.5">
      <c r="A23" s="33" t="s">
        <v>136</v>
      </c>
      <c r="B23" s="130"/>
      <c r="C23" s="142">
        <f t="shared" si="7"/>
        <v>-164695</v>
      </c>
      <c r="D23" s="129" t="s">
        <v>114</v>
      </c>
      <c r="E23" s="142">
        <f t="shared" si="8"/>
        <v>-164695</v>
      </c>
      <c r="F23" s="135">
        <f>B23+'General Motors'!B29+('General Motors'!B27-'General Motors'!B30)</f>
        <v>0</v>
      </c>
      <c r="G23" s="142">
        <f t="shared" si="9"/>
        <v>0</v>
      </c>
      <c r="H23" s="119" t="s">
        <v>114</v>
      </c>
      <c r="I23" s="142">
        <f t="shared" si="6"/>
        <v>0</v>
      </c>
      <c r="J23" s="137" t="e">
        <f>F23+'General Motors'!F31+('General Motors'!F30-'General Motors'!F32)</f>
        <v>#VALUE!</v>
      </c>
    </row>
    <row r="25" spans="1:10" x14ac:dyDescent="0.5">
      <c r="A25" s="150" t="s">
        <v>122</v>
      </c>
      <c r="B25" s="150"/>
      <c r="C25" s="150"/>
      <c r="D25" s="120"/>
      <c r="E25" s="121"/>
      <c r="F25" s="121"/>
      <c r="G25" s="121"/>
      <c r="H25" s="121"/>
      <c r="I25" s="121"/>
    </row>
    <row r="26" spans="1:10" x14ac:dyDescent="0.5">
      <c r="A26" s="122"/>
      <c r="B26" s="37"/>
      <c r="C26" s="151" t="s">
        <v>119</v>
      </c>
      <c r="D26" s="151"/>
      <c r="E26" s="151"/>
      <c r="F26" s="134"/>
      <c r="G26" s="152" t="s">
        <v>115</v>
      </c>
      <c r="H26" s="152"/>
      <c r="I26" s="152"/>
      <c r="J26" s="136"/>
    </row>
    <row r="27" spans="1:10" x14ac:dyDescent="0.5">
      <c r="A27" s="9" t="s">
        <v>123</v>
      </c>
      <c r="B27" s="130"/>
      <c r="C27" s="131">
        <f>MIN(C21:C23)</f>
        <v>-164695</v>
      </c>
      <c r="D27" s="129" t="s">
        <v>114</v>
      </c>
      <c r="E27" s="131">
        <f>MAX(E21:E23)</f>
        <v>957958.2</v>
      </c>
      <c r="F27" s="135" t="e">
        <f>B27+'General Motors'!B35+('General Motors'!B34-'General Motors'!B36)</f>
        <v>#VALUE!</v>
      </c>
      <c r="G27" s="131">
        <f>MIN(G21:G23)</f>
        <v>0</v>
      </c>
      <c r="H27" s="119" t="s">
        <v>114</v>
      </c>
      <c r="I27" s="131">
        <f>MAX(I21:I23)</f>
        <v>1122653.2</v>
      </c>
      <c r="J27" s="137" t="e">
        <f>F27+'General Motors'!F38+('General Motors'!F37-'General Motors'!F39)</f>
        <v>#VALUE!</v>
      </c>
    </row>
  </sheetData>
  <mergeCells count="13">
    <mergeCell ref="G26:I26"/>
    <mergeCell ref="C26:E26"/>
    <mergeCell ref="K6:M6"/>
    <mergeCell ref="A11:B11"/>
    <mergeCell ref="A25:C25"/>
    <mergeCell ref="A19:C19"/>
    <mergeCell ref="C20:E20"/>
    <mergeCell ref="G20:I20"/>
    <mergeCell ref="A3:B3"/>
    <mergeCell ref="A5:C5"/>
    <mergeCell ref="C6:E6"/>
    <mergeCell ref="G6:I6"/>
    <mergeCell ref="A16:B16"/>
  </mergeCells>
  <pageMargins left="0.7" right="0.7" top="0.75" bottom="0.75" header="0.3" footer="0.3"/>
  <pageSetup orientation="portrait" r:id="rId1"/>
  <ignoredErrors>
    <ignoredError sqref="J21:J2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Honda</vt:lpstr>
      <vt:lpstr>Ford</vt:lpstr>
      <vt:lpstr>General Motors</vt:lpstr>
      <vt:lpstr>Valuation_Complete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Shu</dc:creator>
  <cp:lastModifiedBy>Harshit Chaturvedi</cp:lastModifiedBy>
  <dcterms:created xsi:type="dcterms:W3CDTF">2012-01-21T17:46:17Z</dcterms:created>
  <dcterms:modified xsi:type="dcterms:W3CDTF">2023-03-06T00:19:27Z</dcterms:modified>
</cp:coreProperties>
</file>