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debanik_chakraborty_okstate_edu/Documents/SMIF Presentation Com Service/"/>
    </mc:Choice>
  </mc:AlternateContent>
  <xr:revisionPtr revIDLastSave="480" documentId="13_ncr:1_{364715D7-6CB5-416B-BA35-82EB2730EF87}" xr6:coauthVersionLast="47" xr6:coauthVersionMax="47" xr10:uidLastSave="{6B1CDC44-3871-48CE-AAA1-FB893CA0CC7D}"/>
  <bookViews>
    <workbookView xWindow="-108" yWindow="-108" windowWidth="23256" windowHeight="12456" xr2:uid="{7E142AC4-15AB-4F74-A484-77D7D1C7C750}"/>
  </bookViews>
  <sheets>
    <sheet name="Base" sheetId="1" r:id="rId1"/>
    <sheet name="Bull" sheetId="2" r:id="rId2"/>
    <sheet name="Bear" sheetId="3" r:id="rId3"/>
  </sheets>
  <definedNames>
    <definedName name="CIQWBGuid" hidden="1">"d1eac2cf-f3e5-4e27-be14-13b956e34610"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44942.9617824074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C76" i="1"/>
  <c r="C71" i="1"/>
  <c r="O34" i="2"/>
  <c r="O33" i="2"/>
  <c r="D92" i="1"/>
  <c r="Q99" i="3"/>
  <c r="Q100" i="3" s="1"/>
  <c r="Q97" i="3"/>
  <c r="Q96" i="3" s="1"/>
  <c r="U95" i="3"/>
  <c r="V95" i="3" s="1"/>
  <c r="S95" i="3"/>
  <c r="R95" i="3"/>
  <c r="C94" i="3"/>
  <c r="C92" i="3"/>
  <c r="Q89" i="3"/>
  <c r="Q90" i="3" s="1"/>
  <c r="Q87" i="3"/>
  <c r="Q86" i="3"/>
  <c r="U85" i="3"/>
  <c r="V85" i="3" s="1"/>
  <c r="S85" i="3"/>
  <c r="R85" i="3"/>
  <c r="C83" i="3"/>
  <c r="C85" i="3" s="1"/>
  <c r="Q72" i="3" s="1"/>
  <c r="C82" i="3"/>
  <c r="Q76" i="3"/>
  <c r="Q77" i="3" s="1"/>
  <c r="C76" i="3"/>
  <c r="Q74" i="3"/>
  <c r="Q73" i="3"/>
  <c r="U72" i="3"/>
  <c r="V72" i="3" s="1"/>
  <c r="S72" i="3"/>
  <c r="R72" i="3"/>
  <c r="J71" i="3"/>
  <c r="C71" i="3"/>
  <c r="J70" i="3"/>
  <c r="C57" i="3"/>
  <c r="D57" i="3" s="1"/>
  <c r="C55" i="3"/>
  <c r="D55" i="3" s="1"/>
  <c r="C50" i="3"/>
  <c r="I46" i="3"/>
  <c r="R24" i="3"/>
  <c r="Q24" i="3"/>
  <c r="P24" i="3"/>
  <c r="O24" i="3"/>
  <c r="T24" i="3" s="1"/>
  <c r="M22" i="3"/>
  <c r="L22" i="3"/>
  <c r="K22" i="3"/>
  <c r="G22" i="3"/>
  <c r="F22" i="3"/>
  <c r="E22" i="3"/>
  <c r="D22" i="3"/>
  <c r="J22" i="3" s="1"/>
  <c r="G19" i="3"/>
  <c r="F19" i="3"/>
  <c r="E19" i="3"/>
  <c r="D19" i="3"/>
  <c r="G17" i="3"/>
  <c r="G24" i="3" s="1"/>
  <c r="F17" i="3"/>
  <c r="F24" i="3" s="1"/>
  <c r="E17" i="3"/>
  <c r="E24" i="3" s="1"/>
  <c r="D17" i="3"/>
  <c r="D24" i="3" s="1"/>
  <c r="G15" i="3"/>
  <c r="F15" i="3"/>
  <c r="E15" i="3"/>
  <c r="D15" i="3"/>
  <c r="G13" i="3"/>
  <c r="F13" i="3"/>
  <c r="E13" i="3"/>
  <c r="D13" i="3"/>
  <c r="G11" i="3"/>
  <c r="F11" i="3"/>
  <c r="E11" i="3"/>
  <c r="D11" i="3"/>
  <c r="G9" i="3"/>
  <c r="F9" i="3"/>
  <c r="E9" i="3"/>
  <c r="I8" i="3"/>
  <c r="I10" i="3" s="1"/>
  <c r="I6" i="3"/>
  <c r="J6" i="3" s="1"/>
  <c r="K6" i="3" s="1"/>
  <c r="L6" i="3" s="1"/>
  <c r="M6" i="3" s="1"/>
  <c r="E6" i="3"/>
  <c r="F6" i="3" s="1"/>
  <c r="G6" i="3" s="1"/>
  <c r="Q99" i="2"/>
  <c r="Q100" i="2" s="1"/>
  <c r="Q97" i="2"/>
  <c r="Q96" i="2" s="1"/>
  <c r="U95" i="2"/>
  <c r="V95" i="2" s="1"/>
  <c r="S95" i="2"/>
  <c r="R95" i="2"/>
  <c r="C94" i="2"/>
  <c r="C92" i="2"/>
  <c r="Q89" i="2"/>
  <c r="Q90" i="2" s="1"/>
  <c r="Q87" i="2"/>
  <c r="Q86" i="2"/>
  <c r="U85" i="2"/>
  <c r="V85" i="2" s="1"/>
  <c r="S85" i="2"/>
  <c r="R85" i="2"/>
  <c r="C83" i="2"/>
  <c r="C82" i="2"/>
  <c r="C85" i="2" s="1"/>
  <c r="Q72" i="2" s="1"/>
  <c r="Q76" i="2"/>
  <c r="Q77" i="2" s="1"/>
  <c r="C76" i="2"/>
  <c r="Q74" i="2"/>
  <c r="Q73" i="2"/>
  <c r="U72" i="2"/>
  <c r="V72" i="2" s="1"/>
  <c r="S72" i="2"/>
  <c r="R72" i="2"/>
  <c r="J71" i="2"/>
  <c r="C71" i="2"/>
  <c r="J70" i="2"/>
  <c r="C57" i="2"/>
  <c r="D57" i="2" s="1"/>
  <c r="C55" i="2"/>
  <c r="D55" i="2" s="1"/>
  <c r="C50" i="2"/>
  <c r="I46" i="2"/>
  <c r="R24" i="2"/>
  <c r="Q24" i="2"/>
  <c r="P24" i="2"/>
  <c r="O24" i="2"/>
  <c r="T24" i="2" s="1"/>
  <c r="M22" i="2"/>
  <c r="L22" i="2"/>
  <c r="K22" i="2"/>
  <c r="G22" i="2"/>
  <c r="F22" i="2"/>
  <c r="E22" i="2"/>
  <c r="D22" i="2"/>
  <c r="J22" i="2" s="1"/>
  <c r="G19" i="2"/>
  <c r="F19" i="2"/>
  <c r="E19" i="2"/>
  <c r="D19" i="2"/>
  <c r="G17" i="2"/>
  <c r="G24" i="2" s="1"/>
  <c r="F17" i="2"/>
  <c r="F24" i="2" s="1"/>
  <c r="E17" i="2"/>
  <c r="E24" i="2" s="1"/>
  <c r="D17" i="2"/>
  <c r="D24" i="2" s="1"/>
  <c r="G15" i="2"/>
  <c r="F15" i="2"/>
  <c r="E15" i="2"/>
  <c r="D15" i="2"/>
  <c r="G13" i="2"/>
  <c r="F13" i="2"/>
  <c r="E13" i="2"/>
  <c r="D13" i="2"/>
  <c r="G11" i="2"/>
  <c r="F11" i="2"/>
  <c r="E11" i="2"/>
  <c r="D11" i="2"/>
  <c r="G9" i="2"/>
  <c r="F9" i="2"/>
  <c r="E9" i="2"/>
  <c r="I8" i="2"/>
  <c r="I10" i="2" s="1"/>
  <c r="I6" i="2"/>
  <c r="J6" i="2" s="1"/>
  <c r="K6" i="2" s="1"/>
  <c r="L6" i="2" s="1"/>
  <c r="M6" i="2" s="1"/>
  <c r="E6" i="2"/>
  <c r="F6" i="2" s="1"/>
  <c r="G6" i="2" s="1"/>
  <c r="C92" i="1"/>
  <c r="C94" i="1"/>
  <c r="Q77" i="1"/>
  <c r="Q76" i="1"/>
  <c r="Q73" i="1"/>
  <c r="Q74" i="1"/>
  <c r="D94" i="3" l="1"/>
  <c r="E94" i="3" s="1"/>
  <c r="D92" i="2"/>
  <c r="E92" i="2" s="1"/>
  <c r="D94" i="2"/>
  <c r="E94" i="2" s="1"/>
  <c r="I20" i="3"/>
  <c r="D93" i="3"/>
  <c r="E93" i="3" s="1"/>
  <c r="AA110" i="3"/>
  <c r="AB110" i="3" s="1"/>
  <c r="D92" i="3"/>
  <c r="E92" i="3" s="1"/>
  <c r="AA108" i="3"/>
  <c r="AB108" i="3" s="1"/>
  <c r="AA109" i="3"/>
  <c r="AB109" i="3" s="1"/>
  <c r="I12" i="3"/>
  <c r="I19" i="3" s="1"/>
  <c r="J8" i="3"/>
  <c r="J21" i="3" s="1"/>
  <c r="I22" i="3"/>
  <c r="I21" i="3" s="1"/>
  <c r="D93" i="2"/>
  <c r="E93" i="2" s="1"/>
  <c r="AA110" i="2"/>
  <c r="AB110" i="2" s="1"/>
  <c r="AA109" i="2"/>
  <c r="AB109" i="2" s="1"/>
  <c r="AA108" i="2"/>
  <c r="AB108" i="2" s="1"/>
  <c r="I20" i="2"/>
  <c r="I12" i="2"/>
  <c r="I19" i="2" s="1"/>
  <c r="J8" i="2"/>
  <c r="J21" i="2" s="1"/>
  <c r="I22" i="2"/>
  <c r="I21" i="2" s="1"/>
  <c r="J71" i="1"/>
  <c r="J70" i="1"/>
  <c r="C50" i="1"/>
  <c r="D24" i="1"/>
  <c r="O24" i="1"/>
  <c r="P24" i="1"/>
  <c r="Q24" i="1"/>
  <c r="R24" i="1"/>
  <c r="E22" i="1"/>
  <c r="F22" i="1"/>
  <c r="G22" i="1"/>
  <c r="D22" i="1"/>
  <c r="E19" i="1"/>
  <c r="F19" i="1"/>
  <c r="G19" i="1"/>
  <c r="D19" i="1"/>
  <c r="E11" i="1"/>
  <c r="F11" i="1"/>
  <c r="G11" i="1"/>
  <c r="E13" i="1"/>
  <c r="F13" i="1"/>
  <c r="G13" i="1"/>
  <c r="D13" i="1"/>
  <c r="D11" i="1"/>
  <c r="F9" i="1"/>
  <c r="G9" i="1"/>
  <c r="E9" i="1"/>
  <c r="J20" i="2" l="1"/>
  <c r="J12" i="3"/>
  <c r="K8" i="3"/>
  <c r="J10" i="3"/>
  <c r="I15" i="3"/>
  <c r="I17" i="3"/>
  <c r="I24" i="3" s="1"/>
  <c r="I25" i="3" s="1"/>
  <c r="J20" i="3"/>
  <c r="K8" i="2"/>
  <c r="J10" i="2"/>
  <c r="J12" i="2"/>
  <c r="I15" i="2"/>
  <c r="I17" i="2" s="1"/>
  <c r="I24" i="2" s="1"/>
  <c r="I25" i="2" s="1"/>
  <c r="T24" i="1"/>
  <c r="J19" i="3" l="1"/>
  <c r="K12" i="3"/>
  <c r="L8" i="3"/>
  <c r="K10" i="3"/>
  <c r="K21" i="3"/>
  <c r="K20" i="3"/>
  <c r="J15" i="3"/>
  <c r="J17" i="3"/>
  <c r="J15" i="2"/>
  <c r="J17" i="2"/>
  <c r="J19" i="2"/>
  <c r="K10" i="2"/>
  <c r="K12" i="2"/>
  <c r="L8" i="2"/>
  <c r="K21" i="2"/>
  <c r="K20" i="2"/>
  <c r="C82" i="1"/>
  <c r="J24" i="3" l="1"/>
  <c r="J25" i="3" s="1"/>
  <c r="K19" i="3"/>
  <c r="J24" i="2"/>
  <c r="J25" i="2" s="1"/>
  <c r="L12" i="3"/>
  <c r="L10" i="3"/>
  <c r="L19" i="3" s="1"/>
  <c r="M8" i="3"/>
  <c r="L20" i="3"/>
  <c r="L21" i="3"/>
  <c r="K15" i="3"/>
  <c r="K17" i="3" s="1"/>
  <c r="L12" i="2"/>
  <c r="M8" i="2"/>
  <c r="L10" i="2"/>
  <c r="L21" i="2"/>
  <c r="L20" i="2"/>
  <c r="K15" i="2"/>
  <c r="K17" i="2" s="1"/>
  <c r="K19" i="2"/>
  <c r="K24" i="3" l="1"/>
  <c r="K25" i="3" s="1"/>
  <c r="K24" i="2"/>
  <c r="K25" i="2" s="1"/>
  <c r="L19" i="2"/>
  <c r="M10" i="3"/>
  <c r="M12" i="3"/>
  <c r="M21" i="3"/>
  <c r="M20" i="3"/>
  <c r="L15" i="3"/>
  <c r="L17" i="3" s="1"/>
  <c r="L24" i="3" s="1"/>
  <c r="L25" i="3" s="1"/>
  <c r="M12" i="2"/>
  <c r="M10" i="2"/>
  <c r="M21" i="2"/>
  <c r="M20" i="2"/>
  <c r="L15" i="2"/>
  <c r="L17" i="2" s="1"/>
  <c r="E15" i="1"/>
  <c r="F15" i="1"/>
  <c r="G15" i="1"/>
  <c r="D15" i="1"/>
  <c r="D17" i="1" s="1"/>
  <c r="I8" i="1"/>
  <c r="I6" i="1"/>
  <c r="L24" i="2" l="1"/>
  <c r="L25" i="2" s="1"/>
  <c r="I32" i="3"/>
  <c r="I34" i="3" s="1"/>
  <c r="I35" i="3" s="1"/>
  <c r="M19" i="3"/>
  <c r="M15" i="3"/>
  <c r="M17" i="3" s="1"/>
  <c r="M15" i="2"/>
  <c r="M17" i="2" s="1"/>
  <c r="I32" i="2"/>
  <c r="I34" i="2" s="1"/>
  <c r="I35" i="2" s="1"/>
  <c r="M19" i="2"/>
  <c r="I10" i="1"/>
  <c r="I20" i="1"/>
  <c r="J8" i="1"/>
  <c r="C83" i="1"/>
  <c r="M24" i="3" l="1"/>
  <c r="M25" i="3" s="1"/>
  <c r="C36" i="3" s="1"/>
  <c r="I36" i="3" s="1"/>
  <c r="I37" i="3" s="1"/>
  <c r="D54" i="3" s="1"/>
  <c r="D56" i="3" s="1"/>
  <c r="D58" i="3" s="1"/>
  <c r="Q95" i="3" s="1"/>
  <c r="M24" i="2"/>
  <c r="C33" i="2" s="1"/>
  <c r="C34" i="2" s="1"/>
  <c r="C35" i="2" s="1"/>
  <c r="S85" i="1"/>
  <c r="R85" i="1" s="1"/>
  <c r="U85" i="1"/>
  <c r="V85" i="1"/>
  <c r="Q87" i="1"/>
  <c r="Q86" i="1" s="1"/>
  <c r="Q89" i="1"/>
  <c r="Q90" i="1" s="1"/>
  <c r="S95" i="1"/>
  <c r="R95" i="1" s="1"/>
  <c r="U95" i="1"/>
  <c r="V95" i="1" s="1"/>
  <c r="Q97" i="1"/>
  <c r="Q96" i="1" s="1"/>
  <c r="Q99" i="1"/>
  <c r="Q100" i="1" s="1"/>
  <c r="E6" i="1"/>
  <c r="F6" i="1" s="1"/>
  <c r="G6" i="1" s="1"/>
  <c r="J6" i="1"/>
  <c r="K6" i="1" s="1"/>
  <c r="L6" i="1" s="1"/>
  <c r="M6" i="1" s="1"/>
  <c r="I46" i="1"/>
  <c r="C55" i="1"/>
  <c r="D55" i="1" s="1"/>
  <c r="S72" i="1"/>
  <c r="R72" i="1" s="1"/>
  <c r="U72" i="1"/>
  <c r="V72" i="1" s="1"/>
  <c r="C33" i="3" l="1"/>
  <c r="C34" i="3" s="1"/>
  <c r="C35" i="3" s="1"/>
  <c r="C37" i="3" s="1"/>
  <c r="C54" i="3" s="1"/>
  <c r="C56" i="3" s="1"/>
  <c r="C58" i="3" s="1"/>
  <c r="Q85" i="3" s="1"/>
  <c r="M25" i="2"/>
  <c r="C36" i="2" s="1"/>
  <c r="I36" i="2" s="1"/>
  <c r="I37" i="2" s="1"/>
  <c r="D54" i="2" s="1"/>
  <c r="D56" i="2" s="1"/>
  <c r="D58" i="2" s="1"/>
  <c r="Q95" i="2" s="1"/>
  <c r="D93" i="1"/>
  <c r="C57" i="1"/>
  <c r="D57" i="1" s="1"/>
  <c r="E92" i="1"/>
  <c r="Q72" i="1"/>
  <c r="F17" i="1"/>
  <c r="F24" i="1" s="1"/>
  <c r="G17" i="1"/>
  <c r="E17" i="1"/>
  <c r="E24" i="1" s="1"/>
  <c r="G24" i="1"/>
  <c r="C37" i="2" l="1"/>
  <c r="C54" i="2" s="1"/>
  <c r="C56" i="2" s="1"/>
  <c r="C58" i="2" s="1"/>
  <c r="Q85" i="2" s="1"/>
  <c r="J22" i="1"/>
  <c r="J21" i="1" s="1"/>
  <c r="K22" i="1"/>
  <c r="L22" i="1"/>
  <c r="M22" i="1"/>
  <c r="I22" i="1"/>
  <c r="I21" i="1" s="1"/>
  <c r="D94" i="1"/>
  <c r="E94" i="1" s="1"/>
  <c r="AA108" i="1"/>
  <c r="AB108" i="1" s="1"/>
  <c r="I12" i="1"/>
  <c r="I19" i="1" s="1"/>
  <c r="AA109" i="1"/>
  <c r="AB109" i="1" s="1"/>
  <c r="AA110" i="1"/>
  <c r="AB110" i="1" s="1"/>
  <c r="E93" i="1"/>
  <c r="J10" i="1"/>
  <c r="K8" i="1"/>
  <c r="J12" i="1"/>
  <c r="J19" i="1" l="1"/>
  <c r="I15" i="1"/>
  <c r="I17" i="1" s="1"/>
  <c r="I24" i="1" s="1"/>
  <c r="J20" i="1"/>
  <c r="J15" i="1"/>
  <c r="J17" i="1" s="1"/>
  <c r="K10" i="1"/>
  <c r="L8" i="1"/>
  <c r="K12" i="1"/>
  <c r="K20" i="1"/>
  <c r="K21" i="1"/>
  <c r="J24" i="1" l="1"/>
  <c r="J25" i="1" s="1"/>
  <c r="I25" i="1"/>
  <c r="K15" i="1"/>
  <c r="K17" i="1" s="1"/>
  <c r="M8" i="1"/>
  <c r="M12" i="1" s="1"/>
  <c r="L12" i="1"/>
  <c r="L10" i="1"/>
  <c r="L20" i="1"/>
  <c r="L21" i="1"/>
  <c r="K19" i="1"/>
  <c r="K24" i="1" l="1"/>
  <c r="K25" i="1" s="1"/>
  <c r="L19" i="1"/>
  <c r="L15" i="1"/>
  <c r="L17" i="1" s="1"/>
  <c r="M10" i="1"/>
  <c r="I32" i="1" s="1"/>
  <c r="M20" i="1"/>
  <c r="M21" i="1"/>
  <c r="L24" i="1" l="1"/>
  <c r="L25" i="1" s="1"/>
  <c r="I34" i="1"/>
  <c r="I35" i="1" s="1"/>
  <c r="M19" i="1"/>
  <c r="M15" i="1"/>
  <c r="M17" i="1" s="1"/>
  <c r="M24" i="1" l="1"/>
  <c r="C33" i="1" s="1"/>
  <c r="C34" i="1" l="1"/>
  <c r="C35" i="1" s="1"/>
  <c r="M25" i="1"/>
  <c r="C36" i="1" s="1"/>
  <c r="I36" i="1" s="1"/>
  <c r="I37" i="1" s="1"/>
  <c r="D54" i="1" s="1"/>
  <c r="D56" i="1" s="1"/>
  <c r="D58" i="1" s="1"/>
  <c r="Q95" i="1" s="1"/>
  <c r="C37" i="1" l="1"/>
  <c r="C54" i="1" s="1"/>
  <c r="C56" i="1" s="1"/>
  <c r="C58" i="1" s="1"/>
  <c r="Q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</author>
    <author>Matan Feldman</author>
  </authors>
  <commentList>
    <comment ref="B17" authorId="0" shapeId="0" xr:uid="{8FB93A9A-9996-414E-A2B6-07B2AC083969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NOPAT stands for net operating profit after taxes.  It represents a company's operating profits less tax expense on operations.  This means that the tax deductions due to interest expense are ignored in this buildup and are instead captured in the discount rate.</t>
        </r>
      </text>
    </comment>
    <comment ref="B42" authorId="1" shapeId="0" xr:uid="{3C335F82-1C8D-4CE6-AD87-38CFC214E344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Include all debt tranches</t>
        </r>
      </text>
    </comment>
    <comment ref="I42" authorId="1" shapeId="0" xr:uid="{C52F42CD-FCCE-42CD-B988-9F180FDBCDF1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Source: Q1 2020 10Q p.19 </t>
        </r>
      </text>
    </comment>
    <comment ref="B47" authorId="1" shapeId="0" xr:uid="{040E5740-5967-4ECF-A77B-37D8F72B9BD6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Include cash &amp; equivalents, short term and long term marketable securities and investments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</author>
    <author>Matan Feldman</author>
  </authors>
  <commentList>
    <comment ref="B17" authorId="0" shapeId="0" xr:uid="{8FE27324-5E16-480E-BECC-334EEBBE251F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NOPAT stands for net operating profit after taxes.  It represents a company's operating profits less tax expense on operations.  This means that the tax deductions due to interest expense are ignored in this buildup and are instead captured in the discount rate.</t>
        </r>
      </text>
    </comment>
    <comment ref="B42" authorId="1" shapeId="0" xr:uid="{E3AE7F8C-1751-47DE-94EA-A78D60AB9BF5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Include all debt tranches</t>
        </r>
      </text>
    </comment>
    <comment ref="I42" authorId="1" shapeId="0" xr:uid="{5E20B7C3-0E6E-4C70-BFF0-46EEBBF5A2ED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Source: Q1 2020 10Q p.19 </t>
        </r>
      </text>
    </comment>
    <comment ref="B47" authorId="1" shapeId="0" xr:uid="{B506258B-F82F-4C4B-BEE4-6775DBE599FC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Include cash &amp; equivalents, short term and long term marketable securities and investments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</author>
    <author>Matan Feldman</author>
  </authors>
  <commentList>
    <comment ref="B17" authorId="0" shapeId="0" xr:uid="{5C0D0F62-D9DF-46EA-8995-1B7C13F41B13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NOPAT stands for net operating profit after taxes.  It represents a company's operating profits less tax expense on operations.  This means that the tax deductions due to interest expense are ignored in this buildup and are instead captured in the discount rate.</t>
        </r>
      </text>
    </comment>
    <comment ref="B42" authorId="1" shapeId="0" xr:uid="{C1C2BA90-3A42-47DE-B823-558504FDBC31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Include all debt tranches</t>
        </r>
      </text>
    </comment>
    <comment ref="I42" authorId="1" shapeId="0" xr:uid="{BCF9ED2C-2C9E-4CE5-8C31-F844AB03DE12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Source: Q1 2020 10Q p.19 </t>
        </r>
      </text>
    </comment>
    <comment ref="B47" authorId="1" shapeId="0" xr:uid="{DB817421-6359-4AD2-A387-0EF2A1857976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Include cash &amp; equivalents, short term and long term marketable securities and investments</t>
        </r>
      </text>
    </comment>
  </commentList>
</comments>
</file>

<file path=xl/sharedStrings.xml><?xml version="1.0" encoding="utf-8"?>
<sst xmlns="http://schemas.openxmlformats.org/spreadsheetml/2006/main" count="339" uniqueCount="83">
  <si>
    <t>Unlevered Free Cash Flows</t>
  </si>
  <si>
    <t>Actual</t>
  </si>
  <si>
    <t>Forecasts</t>
  </si>
  <si>
    <t>Fiscal year ended</t>
  </si>
  <si>
    <t>Revenue</t>
  </si>
  <si>
    <t>% growth</t>
  </si>
  <si>
    <t>EBITDA</t>
  </si>
  <si>
    <t>% margin</t>
  </si>
  <si>
    <t>EBIT</t>
  </si>
  <si>
    <t>Tax on EBIT</t>
  </si>
  <si>
    <t>Tax rate</t>
  </si>
  <si>
    <t>NOPAT (aka EBIAT)</t>
  </si>
  <si>
    <t>Depreciation &amp; amortization</t>
  </si>
  <si>
    <t>Changes in net working capital</t>
  </si>
  <si>
    <t>Capital expenditures</t>
  </si>
  <si>
    <t>as % of revenue</t>
  </si>
  <si>
    <t>Unlevered free cash flows (UFCF)</t>
  </si>
  <si>
    <t>x</t>
  </si>
  <si>
    <t>WACC</t>
  </si>
  <si>
    <t>Inputs</t>
  </si>
  <si>
    <t>Cost of debt</t>
  </si>
  <si>
    <t>Cost of debt (after tax)</t>
  </si>
  <si>
    <t xml:space="preserve">Risk free rate </t>
  </si>
  <si>
    <t xml:space="preserve">Beta </t>
  </si>
  <si>
    <t>Market risk premium</t>
  </si>
  <si>
    <t>Cost of equity</t>
  </si>
  <si>
    <t>Cost of capital (WACC)</t>
  </si>
  <si>
    <t>Capital Structure</t>
  </si>
  <si>
    <t>Weight of debt</t>
  </si>
  <si>
    <t>Weight of equity</t>
  </si>
  <si>
    <t>Total capital</t>
  </si>
  <si>
    <t>Total debt</t>
  </si>
  <si>
    <t>Total equity</t>
  </si>
  <si>
    <t>Present Value of UFCF</t>
  </si>
  <si>
    <t>Period</t>
  </si>
  <si>
    <t>Terminal value - growth in perpetuity approach</t>
  </si>
  <si>
    <t>Terminal value - EBITDA multiple approach</t>
  </si>
  <si>
    <t>Long term growth rate</t>
  </si>
  <si>
    <t>Terminal year EBITDA</t>
  </si>
  <si>
    <t>EBITDA multiple</t>
  </si>
  <si>
    <t>Present value of terminal value</t>
  </si>
  <si>
    <t>Present value of stage 1 cash flows</t>
  </si>
  <si>
    <t>Total enterprise value (TEV)</t>
  </si>
  <si>
    <t>Terminal value in 2026</t>
  </si>
  <si>
    <t>Valuation</t>
  </si>
  <si>
    <t>Perpetuity</t>
  </si>
  <si>
    <t>Enterprise value</t>
  </si>
  <si>
    <t>Net debt</t>
  </si>
  <si>
    <t xml:space="preserve">Equity value </t>
  </si>
  <si>
    <t>Shares outstanding</t>
  </si>
  <si>
    <t>Equity value per share</t>
  </si>
  <si>
    <t>Gross debt and equivalents</t>
  </si>
  <si>
    <t>Debt</t>
  </si>
  <si>
    <t>Convertible debt</t>
  </si>
  <si>
    <t>Preferred stock</t>
  </si>
  <si>
    <t>Noncontrolling (minority) interests</t>
  </si>
  <si>
    <t>Nonoperating assets</t>
  </si>
  <si>
    <t>Shares</t>
  </si>
  <si>
    <t>Basic shares</t>
  </si>
  <si>
    <t>Restricted stock / RSUs</t>
  </si>
  <si>
    <t>Options / warrants</t>
  </si>
  <si>
    <t>Convertible preferred stock</t>
  </si>
  <si>
    <t>Net diluted shares outstanding</t>
  </si>
  <si>
    <t>Long term growth rate (g)</t>
  </si>
  <si>
    <t>Exit EBITDA Multiple</t>
  </si>
  <si>
    <t>Base case return</t>
  </si>
  <si>
    <t>Best case return</t>
  </si>
  <si>
    <t>Weak case return</t>
  </si>
  <si>
    <t>Share Price</t>
  </si>
  <si>
    <t>Return</t>
  </si>
  <si>
    <t>Current share price</t>
  </si>
  <si>
    <t>EBITDA Multiple</t>
  </si>
  <si>
    <t>Change in NWC as % of revenue</t>
  </si>
  <si>
    <t>2027 FCF x (1+g)</t>
  </si>
  <si>
    <t>Cash and Equity Investment</t>
  </si>
  <si>
    <t>Terminal value in 2027</t>
  </si>
  <si>
    <t>After Tax</t>
  </si>
  <si>
    <t>Cost of Debt</t>
  </si>
  <si>
    <t>NYSE: NFLX</t>
  </si>
  <si>
    <t xml:space="preserve"> ` </t>
  </si>
  <si>
    <t>LTM TEV/EBITDA  as per Capital IQ of 2022</t>
  </si>
  <si>
    <t>Based on 31st December ended annual reports</t>
  </si>
  <si>
    <t>Enterprise value is within 110000-140000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</si>
</sst>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7" formatCode="&quot;$&quot;#,##0.00_);\(&quot;$&quot;#,##0.00\)"/>
    <numFmt numFmtId="44" formatCode="_(&quot;$&quot;* #,##0.00_);_(&quot;$&quot;* \(#,##0.00\);_(&quot;$&quot;* &quot;-&quot;??_);_(@_)"/>
    <numFmt numFmtId="164" formatCode="0000\A"/>
    <numFmt numFmtId="165" formatCode="0000\P"/>
    <numFmt numFmtId="166" formatCode="#,##0_);\(#,##0\);@_)"/>
    <numFmt numFmtId="167" formatCode="_(#,##0.0%_);\(#,##0.0%\);_(&quot;–&quot;_)_%;_(@_)_%"/>
    <numFmt numFmtId="168" formatCode="0.0%_);\(0.0%\);@_)"/>
    <numFmt numFmtId="169" formatCode="0%_);\(0%\);0%_);@_)"/>
    <numFmt numFmtId="170" formatCode="0.0%"/>
    <numFmt numFmtId="171" formatCode="0.0%;\(0.0%\);\-"/>
    <numFmt numFmtId="172" formatCode="0000&quot;E&quot;"/>
    <numFmt numFmtId="173" formatCode="#,##0.000_);\(#,##0.000\)"/>
    <numFmt numFmtId="174" formatCode="#,##0.0%_);\(#,##0.0%\);_(0.0%_);@_)"/>
    <numFmt numFmtId="175" formatCode="0.0%\ ;\(0.0%\);\-"/>
    <numFmt numFmtId="176" formatCode="0.0\x_);\(0.0\x\);@_)"/>
    <numFmt numFmtId="177" formatCode="&quot;$&quot;#,##0.00_);\(&quot;$&quot;#,##0.00\);@_)"/>
    <numFmt numFmtId="178" formatCode="#,##0.000_);\(#,##0.000\);@_)"/>
    <numFmt numFmtId="179" formatCode="#,##0.000"/>
    <numFmt numFmtId="180" formatCode="0.0\x"/>
    <numFmt numFmtId="181" formatCode="0.000%"/>
    <numFmt numFmtId="182" formatCode="_(* #,##0.0_);_(* \(#,##0.0\)_)\ ;_(* 0_)"/>
    <numFmt numFmtId="183" formatCode="_(#,##0.0%_);_(\(#,##0.0%\)_);_(#,##0.0%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D6A300"/>
      <name val="Calibri"/>
      <family val="2"/>
      <scheme val="minor"/>
    </font>
    <font>
      <b/>
      <i/>
      <sz val="11"/>
      <color rgb="FFD6A3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/>
    <xf numFmtId="166" fontId="5" fillId="0" borderId="0" xfId="0" applyNumberFormat="1" applyFont="1"/>
    <xf numFmtId="0" fontId="0" fillId="0" borderId="0" xfId="0" applyAlignment="1">
      <alignment horizontal="left" indent="1"/>
    </xf>
    <xf numFmtId="0" fontId="1" fillId="0" borderId="0" xfId="0" applyFont="1"/>
    <xf numFmtId="166" fontId="6" fillId="0" borderId="0" xfId="0" applyNumberFormat="1" applyFont="1"/>
    <xf numFmtId="7" fontId="2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8" fontId="0" fillId="0" borderId="0" xfId="0" applyNumberFormat="1"/>
    <xf numFmtId="37" fontId="0" fillId="0" borderId="0" xfId="0" applyNumberFormat="1"/>
    <xf numFmtId="0" fontId="4" fillId="0" borderId="0" xfId="0" applyFont="1" applyAlignment="1">
      <alignment horizontal="left" indent="1"/>
    </xf>
    <xf numFmtId="168" fontId="4" fillId="0" borderId="0" xfId="0" applyNumberFormat="1" applyFont="1"/>
    <xf numFmtId="171" fontId="4" fillId="0" borderId="0" xfId="0" applyNumberFormat="1" applyFont="1"/>
    <xf numFmtId="37" fontId="1" fillId="0" borderId="0" xfId="0" applyNumberFormat="1" applyFont="1"/>
    <xf numFmtId="0" fontId="1" fillId="0" borderId="2" xfId="0" applyFont="1" applyBorder="1"/>
    <xf numFmtId="0" fontId="0" fillId="0" borderId="2" xfId="0" applyBorder="1"/>
    <xf numFmtId="0" fontId="10" fillId="0" borderId="2" xfId="0" applyFont="1" applyBorder="1"/>
    <xf numFmtId="172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37" fontId="1" fillId="0" borderId="3" xfId="0" applyNumberFormat="1" applyFont="1" applyBorder="1"/>
    <xf numFmtId="174" fontId="0" fillId="0" borderId="0" xfId="0" applyNumberFormat="1"/>
    <xf numFmtId="174" fontId="11" fillId="0" borderId="0" xfId="0" applyNumberFormat="1" applyFont="1"/>
    <xf numFmtId="174" fontId="11" fillId="0" borderId="1" xfId="0" applyNumberFormat="1" applyFont="1" applyBorder="1"/>
    <xf numFmtId="39" fontId="11" fillId="0" borderId="0" xfId="0" applyNumberFormat="1" applyFont="1"/>
    <xf numFmtId="0" fontId="1" fillId="0" borderId="2" xfId="0" applyFont="1" applyBorder="1" applyAlignment="1">
      <alignment horizontal="centerContinuous"/>
    </xf>
    <xf numFmtId="175" fontId="0" fillId="0" borderId="0" xfId="0" applyNumberFormat="1"/>
    <xf numFmtId="175" fontId="1" fillId="0" borderId="0" xfId="0" applyNumberFormat="1" applyFont="1"/>
    <xf numFmtId="0" fontId="0" fillId="0" borderId="0" xfId="0" applyAlignment="1">
      <alignment horizontal="centerContinuous"/>
    </xf>
    <xf numFmtId="2" fontId="0" fillId="0" borderId="0" xfId="0" applyNumberFormat="1" applyAlignment="1">
      <alignment horizontal="centerContinuous"/>
    </xf>
    <xf numFmtId="2" fontId="1" fillId="0" borderId="0" xfId="0" applyNumberFormat="1" applyFont="1" applyAlignment="1">
      <alignment horizontal="centerContinuous"/>
    </xf>
    <xf numFmtId="166" fontId="0" fillId="0" borderId="0" xfId="0" applyNumberFormat="1"/>
    <xf numFmtId="165" fontId="0" fillId="0" borderId="0" xfId="0" applyNumberFormat="1"/>
    <xf numFmtId="166" fontId="1" fillId="0" borderId="3" xfId="0" applyNumberFormat="1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37" fontId="0" fillId="0" borderId="1" xfId="0" applyNumberFormat="1" applyBorder="1" applyAlignment="1">
      <alignment horizontal="right"/>
    </xf>
    <xf numFmtId="37" fontId="0" fillId="0" borderId="0" xfId="0" applyNumberFormat="1" applyAlignment="1">
      <alignment horizontal="right"/>
    </xf>
    <xf numFmtId="177" fontId="1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4" fontId="6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 vertical="center"/>
    </xf>
    <xf numFmtId="37" fontId="11" fillId="0" borderId="0" xfId="0" applyNumberFormat="1" applyFont="1"/>
    <xf numFmtId="0" fontId="11" fillId="0" borderId="0" xfId="0" applyFont="1"/>
    <xf numFmtId="178" fontId="11" fillId="0" borderId="0" xfId="0" applyNumberFormat="1" applyFont="1"/>
    <xf numFmtId="173" fontId="11" fillId="0" borderId="0" xfId="0" applyNumberFormat="1" applyFont="1" applyAlignment="1">
      <alignment horizontal="right"/>
    </xf>
    <xf numFmtId="179" fontId="12" fillId="0" borderId="0" xfId="0" applyNumberFormat="1" applyFont="1"/>
    <xf numFmtId="0" fontId="1" fillId="0" borderId="7" xfId="0" applyFont="1" applyBorder="1"/>
    <xf numFmtId="177" fontId="0" fillId="0" borderId="0" xfId="0" applyNumberFormat="1"/>
    <xf numFmtId="0" fontId="0" fillId="0" borderId="0" xfId="0" applyAlignment="1">
      <alignment horizontal="right"/>
    </xf>
    <xf numFmtId="39" fontId="0" fillId="0" borderId="0" xfId="0" applyNumberFormat="1"/>
    <xf numFmtId="39" fontId="0" fillId="0" borderId="9" xfId="0" applyNumberFormat="1" applyBorder="1"/>
    <xf numFmtId="180" fontId="0" fillId="0" borderId="0" xfId="0" applyNumberFormat="1"/>
    <xf numFmtId="180" fontId="0" fillId="0" borderId="0" xfId="0" applyNumberFormat="1" applyAlignment="1">
      <alignment horizontal="center"/>
    </xf>
    <xf numFmtId="3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0" fillId="0" borderId="10" xfId="0" applyBorder="1"/>
    <xf numFmtId="7" fontId="0" fillId="0" borderId="0" xfId="0" applyNumberFormat="1"/>
    <xf numFmtId="168" fontId="0" fillId="0" borderId="4" xfId="0" applyNumberFormat="1" applyBorder="1"/>
    <xf numFmtId="169" fontId="0" fillId="0" borderId="0" xfId="0" applyNumberFormat="1"/>
    <xf numFmtId="0" fontId="1" fillId="0" borderId="2" xfId="0" applyFont="1" applyBorder="1" applyAlignment="1">
      <alignment horizontal="left"/>
    </xf>
    <xf numFmtId="37" fontId="1" fillId="2" borderId="0" xfId="0" applyNumberFormat="1" applyFont="1" applyFill="1"/>
    <xf numFmtId="177" fontId="12" fillId="2" borderId="6" xfId="0" applyNumberFormat="1" applyFont="1" applyFill="1" applyBorder="1" applyAlignment="1">
      <alignment horizontal="right"/>
    </xf>
    <xf numFmtId="177" fontId="12" fillId="2" borderId="8" xfId="0" applyNumberFormat="1" applyFont="1" applyFill="1" applyBorder="1" applyAlignment="1">
      <alignment horizontal="right"/>
    </xf>
    <xf numFmtId="175" fontId="1" fillId="2" borderId="8" xfId="0" applyNumberFormat="1" applyFont="1" applyFill="1" applyBorder="1"/>
    <xf numFmtId="170" fontId="12" fillId="2" borderId="0" xfId="0" applyNumberFormat="1" applyFont="1" applyFill="1"/>
    <xf numFmtId="168" fontId="12" fillId="2" borderId="0" xfId="0" applyNumberFormat="1" applyFont="1" applyFill="1"/>
    <xf numFmtId="180" fontId="12" fillId="2" borderId="0" xfId="0" applyNumberFormat="1" applyFont="1" applyFill="1"/>
    <xf numFmtId="167" fontId="13" fillId="0" borderId="0" xfId="0" applyNumberFormat="1" applyFont="1"/>
    <xf numFmtId="176" fontId="13" fillId="0" borderId="0" xfId="0" applyNumberFormat="1" applyFont="1"/>
    <xf numFmtId="171" fontId="14" fillId="0" borderId="0" xfId="0" applyNumberFormat="1" applyFont="1"/>
    <xf numFmtId="168" fontId="0" fillId="0" borderId="9" xfId="0" applyNumberFormat="1" applyBorder="1"/>
    <xf numFmtId="181" fontId="0" fillId="0" borderId="0" xfId="0" applyNumberFormat="1"/>
    <xf numFmtId="0" fontId="9" fillId="3" borderId="0" xfId="0" applyFont="1" applyFill="1"/>
    <xf numFmtId="0" fontId="0" fillId="3" borderId="0" xfId="0" applyFill="1"/>
    <xf numFmtId="39" fontId="0" fillId="4" borderId="0" xfId="0" applyNumberFormat="1" applyFill="1"/>
    <xf numFmtId="182" fontId="16" fillId="0" borderId="0" xfId="0" applyNumberFormat="1" applyFont="1" applyAlignment="1">
      <alignment horizontal="right" vertical="top" wrapText="1"/>
    </xf>
    <xf numFmtId="183" fontId="16" fillId="0" borderId="0" xfId="0" applyNumberFormat="1" applyFont="1" applyAlignment="1">
      <alignment horizontal="right" vertical="top" wrapText="1"/>
    </xf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6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0FBF-2E02-423F-9D62-5AD16D85975E}">
  <dimension ref="A2:AB110"/>
  <sheetViews>
    <sheetView showGridLines="0" tabSelected="1" topLeftCell="A39" zoomScale="84" zoomScaleNormal="84" workbookViewId="0">
      <selection activeCell="G14" sqref="G14"/>
    </sheetView>
  </sheetViews>
  <sheetFormatPr defaultRowHeight="14.4" x14ac:dyDescent="0.3"/>
  <cols>
    <col min="1" max="1" width="1.88671875" customWidth="1"/>
    <col min="2" max="2" width="42.33203125" bestFit="1" customWidth="1"/>
    <col min="3" max="3" width="16.5546875" bestFit="1" customWidth="1"/>
    <col min="4" max="4" width="11.5546875" bestFit="1" customWidth="1"/>
    <col min="9" max="9" width="10.5546875" bestFit="1" customWidth="1"/>
    <col min="15" max="15" width="9" bestFit="1" customWidth="1"/>
    <col min="16" max="16" width="13.21875" bestFit="1" customWidth="1"/>
    <col min="17" max="17" width="12.21875" bestFit="1" customWidth="1"/>
    <col min="18" max="18" width="9" bestFit="1" customWidth="1"/>
    <col min="19" max="19" width="12" bestFit="1" customWidth="1"/>
    <col min="22" max="22" width="10.44140625" customWidth="1"/>
    <col min="25" max="25" width="19.33203125" bestFit="1" customWidth="1"/>
    <col min="26" max="26" width="16.5546875" bestFit="1" customWidth="1"/>
    <col min="27" max="27" width="11.5546875" bestFit="1" customWidth="1"/>
  </cols>
  <sheetData>
    <row r="2" spans="1:19" ht="25.8" x14ac:dyDescent="0.5">
      <c r="B2" s="18" t="s">
        <v>78</v>
      </c>
      <c r="C2" s="17" t="s">
        <v>81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x14ac:dyDescent="0.3">
      <c r="P3" s="15"/>
    </row>
    <row r="4" spans="1:19" x14ac:dyDescent="0.3">
      <c r="A4" t="s">
        <v>17</v>
      </c>
      <c r="B4" s="5" t="s">
        <v>0</v>
      </c>
      <c r="D4" s="7"/>
      <c r="E4" s="7"/>
      <c r="F4" s="7"/>
      <c r="G4" s="7"/>
      <c r="H4" s="7"/>
      <c r="I4" s="13"/>
      <c r="J4" s="2"/>
      <c r="K4" s="2"/>
      <c r="L4" s="2"/>
      <c r="M4" s="2"/>
    </row>
    <row r="5" spans="1:19" ht="16.2" x14ac:dyDescent="0.45">
      <c r="B5" s="11"/>
      <c r="C5" s="1"/>
      <c r="D5" s="21" t="s">
        <v>1</v>
      </c>
      <c r="E5" s="21"/>
      <c r="F5" s="21"/>
      <c r="G5" s="21"/>
      <c r="H5" s="7"/>
      <c r="I5" s="20" t="s">
        <v>2</v>
      </c>
      <c r="J5" s="21"/>
      <c r="K5" s="21"/>
      <c r="L5" s="21"/>
      <c r="M5" s="21"/>
    </row>
    <row r="6" spans="1:19" s="2" customFormat="1" x14ac:dyDescent="0.3">
      <c r="B6" s="2" t="s">
        <v>3</v>
      </c>
      <c r="C6" s="8"/>
      <c r="D6" s="9">
        <v>2019</v>
      </c>
      <c r="E6" s="9">
        <f>D6+1</f>
        <v>2020</v>
      </c>
      <c r="F6" s="9">
        <f t="shared" ref="F6:G6" si="0">E6+1</f>
        <v>2021</v>
      </c>
      <c r="G6" s="9">
        <f t="shared" si="0"/>
        <v>2022</v>
      </c>
      <c r="I6" s="19">
        <f>2023</f>
        <v>2023</v>
      </c>
      <c r="J6" s="19">
        <f>I6+1</f>
        <v>2024</v>
      </c>
      <c r="K6" s="19">
        <f t="shared" ref="K6:M6" si="1">J6+1</f>
        <v>2025</v>
      </c>
      <c r="L6" s="19">
        <f t="shared" si="1"/>
        <v>2026</v>
      </c>
      <c r="M6" s="19">
        <f t="shared" si="1"/>
        <v>2027</v>
      </c>
      <c r="P6" s="90"/>
    </row>
    <row r="7" spans="1:19" x14ac:dyDescent="0.3">
      <c r="B7" s="2"/>
    </row>
    <row r="8" spans="1:19" s="11" customFormat="1" x14ac:dyDescent="0.3">
      <c r="A8"/>
      <c r="B8" t="s">
        <v>4</v>
      </c>
      <c r="C8" s="3"/>
      <c r="D8" s="88">
        <v>20156.447</v>
      </c>
      <c r="E8" s="88">
        <v>24996.056</v>
      </c>
      <c r="F8" s="88">
        <v>29697.844000000001</v>
      </c>
      <c r="G8" s="88">
        <v>31615.55</v>
      </c>
      <c r="I8" s="11">
        <f>F8*(1+I9)</f>
        <v>32073.671520000004</v>
      </c>
      <c r="J8" s="11">
        <f>I8*(1+J9)</f>
        <v>34960.301956800009</v>
      </c>
      <c r="K8" s="11">
        <f t="shared" ref="K8:M8" si="2">J8*(1+K9)</f>
        <v>38456.332152480012</v>
      </c>
      <c r="L8" s="11">
        <f t="shared" si="2"/>
        <v>42301.965367728015</v>
      </c>
      <c r="M8" s="11">
        <f t="shared" si="2"/>
        <v>46532.161904500819</v>
      </c>
      <c r="P8" s="88"/>
      <c r="Q8" s="88"/>
      <c r="R8" s="88"/>
      <c r="S8" s="88"/>
    </row>
    <row r="9" spans="1:19" s="14" customFormat="1" x14ac:dyDescent="0.3">
      <c r="A9" s="2"/>
      <c r="B9" s="12" t="s">
        <v>5</v>
      </c>
      <c r="C9" s="2"/>
      <c r="D9" s="2"/>
      <c r="E9" s="14">
        <f>(E8-D8)/D8</f>
        <v>0.24010228588401519</v>
      </c>
      <c r="F9" s="14">
        <f t="shared" ref="F9:G9" si="3">(F8-E8)/E8</f>
        <v>0.18810119484449869</v>
      </c>
      <c r="G9" s="14">
        <f t="shared" si="3"/>
        <v>6.45739131769969E-2</v>
      </c>
      <c r="I9" s="82">
        <v>0.08</v>
      </c>
      <c r="J9" s="82">
        <v>0.09</v>
      </c>
      <c r="K9" s="82">
        <v>0.1</v>
      </c>
      <c r="L9" s="82">
        <v>0.1</v>
      </c>
      <c r="M9" s="82">
        <v>0.1</v>
      </c>
    </row>
    <row r="10" spans="1:19" s="11" customFormat="1" x14ac:dyDescent="0.3">
      <c r="A10"/>
      <c r="B10" t="s">
        <v>6</v>
      </c>
      <c r="C10" s="3"/>
      <c r="D10" s="88">
        <v>2707.8330000000001</v>
      </c>
      <c r="E10" s="88">
        <v>4700.9989999999998</v>
      </c>
      <c r="F10" s="88">
        <v>6402.9210000000003</v>
      </c>
      <c r="G10" s="88">
        <v>5969.5129999999999</v>
      </c>
      <c r="I10" s="11">
        <f>I11*I8</f>
        <v>5773.2608736000002</v>
      </c>
      <c r="J10" s="11">
        <f t="shared" ref="J10:M10" si="4">J11*J8</f>
        <v>6642.457371792002</v>
      </c>
      <c r="K10" s="11">
        <f t="shared" si="4"/>
        <v>7691.2664304960026</v>
      </c>
      <c r="L10" s="11">
        <f t="shared" si="4"/>
        <v>8460.3930735456033</v>
      </c>
      <c r="M10" s="11">
        <f t="shared" si="4"/>
        <v>9306.4323809001635</v>
      </c>
    </row>
    <row r="11" spans="1:19" s="13" customFormat="1" x14ac:dyDescent="0.3">
      <c r="A11" s="2"/>
      <c r="B11" s="12" t="s">
        <v>7</v>
      </c>
      <c r="C11" s="2"/>
      <c r="D11" s="13">
        <f>D10/D8</f>
        <v>0.13434078932661098</v>
      </c>
      <c r="E11" s="13">
        <f t="shared" ref="E11:G11" si="5">E10/E8</f>
        <v>0.18806962986480746</v>
      </c>
      <c r="F11" s="13">
        <f t="shared" si="5"/>
        <v>0.21560221678045047</v>
      </c>
      <c r="G11" s="13">
        <f t="shared" si="5"/>
        <v>0.18881572517321382</v>
      </c>
      <c r="I11" s="13">
        <v>0.18</v>
      </c>
      <c r="J11" s="13">
        <v>0.19</v>
      </c>
      <c r="K11" s="13">
        <v>0.2</v>
      </c>
      <c r="L11" s="13">
        <v>0.2</v>
      </c>
      <c r="M11" s="13">
        <v>0.2</v>
      </c>
    </row>
    <row r="12" spans="1:19" s="11" customFormat="1" x14ac:dyDescent="0.3">
      <c r="A12"/>
      <c r="B12" t="s">
        <v>8</v>
      </c>
      <c r="C12"/>
      <c r="D12" s="88">
        <v>2604.2539999999999</v>
      </c>
      <c r="E12" s="88">
        <v>4585.2889999999998</v>
      </c>
      <c r="F12" s="88">
        <v>6194.509</v>
      </c>
      <c r="G12" s="88">
        <v>5632.8310000000001</v>
      </c>
      <c r="I12" s="11">
        <f>I13*I8</f>
        <v>5131.7874432000008</v>
      </c>
      <c r="J12" s="11">
        <f t="shared" ref="J12:L12" si="6">J13*J8</f>
        <v>5943.251332656002</v>
      </c>
      <c r="K12" s="11">
        <f t="shared" si="6"/>
        <v>6922.1397874464019</v>
      </c>
      <c r="L12" s="11">
        <f t="shared" si="6"/>
        <v>7614.3537661910423</v>
      </c>
      <c r="M12" s="11">
        <f>M13*M8</f>
        <v>8375.7891428101466</v>
      </c>
    </row>
    <row r="13" spans="1:19" s="13" customFormat="1" x14ac:dyDescent="0.3">
      <c r="A13" s="2"/>
      <c r="B13" s="12" t="s">
        <v>7</v>
      </c>
      <c r="C13" s="2"/>
      <c r="D13" s="13">
        <f>D12/D8</f>
        <v>0.12920203645017397</v>
      </c>
      <c r="E13" s="13">
        <f t="shared" ref="E13:G13" si="7">E12/E8</f>
        <v>0.18344049957321265</v>
      </c>
      <c r="F13" s="13">
        <f t="shared" si="7"/>
        <v>0.20858446828665406</v>
      </c>
      <c r="G13" s="13">
        <f t="shared" si="7"/>
        <v>0.17816647187855345</v>
      </c>
      <c r="I13" s="13">
        <v>0.16</v>
      </c>
      <c r="J13" s="13">
        <v>0.17</v>
      </c>
      <c r="K13" s="13">
        <v>0.18</v>
      </c>
      <c r="L13" s="13">
        <v>0.18</v>
      </c>
      <c r="M13" s="13">
        <v>0.18</v>
      </c>
      <c r="S13" s="11"/>
    </row>
    <row r="14" spans="1:19" x14ac:dyDescent="0.3">
      <c r="B14" s="4"/>
      <c r="P14" s="11"/>
      <c r="S14" s="84"/>
    </row>
    <row r="15" spans="1:19" s="11" customFormat="1" x14ac:dyDescent="0.3">
      <c r="A15"/>
      <c r="B15" t="s">
        <v>9</v>
      </c>
      <c r="C15" s="3"/>
      <c r="D15" s="11">
        <f>D12*D16</f>
        <v>246.64889633999999</v>
      </c>
      <c r="E15" s="11">
        <f t="shared" ref="E15:G15" si="8">E12*E16</f>
        <v>627.67104063199997</v>
      </c>
      <c r="F15" s="11">
        <f t="shared" si="8"/>
        <v>767.80319604099998</v>
      </c>
      <c r="G15" s="11">
        <f t="shared" si="8"/>
        <v>826.10536162900007</v>
      </c>
      <c r="I15" s="11">
        <f>I16*I12</f>
        <v>769.76811648000012</v>
      </c>
      <c r="J15" s="11">
        <f t="shared" ref="J15:M15" si="9">J16*J12</f>
        <v>891.48769989840025</v>
      </c>
      <c r="K15" s="11">
        <f t="shared" si="9"/>
        <v>1038.3209681169603</v>
      </c>
      <c r="L15" s="11">
        <f t="shared" si="9"/>
        <v>1142.1530649286562</v>
      </c>
      <c r="M15" s="11">
        <f t="shared" si="9"/>
        <v>1256.3683714215219</v>
      </c>
    </row>
    <row r="16" spans="1:19" s="13" customFormat="1" x14ac:dyDescent="0.3">
      <c r="A16" s="2"/>
      <c r="B16" s="12" t="s">
        <v>10</v>
      </c>
      <c r="C16" s="2"/>
      <c r="D16" s="89">
        <v>9.4710000000000003E-2</v>
      </c>
      <c r="E16" s="89">
        <v>0.13688800000000001</v>
      </c>
      <c r="F16" s="89">
        <v>0.123949</v>
      </c>
      <c r="G16" s="89">
        <v>0.14665900000000001</v>
      </c>
      <c r="I16" s="13">
        <v>0.15</v>
      </c>
      <c r="J16" s="13">
        <v>0.15</v>
      </c>
      <c r="K16" s="13">
        <v>0.15</v>
      </c>
      <c r="L16" s="13">
        <v>0.15</v>
      </c>
      <c r="M16" s="13">
        <v>0.15</v>
      </c>
    </row>
    <row r="17" spans="1:20" s="11" customFormat="1" x14ac:dyDescent="0.3">
      <c r="A17" t="s">
        <v>17</v>
      </c>
      <c r="B17" s="5" t="s">
        <v>11</v>
      </c>
      <c r="C17" s="5"/>
      <c r="D17" s="15">
        <f>D12-D15</f>
        <v>2357.6051036599997</v>
      </c>
      <c r="E17" s="15">
        <f t="shared" ref="E17:M17" si="10">E12-E15</f>
        <v>3957.6179593679999</v>
      </c>
      <c r="F17" s="15">
        <f t="shared" si="10"/>
        <v>5426.7058039590001</v>
      </c>
      <c r="G17" s="15">
        <f t="shared" si="10"/>
        <v>4806.7256383710001</v>
      </c>
      <c r="H17" s="15"/>
      <c r="I17" s="15">
        <f t="shared" si="10"/>
        <v>4362.0193267200011</v>
      </c>
      <c r="J17" s="15">
        <f t="shared" si="10"/>
        <v>5051.763632757602</v>
      </c>
      <c r="K17" s="15">
        <f t="shared" si="10"/>
        <v>5883.8188193294418</v>
      </c>
      <c r="L17" s="15">
        <f t="shared" si="10"/>
        <v>6472.2007012623862</v>
      </c>
      <c r="M17" s="15">
        <f t="shared" si="10"/>
        <v>7119.4207713886244</v>
      </c>
    </row>
    <row r="19" spans="1:20" s="11" customFormat="1" x14ac:dyDescent="0.3">
      <c r="A19"/>
      <c r="B19" t="s">
        <v>12</v>
      </c>
      <c r="C19"/>
      <c r="D19" s="11">
        <f>D10-D12</f>
        <v>103.57900000000018</v>
      </c>
      <c r="E19" s="11">
        <f t="shared" ref="E19:G19" si="11">E10-E12</f>
        <v>115.71000000000004</v>
      </c>
      <c r="F19" s="11">
        <f t="shared" si="11"/>
        <v>208.41200000000026</v>
      </c>
      <c r="G19" s="11">
        <f t="shared" si="11"/>
        <v>336.68199999999979</v>
      </c>
      <c r="I19" s="11">
        <f>I10-I12</f>
        <v>641.47343039999942</v>
      </c>
      <c r="J19" s="11">
        <f>J10-J12</f>
        <v>699.20603913600007</v>
      </c>
      <c r="K19" s="11">
        <f t="shared" ref="K19:M19" si="12">K10-K12</f>
        <v>769.12664304960072</v>
      </c>
      <c r="L19" s="11">
        <f t="shared" si="12"/>
        <v>846.03930735456106</v>
      </c>
      <c r="M19" s="11">
        <f t="shared" si="12"/>
        <v>930.64323809001689</v>
      </c>
    </row>
    <row r="20" spans="1:20" s="11" customFormat="1" x14ac:dyDescent="0.3">
      <c r="A20"/>
      <c r="B20" t="s">
        <v>13</v>
      </c>
      <c r="C20"/>
      <c r="D20" s="88">
        <v>-4917.3</v>
      </c>
      <c r="E20" s="88">
        <v>11.352</v>
      </c>
      <c r="F20" s="88">
        <v>61.722000000000001</v>
      </c>
      <c r="G20" s="88">
        <v>1064.9649999999999</v>
      </c>
      <c r="I20" s="11">
        <f>$T$24*I8</f>
        <v>-1665.7409421898797</v>
      </c>
      <c r="J20" s="11">
        <f t="shared" ref="J20:M20" si="13">$T$24*J8</f>
        <v>-1815.6576269869693</v>
      </c>
      <c r="K20" s="11">
        <f t="shared" si="13"/>
        <v>-1997.2233896856662</v>
      </c>
      <c r="L20" s="11">
        <f t="shared" si="13"/>
        <v>-2196.9457286542329</v>
      </c>
      <c r="M20" s="11">
        <f t="shared" si="13"/>
        <v>-2416.6403015196565</v>
      </c>
    </row>
    <row r="21" spans="1:20" s="11" customFormat="1" x14ac:dyDescent="0.3">
      <c r="A21"/>
      <c r="B21" t="s">
        <v>14</v>
      </c>
      <c r="C21"/>
      <c r="D21" s="88">
        <v>-253</v>
      </c>
      <c r="E21" s="88">
        <v>-497.9</v>
      </c>
      <c r="F21" s="88">
        <v>-524.6</v>
      </c>
      <c r="G21" s="88">
        <v>-407.7</v>
      </c>
      <c r="I21" s="11">
        <f>I22*I8</f>
        <v>-505.40964079792855</v>
      </c>
      <c r="J21" s="11">
        <f t="shared" ref="J21:M21" si="14">J22*J8</f>
        <v>-550.89650846974223</v>
      </c>
      <c r="K21" s="11">
        <f t="shared" si="14"/>
        <v>-605.98615931671645</v>
      </c>
      <c r="L21" s="11">
        <f t="shared" si="14"/>
        <v>-666.58477524838815</v>
      </c>
      <c r="M21" s="11">
        <f t="shared" si="14"/>
        <v>-733.24325277322703</v>
      </c>
    </row>
    <row r="22" spans="1:20" s="14" customFormat="1" x14ac:dyDescent="0.3">
      <c r="A22" s="2"/>
      <c r="B22" s="12" t="s">
        <v>15</v>
      </c>
      <c r="C22" s="2"/>
      <c r="D22" s="14">
        <f>D21/D8</f>
        <v>-1.2551815307529149E-2</v>
      </c>
      <c r="E22" s="14">
        <f t="shared" ref="E22:G22" si="15">E21/E8</f>
        <v>-1.991914244391195E-2</v>
      </c>
      <c r="F22" s="14">
        <f t="shared" si="15"/>
        <v>-1.7664581981102736E-2</v>
      </c>
      <c r="G22" s="14">
        <f t="shared" si="15"/>
        <v>-1.2895552979467382E-2</v>
      </c>
      <c r="I22" s="14">
        <f>AVERAGE($D$22:$G$22)</f>
        <v>-1.5757773178002806E-2</v>
      </c>
      <c r="J22" s="14">
        <f t="shared" ref="J22:M22" si="16">AVERAGE($D$22:$G$22)</f>
        <v>-1.5757773178002806E-2</v>
      </c>
      <c r="K22" s="14">
        <f t="shared" si="16"/>
        <v>-1.5757773178002806E-2</v>
      </c>
      <c r="L22" s="14">
        <f t="shared" si="16"/>
        <v>-1.5757773178002806E-2</v>
      </c>
      <c r="M22" s="14">
        <f t="shared" si="16"/>
        <v>-1.5757773178002806E-2</v>
      </c>
      <c r="O22" s="14">
        <v>-3.2000000000000001E-2</v>
      </c>
    </row>
    <row r="23" spans="1:20" x14ac:dyDescent="0.3">
      <c r="O23" s="17" t="s">
        <v>72</v>
      </c>
      <c r="P23" s="17"/>
      <c r="Q23" s="17"/>
      <c r="R23" s="17"/>
      <c r="S23" s="17"/>
      <c r="T23" s="17"/>
    </row>
    <row r="24" spans="1:20" s="11" customFormat="1" x14ac:dyDescent="0.3">
      <c r="A24"/>
      <c r="B24" s="5" t="s">
        <v>16</v>
      </c>
      <c r="C24" s="5"/>
      <c r="D24" s="22">
        <f>D17+D19-D20+D21</f>
        <v>7125.4841036600001</v>
      </c>
      <c r="E24" s="22">
        <f t="shared" ref="E24:F24" si="17">E17+E19-E20+E21</f>
        <v>3564.075959368</v>
      </c>
      <c r="F24" s="22">
        <f t="shared" si="17"/>
        <v>5048.7958039590003</v>
      </c>
      <c r="G24" s="22">
        <f>G17+G19-G20+G21</f>
        <v>3670.7426383709999</v>
      </c>
      <c r="H24" s="22"/>
      <c r="I24" s="22">
        <f>I17+I19-I20+I21</f>
        <v>6163.8240585119511</v>
      </c>
      <c r="J24" s="22">
        <f t="shared" ref="J24:M24" si="18">J17+J19-J20+J21</f>
        <v>7015.7307904108293</v>
      </c>
      <c r="K24" s="22">
        <f t="shared" si="18"/>
        <v>8044.1826927479933</v>
      </c>
      <c r="L24" s="22">
        <f>L17+L19-L20+L21</f>
        <v>8848.6009620227924</v>
      </c>
      <c r="M24" s="22">
        <f t="shared" si="18"/>
        <v>9733.4610582250716</v>
      </c>
      <c r="O24" s="10">
        <f>D20/D8</f>
        <v>-0.24395668542179086</v>
      </c>
      <c r="P24" s="10">
        <f>E20/E8</f>
        <v>4.5415164696382504E-4</v>
      </c>
      <c r="Q24" s="10">
        <f t="shared" ref="Q24:R24" si="19">F20/F8</f>
        <v>2.0783326897400364E-3</v>
      </c>
      <c r="R24" s="10">
        <f t="shared" si="19"/>
        <v>3.3684848120624188E-2</v>
      </c>
      <c r="S24" s="10"/>
      <c r="T24" s="70">
        <f>AVERAGE(O24:R24)</f>
        <v>-5.1934838241115701E-2</v>
      </c>
    </row>
    <row r="25" spans="1:20" s="15" customFormat="1" x14ac:dyDescent="0.3">
      <c r="A25" s="5" t="s">
        <v>17</v>
      </c>
      <c r="B25" s="5" t="s">
        <v>33</v>
      </c>
      <c r="C25" s="5"/>
      <c r="I25" s="73">
        <f>I24/(1+$C$85)^D28</f>
        <v>5933.0909174747776</v>
      </c>
      <c r="J25" s="73">
        <f>J24/(1+$C$85)^E28</f>
        <v>6256.9866044860564</v>
      </c>
      <c r="K25" s="73">
        <f>K24/(1+$C$85)^F28</f>
        <v>6647.154517594754</v>
      </c>
      <c r="L25" s="73">
        <f>L24/(1+$C$85)^G28</f>
        <v>6774.6989196779296</v>
      </c>
      <c r="M25" s="73">
        <f>M24/(1+$C$85)^H28</f>
        <v>6904.6906207459115</v>
      </c>
    </row>
    <row r="26" spans="1:20" s="11" customFormat="1" x14ac:dyDescent="0.3">
      <c r="A26"/>
      <c r="B26"/>
      <c r="C26"/>
    </row>
    <row r="27" spans="1:20" s="11" customFormat="1" x14ac:dyDescent="0.3">
      <c r="A27"/>
      <c r="B27"/>
      <c r="C27"/>
      <c r="J27"/>
    </row>
    <row r="28" spans="1:20" s="11" customFormat="1" x14ac:dyDescent="0.3">
      <c r="A28"/>
      <c r="B28" t="s">
        <v>34</v>
      </c>
      <c r="C28" s="6"/>
      <c r="D28" s="11">
        <v>0.5</v>
      </c>
      <c r="E28" s="11">
        <v>1.5</v>
      </c>
      <c r="F28" s="11">
        <v>2.5</v>
      </c>
      <c r="G28" s="11">
        <v>3.5</v>
      </c>
      <c r="H28" s="11">
        <v>4.5</v>
      </c>
    </row>
    <row r="31" spans="1:20" x14ac:dyDescent="0.3">
      <c r="B31" s="16" t="s">
        <v>35</v>
      </c>
      <c r="C31" s="16"/>
      <c r="E31" s="16" t="s">
        <v>36</v>
      </c>
      <c r="F31" s="17"/>
      <c r="G31" s="17"/>
      <c r="H31" s="17"/>
      <c r="I31" s="17"/>
    </row>
    <row r="32" spans="1:20" x14ac:dyDescent="0.3">
      <c r="B32" t="s">
        <v>37</v>
      </c>
      <c r="C32" s="80">
        <v>0.02</v>
      </c>
      <c r="E32" t="s">
        <v>38</v>
      </c>
      <c r="I32" s="33">
        <f>M10</f>
        <v>9306.4323809001635</v>
      </c>
    </row>
    <row r="33" spans="1:17" x14ac:dyDescent="0.3">
      <c r="B33" s="34" t="s">
        <v>73</v>
      </c>
      <c r="C33" s="33">
        <f>M24*(1+C32)</f>
        <v>9928.1302793895738</v>
      </c>
      <c r="E33" t="s">
        <v>39</v>
      </c>
      <c r="I33" s="81">
        <v>20.29</v>
      </c>
      <c r="J33" t="s">
        <v>80</v>
      </c>
    </row>
    <row r="34" spans="1:17" x14ac:dyDescent="0.3">
      <c r="B34" t="s">
        <v>75</v>
      </c>
      <c r="C34" s="33">
        <f>C33/(C85-C32)</f>
        <v>167448.17737146319</v>
      </c>
      <c r="E34" t="s">
        <v>43</v>
      </c>
      <c r="I34" s="33">
        <f>I32*I33</f>
        <v>188827.5130084643</v>
      </c>
    </row>
    <row r="35" spans="1:17" x14ac:dyDescent="0.3">
      <c r="B35" t="s">
        <v>40</v>
      </c>
      <c r="C35" s="33">
        <f>C34/(1+C85)^H28</f>
        <v>118783.83781899801</v>
      </c>
      <c r="E35" t="s">
        <v>40</v>
      </c>
      <c r="I35" s="33">
        <f>I34/(1+C85)^H29</f>
        <v>188827.5130084643</v>
      </c>
      <c r="P35" s="71"/>
      <c r="Q35" s="71"/>
    </row>
    <row r="36" spans="1:17" x14ac:dyDescent="0.3">
      <c r="B36" t="s">
        <v>41</v>
      </c>
      <c r="C36" s="3">
        <f>SUM(I25:M25)</f>
        <v>32516.621579979426</v>
      </c>
      <c r="E36" t="s">
        <v>41</v>
      </c>
      <c r="I36" s="33">
        <f>C36</f>
        <v>32516.621579979426</v>
      </c>
      <c r="P36" s="71"/>
    </row>
    <row r="37" spans="1:17" x14ac:dyDescent="0.3">
      <c r="A37" t="s">
        <v>17</v>
      </c>
      <c r="B37" s="5" t="s">
        <v>42</v>
      </c>
      <c r="C37" s="35">
        <f>SUM(C35:C36)</f>
        <v>151300.45939897743</v>
      </c>
      <c r="D37" s="36"/>
      <c r="E37" s="5" t="s">
        <v>42</v>
      </c>
      <c r="I37" s="35">
        <f>SUM(I35:I36)</f>
        <v>221344.13458844373</v>
      </c>
    </row>
    <row r="39" spans="1:17" x14ac:dyDescent="0.3">
      <c r="B39" s="16" t="s">
        <v>47</v>
      </c>
      <c r="C39" s="17"/>
      <c r="E39" s="16" t="s">
        <v>49</v>
      </c>
      <c r="F39" s="17"/>
      <c r="G39" s="16"/>
      <c r="H39" s="17"/>
      <c r="I39" s="17"/>
    </row>
    <row r="40" spans="1:17" x14ac:dyDescent="0.3">
      <c r="B40" s="43"/>
      <c r="C40" s="44"/>
      <c r="G40" s="49"/>
      <c r="H40" s="50"/>
      <c r="I40" s="50" t="s">
        <v>57</v>
      </c>
    </row>
    <row r="41" spans="1:17" x14ac:dyDescent="0.3">
      <c r="B41" s="52" t="s">
        <v>51</v>
      </c>
      <c r="C41" s="45"/>
      <c r="E41" t="s">
        <v>58</v>
      </c>
      <c r="G41" s="42"/>
      <c r="H41" s="42"/>
      <c r="I41" s="55">
        <v>445.3</v>
      </c>
    </row>
    <row r="42" spans="1:17" x14ac:dyDescent="0.3">
      <c r="B42" s="4" t="s">
        <v>52</v>
      </c>
      <c r="C42" s="53">
        <v>16931</v>
      </c>
      <c r="E42" s="43" t="s">
        <v>59</v>
      </c>
      <c r="G42" s="42"/>
      <c r="H42" s="42"/>
      <c r="I42" s="55">
        <v>0</v>
      </c>
    </row>
    <row r="43" spans="1:17" x14ac:dyDescent="0.3">
      <c r="B43" s="4" t="s">
        <v>53</v>
      </c>
      <c r="C43" s="53">
        <v>0</v>
      </c>
      <c r="E43" s="43" t="s">
        <v>60</v>
      </c>
      <c r="G43" s="42"/>
      <c r="H43" s="42"/>
      <c r="I43" s="56">
        <v>0</v>
      </c>
    </row>
    <row r="44" spans="1:17" x14ac:dyDescent="0.3">
      <c r="B44" s="4" t="s">
        <v>54</v>
      </c>
      <c r="C44" s="53">
        <v>0</v>
      </c>
      <c r="E44" t="s">
        <v>53</v>
      </c>
      <c r="G44" s="42"/>
      <c r="H44" s="42"/>
      <c r="I44" s="56">
        <v>0</v>
      </c>
    </row>
    <row r="45" spans="1:17" x14ac:dyDescent="0.3">
      <c r="B45" s="46" t="s">
        <v>55</v>
      </c>
      <c r="C45" s="53">
        <v>0</v>
      </c>
      <c r="E45" t="s">
        <v>61</v>
      </c>
      <c r="G45" s="42"/>
      <c r="H45" s="42"/>
      <c r="I45" s="56">
        <v>0</v>
      </c>
    </row>
    <row r="46" spans="1:17" x14ac:dyDescent="0.3">
      <c r="B46" s="52" t="s">
        <v>56</v>
      </c>
      <c r="C46" s="54"/>
      <c r="E46" s="51" t="s">
        <v>62</v>
      </c>
      <c r="I46" s="57">
        <f>SUM(I41:I45)</f>
        <v>445.3</v>
      </c>
    </row>
    <row r="47" spans="1:17" x14ac:dyDescent="0.3">
      <c r="B47" s="47" t="s">
        <v>74</v>
      </c>
      <c r="C47" s="53">
        <v>6058</v>
      </c>
    </row>
    <row r="48" spans="1:17" x14ac:dyDescent="0.3">
      <c r="B48" s="47"/>
      <c r="C48" s="53"/>
    </row>
    <row r="50" spans="1:12" x14ac:dyDescent="0.3">
      <c r="A50" t="s">
        <v>17</v>
      </c>
      <c r="B50" s="48" t="s">
        <v>47</v>
      </c>
      <c r="C50" s="22">
        <f>C42-C47</f>
        <v>10873</v>
      </c>
    </row>
    <row r="52" spans="1:12" x14ac:dyDescent="0.3">
      <c r="A52" t="s">
        <v>17</v>
      </c>
      <c r="B52" s="16" t="s">
        <v>44</v>
      </c>
      <c r="C52" s="17"/>
      <c r="D52" s="17"/>
    </row>
    <row r="53" spans="1:12" ht="16.2" x14ac:dyDescent="0.45">
      <c r="C53" s="37" t="s">
        <v>45</v>
      </c>
      <c r="D53" s="37" t="s">
        <v>6</v>
      </c>
    </row>
    <row r="54" spans="1:12" x14ac:dyDescent="0.3">
      <c r="B54" t="s">
        <v>46</v>
      </c>
      <c r="C54" s="38">
        <f>C37</f>
        <v>151300.45939897743</v>
      </c>
      <c r="D54" s="38">
        <f>I37</f>
        <v>221344.13458844373</v>
      </c>
    </row>
    <row r="55" spans="1:12" x14ac:dyDescent="0.3">
      <c r="B55" t="s">
        <v>47</v>
      </c>
      <c r="C55" s="39">
        <f>$C$50</f>
        <v>10873</v>
      </c>
      <c r="D55" s="39">
        <f>C55</f>
        <v>10873</v>
      </c>
    </row>
    <row r="56" spans="1:12" x14ac:dyDescent="0.3">
      <c r="B56" t="s">
        <v>48</v>
      </c>
      <c r="C56" s="40">
        <f>C54-C55</f>
        <v>140427.45939897743</v>
      </c>
      <c r="D56" s="40">
        <f>D54-D55</f>
        <v>210471.13458844373</v>
      </c>
    </row>
    <row r="57" spans="1:12" x14ac:dyDescent="0.3">
      <c r="B57" t="s">
        <v>49</v>
      </c>
      <c r="C57" s="40">
        <f>I46</f>
        <v>445.3</v>
      </c>
      <c r="D57" s="40">
        <f>C57</f>
        <v>445.3</v>
      </c>
    </row>
    <row r="58" spans="1:12" x14ac:dyDescent="0.3">
      <c r="B58" s="58" t="s">
        <v>50</v>
      </c>
      <c r="C58" s="74">
        <f>C56/C57</f>
        <v>315.35472580053317</v>
      </c>
      <c r="D58" s="75">
        <f t="shared" ref="D58" si="20">D56/D57</f>
        <v>472.65020118671396</v>
      </c>
      <c r="F58" s="69"/>
      <c r="G58" s="69"/>
    </row>
    <row r="61" spans="1:12" x14ac:dyDescent="0.3">
      <c r="L61" s="11"/>
    </row>
    <row r="62" spans="1:12" x14ac:dyDescent="0.3">
      <c r="B62" s="5"/>
      <c r="C62" s="41"/>
      <c r="D62" s="41"/>
    </row>
    <row r="63" spans="1:12" x14ac:dyDescent="0.3">
      <c r="B63" s="5"/>
      <c r="C63" s="41"/>
      <c r="D63" s="41"/>
      <c r="L63" s="11"/>
    </row>
    <row r="64" spans="1:12" x14ac:dyDescent="0.3">
      <c r="B64" s="5"/>
      <c r="C64" s="41"/>
      <c r="D64" s="41"/>
    </row>
    <row r="65" spans="1:22" x14ac:dyDescent="0.3">
      <c r="B65" s="5"/>
      <c r="C65" s="41"/>
      <c r="D65" s="41"/>
    </row>
    <row r="66" spans="1:22" ht="25.8" x14ac:dyDescent="0.5">
      <c r="B66" s="18" t="s">
        <v>18</v>
      </c>
      <c r="C66" s="17"/>
    </row>
    <row r="68" spans="1:22" x14ac:dyDescent="0.3">
      <c r="A68" t="s">
        <v>17</v>
      </c>
      <c r="B68" s="72" t="s">
        <v>19</v>
      </c>
      <c r="C68" s="21"/>
    </row>
    <row r="69" spans="1:22" x14ac:dyDescent="0.3">
      <c r="B69" t="s">
        <v>20</v>
      </c>
      <c r="C69" s="24">
        <v>0.04</v>
      </c>
    </row>
    <row r="70" spans="1:22" x14ac:dyDescent="0.3">
      <c r="B70" t="s">
        <v>10</v>
      </c>
      <c r="C70" s="25">
        <v>0.15</v>
      </c>
      <c r="G70">
        <v>698</v>
      </c>
      <c r="I70">
        <v>14353</v>
      </c>
      <c r="J70">
        <f>G70/I70</f>
        <v>4.8630948233818715E-2</v>
      </c>
    </row>
    <row r="71" spans="1:22" x14ac:dyDescent="0.3">
      <c r="B71" t="s">
        <v>21</v>
      </c>
      <c r="C71" s="24">
        <f>C69*(1-C70)</f>
        <v>3.4000000000000002E-2</v>
      </c>
      <c r="I71">
        <v>16931</v>
      </c>
      <c r="J71">
        <f>G70/I71</f>
        <v>4.1226153210088004E-2</v>
      </c>
      <c r="K71" t="s">
        <v>79</v>
      </c>
      <c r="R71" s="32" t="s">
        <v>25</v>
      </c>
      <c r="S71" s="31"/>
      <c r="T71" s="31"/>
      <c r="U71" s="31"/>
      <c r="V71" s="31"/>
    </row>
    <row r="72" spans="1:22" x14ac:dyDescent="0.3">
      <c r="C72" s="24"/>
      <c r="Q72" s="29">
        <f>C85</f>
        <v>7.9290763478214746E-2</v>
      </c>
      <c r="R72" s="77">
        <f>S72-0.005</f>
        <v>0.106</v>
      </c>
      <c r="S72" s="77">
        <f>T72-0.005</f>
        <v>0.111</v>
      </c>
      <c r="T72" s="77">
        <v>0.11600000000000001</v>
      </c>
      <c r="U72" s="77">
        <f>T72+0.005</f>
        <v>0.12100000000000001</v>
      </c>
      <c r="V72" s="77">
        <f>U72+0.005</f>
        <v>0.126</v>
      </c>
    </row>
    <row r="73" spans="1:22" x14ac:dyDescent="0.3">
      <c r="B73" t="s">
        <v>22</v>
      </c>
      <c r="C73" s="24">
        <v>0.04</v>
      </c>
      <c r="Q73" s="78">
        <f>Q74-0.005</f>
        <v>2.4E-2</v>
      </c>
      <c r="R73" s="10">
        <f t="dataTable" ref="R73:V77" dt2D="1" dtr="1" r1="C76" r2="C71" ca="1"/>
        <v>6.918056697340158E-2</v>
      </c>
      <c r="S73" s="10">
        <v>7.1935479593730936E-2</v>
      </c>
      <c r="T73" s="10">
        <v>7.4690392214060305E-2</v>
      </c>
      <c r="U73" s="10">
        <v>7.7445304834389675E-2</v>
      </c>
      <c r="V73" s="10">
        <v>8.0200217454719044E-2</v>
      </c>
    </row>
    <row r="74" spans="1:22" x14ac:dyDescent="0.3">
      <c r="B74" t="s">
        <v>23</v>
      </c>
      <c r="C74" s="26">
        <v>1.27</v>
      </c>
      <c r="P74" s="5" t="s">
        <v>76</v>
      </c>
      <c r="Q74" s="78">
        <f>Q75-0.005</f>
        <v>2.9000000000000001E-2</v>
      </c>
      <c r="R74" s="10">
        <v>7.1425654353072215E-2</v>
      </c>
      <c r="S74" s="10">
        <v>7.4180566973401571E-2</v>
      </c>
      <c r="T74" s="10">
        <v>7.693547959373094E-2</v>
      </c>
      <c r="U74" s="10">
        <v>7.969039221406031E-2</v>
      </c>
      <c r="V74" s="10">
        <v>8.2445304834389679E-2</v>
      </c>
    </row>
    <row r="75" spans="1:22" x14ac:dyDescent="0.3">
      <c r="B75" t="s">
        <v>24</v>
      </c>
      <c r="C75" s="25">
        <v>0.06</v>
      </c>
      <c r="O75" s="5"/>
      <c r="P75" s="5" t="s">
        <v>77</v>
      </c>
      <c r="Q75" s="78">
        <v>3.4000000000000002E-2</v>
      </c>
      <c r="R75" s="10">
        <v>7.367074173274285E-2</v>
      </c>
      <c r="S75" s="10">
        <v>7.642565435307222E-2</v>
      </c>
      <c r="T75" s="83">
        <v>7.9180566973401575E-2</v>
      </c>
      <c r="U75" s="10">
        <v>8.1935479593730945E-2</v>
      </c>
      <c r="V75" s="10">
        <v>8.4690392214060314E-2</v>
      </c>
    </row>
    <row r="76" spans="1:22" x14ac:dyDescent="0.3">
      <c r="B76" t="s">
        <v>25</v>
      </c>
      <c r="C76" s="24">
        <f>C73+C74*C75</f>
        <v>0.1162</v>
      </c>
      <c r="Q76" s="78">
        <f>Q75+0.005</f>
        <v>3.9E-2</v>
      </c>
      <c r="R76" s="10">
        <v>7.5915829112413485E-2</v>
      </c>
      <c r="S76" s="10">
        <v>7.8670741732742855E-2</v>
      </c>
      <c r="T76" s="10">
        <v>8.142565435307221E-2</v>
      </c>
      <c r="U76" s="10">
        <v>8.418056697340158E-2</v>
      </c>
      <c r="V76" s="10">
        <v>8.6935479593730949E-2</v>
      </c>
    </row>
    <row r="77" spans="1:22" x14ac:dyDescent="0.3">
      <c r="Q77" s="78">
        <f>Q76+0.005</f>
        <v>4.3999999999999997E-2</v>
      </c>
      <c r="R77" s="10">
        <v>7.816091649208412E-2</v>
      </c>
      <c r="S77" s="10">
        <v>8.0915829112413476E-2</v>
      </c>
      <c r="T77" s="10">
        <v>8.3670741732742845E-2</v>
      </c>
      <c r="U77" s="10">
        <v>8.6425654353072215E-2</v>
      </c>
      <c r="V77" s="10">
        <v>8.9180566973401584E-2</v>
      </c>
    </row>
    <row r="78" spans="1:22" x14ac:dyDescent="0.3">
      <c r="A78" t="s">
        <v>17</v>
      </c>
      <c r="B78" s="72" t="s">
        <v>27</v>
      </c>
      <c r="C78" s="27"/>
    </row>
    <row r="79" spans="1:22" x14ac:dyDescent="0.3">
      <c r="B79" t="s">
        <v>31</v>
      </c>
      <c r="C79" s="11">
        <v>16932</v>
      </c>
    </row>
    <row r="80" spans="1:22" x14ac:dyDescent="0.3">
      <c r="B80" t="s">
        <v>32</v>
      </c>
      <c r="C80" s="11">
        <v>20777</v>
      </c>
    </row>
    <row r="81" spans="1:22" x14ac:dyDescent="0.3">
      <c r="B81" t="s">
        <v>30</v>
      </c>
      <c r="C81" s="11">
        <v>37709</v>
      </c>
    </row>
    <row r="82" spans="1:22" x14ac:dyDescent="0.3">
      <c r="B82" t="s">
        <v>28</v>
      </c>
      <c r="C82" s="28">
        <f>C79/$C$81</f>
        <v>0.44901747593412711</v>
      </c>
    </row>
    <row r="83" spans="1:22" x14ac:dyDescent="0.3">
      <c r="B83" t="s">
        <v>29</v>
      </c>
      <c r="C83" s="28">
        <f>C80/$C$81</f>
        <v>0.55098252406587289</v>
      </c>
      <c r="Q83" s="21" t="s">
        <v>50</v>
      </c>
      <c r="R83" s="21"/>
      <c r="S83" s="21"/>
      <c r="T83" s="21"/>
      <c r="U83" s="21"/>
      <c r="V83" s="21"/>
    </row>
    <row r="84" spans="1:22" x14ac:dyDescent="0.3">
      <c r="R84" s="30" t="s">
        <v>63</v>
      </c>
      <c r="S84" s="30"/>
      <c r="T84" s="30"/>
      <c r="U84" s="30"/>
      <c r="V84" s="30"/>
    </row>
    <row r="85" spans="1:22" x14ac:dyDescent="0.3">
      <c r="A85" t="s">
        <v>17</v>
      </c>
      <c r="B85" s="58" t="s">
        <v>26</v>
      </c>
      <c r="C85" s="76">
        <f>(C82*C71)+(C83*C76)</f>
        <v>7.9290763478214746E-2</v>
      </c>
      <c r="D85" s="23"/>
      <c r="Q85" s="59">
        <f>C58</f>
        <v>315.35472580053317</v>
      </c>
      <c r="R85" s="78">
        <f>S85-0.005</f>
        <v>9.9999999999999985E-3</v>
      </c>
      <c r="S85" s="78">
        <f>T85-0.005</f>
        <v>1.4999999999999999E-2</v>
      </c>
      <c r="T85" s="78">
        <v>0.02</v>
      </c>
      <c r="U85" s="78">
        <f>T85+0.005</f>
        <v>2.5000000000000001E-2</v>
      </c>
      <c r="V85" s="78">
        <f>U85+0.005</f>
        <v>3.0000000000000002E-2</v>
      </c>
    </row>
    <row r="86" spans="1:22" x14ac:dyDescent="0.3">
      <c r="Q86" s="78">
        <f>Q87+0.005</f>
        <v>8.900000000000001E-2</v>
      </c>
      <c r="R86" s="61">
        <f t="dataTable" ref="R86:V90" dt2D="1" dtr="1" r1="C32" r2="C85"/>
        <v>237.35233932055854</v>
      </c>
      <c r="S86" s="61">
        <v>251.22399226790543</v>
      </c>
      <c r="T86" s="61">
        <v>267.10602970037513</v>
      </c>
      <c r="U86" s="61">
        <v>285.46963548166815</v>
      </c>
      <c r="V86" s="61">
        <v>306.94571681911253</v>
      </c>
    </row>
    <row r="87" spans="1:22" x14ac:dyDescent="0.3">
      <c r="Q87" s="78">
        <f>Q88+0.005</f>
        <v>8.4000000000000005E-2</v>
      </c>
      <c r="R87" s="61">
        <v>255.31763276329977</v>
      </c>
      <c r="S87" s="61">
        <v>271.45755012359319</v>
      </c>
      <c r="T87" s="61">
        <v>290.1193295714325</v>
      </c>
      <c r="U87" s="61">
        <v>311.9441224850072</v>
      </c>
      <c r="V87" s="61">
        <v>337.81054371591057</v>
      </c>
    </row>
    <row r="88" spans="1:22" x14ac:dyDescent="0.3">
      <c r="P88" s="60" t="s">
        <v>18</v>
      </c>
      <c r="Q88" s="78">
        <v>7.9000000000000001E-2</v>
      </c>
      <c r="R88" s="61">
        <v>275.89821500919192</v>
      </c>
      <c r="S88" s="61">
        <v>294.86442190333383</v>
      </c>
      <c r="T88" s="62">
        <v>317.04524013546597</v>
      </c>
      <c r="U88" s="61">
        <v>343.33361729947421</v>
      </c>
      <c r="V88" s="61">
        <v>374.98696939491293</v>
      </c>
    </row>
    <row r="89" spans="1:22" x14ac:dyDescent="0.3">
      <c r="C89" s="85" t="s">
        <v>71</v>
      </c>
      <c r="D89" s="85" t="s">
        <v>68</v>
      </c>
      <c r="E89" s="85" t="s">
        <v>69</v>
      </c>
      <c r="P89" s="60"/>
      <c r="Q89" s="78">
        <f>Q88-0.005</f>
        <v>7.3999999999999996E-2</v>
      </c>
      <c r="R89" s="61">
        <v>299.70734287637083</v>
      </c>
      <c r="S89" s="61">
        <v>322.25168853007756</v>
      </c>
      <c r="T89" s="61">
        <v>348.97091300854481</v>
      </c>
      <c r="U89" s="61">
        <v>381.14304044180125</v>
      </c>
      <c r="V89" s="61">
        <v>420.62701501897971</v>
      </c>
    </row>
    <row r="90" spans="1:22" x14ac:dyDescent="0.3">
      <c r="B90" t="s">
        <v>70</v>
      </c>
      <c r="C90" s="63">
        <v>25.2</v>
      </c>
      <c r="D90" s="61">
        <v>347</v>
      </c>
      <c r="E90" s="2"/>
      <c r="Q90" s="78">
        <f>Q89-0.005</f>
        <v>6.8999999999999992E-2</v>
      </c>
      <c r="R90" s="61">
        <v>327.56616602688842</v>
      </c>
      <c r="S90" s="61">
        <v>354.72535927009523</v>
      </c>
      <c r="T90" s="61">
        <v>387.42724501191555</v>
      </c>
      <c r="U90" s="61">
        <v>427.56137751324036</v>
      </c>
      <c r="V90" s="61">
        <v>477.98631322003331</v>
      </c>
    </row>
    <row r="91" spans="1:22" x14ac:dyDescent="0.3">
      <c r="C91" s="63"/>
      <c r="D91" s="61"/>
      <c r="E91" s="2"/>
    </row>
    <row r="92" spans="1:22" x14ac:dyDescent="0.3">
      <c r="B92" s="86" t="s">
        <v>66</v>
      </c>
      <c r="C92" s="63">
        <f>C93+2</f>
        <v>23.2</v>
      </c>
      <c r="D92" s="87">
        <f>(C92*$I$10)/$I$46</f>
        <v>300.78520608021557</v>
      </c>
      <c r="E92" s="13">
        <f>(D92-$D$90)/$D$90</f>
        <v>-0.13318384414923465</v>
      </c>
    </row>
    <row r="93" spans="1:22" x14ac:dyDescent="0.3">
      <c r="B93" s="86" t="s">
        <v>65</v>
      </c>
      <c r="C93" s="63">
        <v>21.2</v>
      </c>
      <c r="D93" s="87">
        <f>(C93*$I$10)/$I$46</f>
        <v>274.8554469353694</v>
      </c>
      <c r="E93" s="13">
        <f t="shared" ref="E93:E94" si="21">(D93-$D$90)/$D$90</f>
        <v>-0.20790937482602478</v>
      </c>
      <c r="Q93" s="21" t="s">
        <v>50</v>
      </c>
      <c r="R93" s="21"/>
      <c r="S93" s="21"/>
      <c r="T93" s="21"/>
      <c r="U93" s="21"/>
      <c r="V93" s="21"/>
    </row>
    <row r="94" spans="1:22" x14ac:dyDescent="0.3">
      <c r="B94" s="86" t="s">
        <v>67</v>
      </c>
      <c r="C94" s="63">
        <f>C93-2</f>
        <v>19.2</v>
      </c>
      <c r="D94" s="87">
        <f t="shared" ref="D94" si="22">(C94*$I$10)/$I$46</f>
        <v>248.92568779052323</v>
      </c>
      <c r="E94" s="13">
        <f t="shared" si="21"/>
        <v>-0.28263490550281489</v>
      </c>
      <c r="R94" s="30" t="s">
        <v>64</v>
      </c>
      <c r="S94" s="30"/>
      <c r="T94" s="30"/>
      <c r="U94" s="30"/>
      <c r="V94" s="30"/>
    </row>
    <row r="95" spans="1:22" x14ac:dyDescent="0.3">
      <c r="Q95" s="59">
        <f>D58</f>
        <v>472.65020118671396</v>
      </c>
      <c r="R95" s="79">
        <f>S95-0.5</f>
        <v>19.3</v>
      </c>
      <c r="S95" s="79">
        <f>T95-0.5</f>
        <v>19.8</v>
      </c>
      <c r="T95" s="79">
        <v>20.3</v>
      </c>
      <c r="U95" s="79">
        <f>T95+0.5</f>
        <v>20.8</v>
      </c>
      <c r="V95" s="79">
        <f>U95+0.5</f>
        <v>21.3</v>
      </c>
    </row>
    <row r="96" spans="1:22" x14ac:dyDescent="0.3">
      <c r="Q96" s="78">
        <f>Q97+0.005</f>
        <v>8.900000000000001E-2</v>
      </c>
      <c r="R96" s="61">
        <f t="dataTable" ref="R96:V100" dt2D="1" dtr="1" r1="I33" r2="C85" ca="1"/>
        <v>450.30048116657349</v>
      </c>
      <c r="S96" s="61">
        <v>460.75010207483774</v>
      </c>
      <c r="T96" s="61">
        <v>471.19972298310205</v>
      </c>
      <c r="U96" s="61">
        <v>481.6493438913663</v>
      </c>
      <c r="V96" s="61">
        <v>492.09896479963061</v>
      </c>
    </row>
    <row r="97" spans="5:28" x14ac:dyDescent="0.3">
      <c r="Q97" s="78">
        <f>Q98+0.005</f>
        <v>8.4000000000000005E-2</v>
      </c>
      <c r="R97" s="61">
        <v>451.14701442767915</v>
      </c>
      <c r="S97" s="61">
        <v>461.5966353359434</v>
      </c>
      <c r="T97" s="61">
        <v>472.04625624420771</v>
      </c>
      <c r="U97" s="61">
        <v>482.49587715247196</v>
      </c>
      <c r="V97" s="61">
        <v>492.94549806073627</v>
      </c>
    </row>
    <row r="98" spans="5:28" x14ac:dyDescent="0.3">
      <c r="P98" s="60" t="s">
        <v>18</v>
      </c>
      <c r="Q98" s="78">
        <v>7.9000000000000001E-2</v>
      </c>
      <c r="R98" s="61">
        <v>452.01065090279286</v>
      </c>
      <c r="S98" s="61">
        <v>462.46027181105711</v>
      </c>
      <c r="T98" s="62">
        <v>472.90989271932142</v>
      </c>
      <c r="U98" s="61">
        <v>483.35951362758567</v>
      </c>
      <c r="V98" s="61">
        <v>493.80913453584998</v>
      </c>
    </row>
    <row r="99" spans="5:28" x14ac:dyDescent="0.3">
      <c r="E99" t="s">
        <v>82</v>
      </c>
      <c r="P99" s="60"/>
      <c r="Q99" s="78">
        <f>Q98-0.005</f>
        <v>7.3999999999999996E-2</v>
      </c>
      <c r="R99" s="61">
        <v>452.89184261611967</v>
      </c>
      <c r="S99" s="61">
        <v>463.34146352438393</v>
      </c>
      <c r="T99" s="61">
        <v>473.79108443264829</v>
      </c>
      <c r="U99" s="61">
        <v>484.24070534091254</v>
      </c>
      <c r="V99" s="61">
        <v>494.69032624917679</v>
      </c>
    </row>
    <row r="100" spans="5:28" x14ac:dyDescent="0.3">
      <c r="Q100" s="78">
        <f>Q99-0.005</f>
        <v>6.8999999999999992E-2</v>
      </c>
      <c r="R100" s="61">
        <v>453.79105610095161</v>
      </c>
      <c r="S100" s="61">
        <v>464.24067700921586</v>
      </c>
      <c r="T100" s="61">
        <v>474.69029791748017</v>
      </c>
      <c r="U100" s="61">
        <v>485.13991882574442</v>
      </c>
      <c r="V100" s="61">
        <v>495.58953973400872</v>
      </c>
    </row>
    <row r="105" spans="5:28" x14ac:dyDescent="0.3">
      <c r="Z105" s="68" t="s">
        <v>71</v>
      </c>
      <c r="AA105" s="68" t="s">
        <v>68</v>
      </c>
      <c r="AB105" s="17" t="s">
        <v>69</v>
      </c>
    </row>
    <row r="106" spans="5:28" x14ac:dyDescent="0.3">
      <c r="Y106" t="s">
        <v>70</v>
      </c>
      <c r="Z106" s="64">
        <v>11.33</v>
      </c>
      <c r="AA106" s="65">
        <v>140</v>
      </c>
      <c r="AB106" s="66"/>
    </row>
    <row r="107" spans="5:28" x14ac:dyDescent="0.3">
      <c r="Z107" s="64"/>
      <c r="AA107" s="65"/>
      <c r="AB107" s="66"/>
    </row>
    <row r="108" spans="5:28" x14ac:dyDescent="0.3">
      <c r="Y108" t="s">
        <v>66</v>
      </c>
      <c r="Z108" s="64">
        <v>12.5</v>
      </c>
      <c r="AA108" s="65">
        <f>(Z108*$I$10)/$I$46</f>
        <v>162.06099465528857</v>
      </c>
      <c r="AB108" s="67">
        <f>(AA108-$D$90)/$D$90</f>
        <v>-0.53296543327006174</v>
      </c>
    </row>
    <row r="109" spans="5:28" x14ac:dyDescent="0.3">
      <c r="Y109" t="s">
        <v>65</v>
      </c>
      <c r="Z109" s="64">
        <v>11.5</v>
      </c>
      <c r="AA109" s="65">
        <f t="shared" ref="AA109:AA110" si="23">(Z109*$I$10)/$I$46</f>
        <v>149.09611508286548</v>
      </c>
      <c r="AB109" s="67">
        <f t="shared" ref="AB109:AB110" si="24">(AA109-$D$90)/$D$90</f>
        <v>-0.57032819860845685</v>
      </c>
    </row>
    <row r="110" spans="5:28" x14ac:dyDescent="0.3">
      <c r="Y110" t="s">
        <v>67</v>
      </c>
      <c r="Z110" s="64">
        <v>10.5</v>
      </c>
      <c r="AA110" s="65">
        <f t="shared" si="23"/>
        <v>136.13123551044239</v>
      </c>
      <c r="AB110" s="67">
        <f t="shared" si="24"/>
        <v>-0.60769096394685185</v>
      </c>
    </row>
  </sheetData>
  <pageMargins left="0.7" right="0.7" top="0.75" bottom="0.75" header="0.3" footer="0.3"/>
  <pageSetup orientation="portrait" r:id="rId1"/>
  <customProperties>
    <customPr name="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3B31-A767-4047-A563-629E9721715A}">
  <dimension ref="A2:AB110"/>
  <sheetViews>
    <sheetView topLeftCell="A33" zoomScale="81" zoomScaleNormal="81" workbookViewId="0">
      <selection activeCell="R31" sqref="R31"/>
    </sheetView>
  </sheetViews>
  <sheetFormatPr defaultRowHeight="14.4" x14ac:dyDescent="0.3"/>
  <cols>
    <col min="1" max="1" width="1.88671875" customWidth="1"/>
    <col min="2" max="2" width="42.33203125" bestFit="1" customWidth="1"/>
    <col min="3" max="3" width="16.5546875" bestFit="1" customWidth="1"/>
    <col min="4" max="4" width="11.5546875" bestFit="1" customWidth="1"/>
    <col min="9" max="9" width="10.5546875" bestFit="1" customWidth="1"/>
    <col min="15" max="15" width="9" bestFit="1" customWidth="1"/>
    <col min="16" max="16" width="13.21875" bestFit="1" customWidth="1"/>
    <col min="17" max="17" width="12.21875" bestFit="1" customWidth="1"/>
    <col min="18" max="18" width="9" bestFit="1" customWidth="1"/>
    <col min="19" max="19" width="12" bestFit="1" customWidth="1"/>
    <col min="22" max="22" width="10.44140625" customWidth="1"/>
    <col min="25" max="25" width="19.33203125" bestFit="1" customWidth="1"/>
    <col min="26" max="26" width="16.5546875" bestFit="1" customWidth="1"/>
    <col min="27" max="27" width="11.5546875" bestFit="1" customWidth="1"/>
  </cols>
  <sheetData>
    <row r="2" spans="1:19" ht="25.8" x14ac:dyDescent="0.5">
      <c r="B2" s="18" t="s">
        <v>78</v>
      </c>
      <c r="C2" s="17" t="s">
        <v>81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x14ac:dyDescent="0.3">
      <c r="P3" s="15"/>
    </row>
    <row r="4" spans="1:19" x14ac:dyDescent="0.3">
      <c r="A4" t="s">
        <v>17</v>
      </c>
      <c r="B4" s="5" t="s">
        <v>0</v>
      </c>
      <c r="D4" s="7"/>
      <c r="E4" s="7"/>
      <c r="F4" s="7"/>
      <c r="G4" s="7"/>
      <c r="H4" s="7"/>
      <c r="I4" s="13"/>
      <c r="J4" s="2"/>
      <c r="K4" s="2"/>
      <c r="L4" s="2"/>
      <c r="M4" s="2"/>
    </row>
    <row r="5" spans="1:19" ht="16.2" x14ac:dyDescent="0.45">
      <c r="B5" s="11"/>
      <c r="C5" s="1"/>
      <c r="D5" s="21" t="s">
        <v>1</v>
      </c>
      <c r="E5" s="21"/>
      <c r="F5" s="21"/>
      <c r="G5" s="21"/>
      <c r="H5" s="7"/>
      <c r="I5" s="20" t="s">
        <v>2</v>
      </c>
      <c r="J5" s="21"/>
      <c r="K5" s="21"/>
      <c r="L5" s="21"/>
      <c r="M5" s="21"/>
    </row>
    <row r="6" spans="1:19" s="2" customFormat="1" x14ac:dyDescent="0.3">
      <c r="B6" s="2" t="s">
        <v>3</v>
      </c>
      <c r="C6" s="8"/>
      <c r="D6" s="9">
        <v>2019</v>
      </c>
      <c r="E6" s="9">
        <f>D6+1</f>
        <v>2020</v>
      </c>
      <c r="F6" s="9">
        <f t="shared" ref="F6:G6" si="0">E6+1</f>
        <v>2021</v>
      </c>
      <c r="G6" s="9">
        <f t="shared" si="0"/>
        <v>2022</v>
      </c>
      <c r="I6" s="19">
        <f>2023</f>
        <v>2023</v>
      </c>
      <c r="J6" s="19">
        <f>I6+1</f>
        <v>2024</v>
      </c>
      <c r="K6" s="19">
        <f t="shared" ref="K6:M6" si="1">J6+1</f>
        <v>2025</v>
      </c>
      <c r="L6" s="19">
        <f t="shared" si="1"/>
        <v>2026</v>
      </c>
      <c r="M6" s="19">
        <f t="shared" si="1"/>
        <v>2027</v>
      </c>
      <c r="P6" s="90"/>
    </row>
    <row r="7" spans="1:19" x14ac:dyDescent="0.3">
      <c r="B7" s="2"/>
    </row>
    <row r="8" spans="1:19" s="11" customFormat="1" x14ac:dyDescent="0.3">
      <c r="A8"/>
      <c r="B8" t="s">
        <v>4</v>
      </c>
      <c r="C8" s="3"/>
      <c r="D8" s="88">
        <v>20156.447</v>
      </c>
      <c r="E8" s="88">
        <v>24996.056</v>
      </c>
      <c r="F8" s="88">
        <v>29697.844000000001</v>
      </c>
      <c r="G8" s="88">
        <v>31615.55</v>
      </c>
      <c r="I8" s="11">
        <f>F8*(1+I9)</f>
        <v>32667.628400000005</v>
      </c>
      <c r="J8" s="11">
        <f>I8*(1+J9)</f>
        <v>36261.067524000006</v>
      </c>
      <c r="K8" s="11">
        <f t="shared" ref="K8:M8" si="2">J8*(1+K9)</f>
        <v>40612.39562688001</v>
      </c>
      <c r="L8" s="11">
        <f t="shared" si="2"/>
        <v>45485.883102105618</v>
      </c>
      <c r="M8" s="11">
        <f t="shared" si="2"/>
        <v>50944.189074358299</v>
      </c>
      <c r="P8" s="88"/>
      <c r="Q8" s="88"/>
      <c r="R8" s="88"/>
      <c r="S8" s="88"/>
    </row>
    <row r="9" spans="1:19" s="14" customFormat="1" x14ac:dyDescent="0.3">
      <c r="A9" s="2"/>
      <c r="B9" s="12" t="s">
        <v>5</v>
      </c>
      <c r="C9" s="2"/>
      <c r="D9" s="2"/>
      <c r="E9" s="14">
        <f>(E8-D8)/D8</f>
        <v>0.24010228588401519</v>
      </c>
      <c r="F9" s="14">
        <f t="shared" ref="F9:G9" si="3">(F8-E8)/E8</f>
        <v>0.18810119484449869</v>
      </c>
      <c r="G9" s="14">
        <f t="shared" si="3"/>
        <v>6.45739131769969E-2</v>
      </c>
      <c r="I9" s="82">
        <v>0.1</v>
      </c>
      <c r="J9" s="82">
        <v>0.11</v>
      </c>
      <c r="K9" s="82">
        <v>0.12</v>
      </c>
      <c r="L9" s="82">
        <v>0.12</v>
      </c>
      <c r="M9" s="82">
        <v>0.12</v>
      </c>
    </row>
    <row r="10" spans="1:19" s="11" customFormat="1" x14ac:dyDescent="0.3">
      <c r="A10"/>
      <c r="B10" t="s">
        <v>6</v>
      </c>
      <c r="C10" s="3"/>
      <c r="D10" s="88">
        <v>2707.8330000000001</v>
      </c>
      <c r="E10" s="88">
        <v>4700.9989999999998</v>
      </c>
      <c r="F10" s="88">
        <v>6402.9210000000003</v>
      </c>
      <c r="G10" s="88">
        <v>5969.5129999999999</v>
      </c>
      <c r="I10" s="11">
        <f>I11*I8</f>
        <v>7186.8782480000009</v>
      </c>
      <c r="J10" s="11">
        <f t="shared" ref="J10:M10" si="4">J11*J8</f>
        <v>8340.0455305200012</v>
      </c>
      <c r="K10" s="11">
        <f t="shared" si="4"/>
        <v>9746.9749504512019</v>
      </c>
      <c r="L10" s="11">
        <f t="shared" si="4"/>
        <v>10916.611944505348</v>
      </c>
      <c r="M10" s="11">
        <f t="shared" si="4"/>
        <v>12226.605377845992</v>
      </c>
    </row>
    <row r="11" spans="1:19" s="13" customFormat="1" x14ac:dyDescent="0.3">
      <c r="A11" s="2"/>
      <c r="B11" s="12" t="s">
        <v>7</v>
      </c>
      <c r="C11" s="2"/>
      <c r="D11" s="13">
        <f>D10/D8</f>
        <v>0.13434078932661098</v>
      </c>
      <c r="E11" s="13">
        <f t="shared" ref="E11:G11" si="5">E10/E8</f>
        <v>0.18806962986480746</v>
      </c>
      <c r="F11" s="13">
        <f t="shared" si="5"/>
        <v>0.21560221678045047</v>
      </c>
      <c r="G11" s="13">
        <f t="shared" si="5"/>
        <v>0.18881572517321382</v>
      </c>
      <c r="I11" s="13">
        <v>0.22</v>
      </c>
      <c r="J11" s="13">
        <v>0.23</v>
      </c>
      <c r="K11" s="13">
        <v>0.24</v>
      </c>
      <c r="L11" s="13">
        <v>0.24</v>
      </c>
      <c r="M11" s="13">
        <v>0.24</v>
      </c>
    </row>
    <row r="12" spans="1:19" s="11" customFormat="1" x14ac:dyDescent="0.3">
      <c r="A12"/>
      <c r="B12" t="s">
        <v>8</v>
      </c>
      <c r="C12"/>
      <c r="D12" s="88">
        <v>2604.2539999999999</v>
      </c>
      <c r="E12" s="88">
        <v>4585.2889999999998</v>
      </c>
      <c r="F12" s="88">
        <v>6194.509</v>
      </c>
      <c r="G12" s="88">
        <v>5632.8310000000001</v>
      </c>
      <c r="I12" s="11">
        <f>I13*I8</f>
        <v>6533.5256800000016</v>
      </c>
      <c r="J12" s="11">
        <f t="shared" ref="J12:L12" si="6">J13*J8</f>
        <v>7614.824180040001</v>
      </c>
      <c r="K12" s="11">
        <f t="shared" si="6"/>
        <v>8934.7270379136025</v>
      </c>
      <c r="L12" s="11">
        <f t="shared" si="6"/>
        <v>10006.894282463236</v>
      </c>
      <c r="M12" s="11">
        <f>M13*M8</f>
        <v>11207.721596358826</v>
      </c>
    </row>
    <row r="13" spans="1:19" s="13" customFormat="1" x14ac:dyDescent="0.3">
      <c r="A13" s="2"/>
      <c r="B13" s="12" t="s">
        <v>7</v>
      </c>
      <c r="C13" s="2"/>
      <c r="D13" s="13">
        <f>D12/D8</f>
        <v>0.12920203645017397</v>
      </c>
      <c r="E13" s="13">
        <f t="shared" ref="E13:G13" si="7">E12/E8</f>
        <v>0.18344049957321265</v>
      </c>
      <c r="F13" s="13">
        <f t="shared" si="7"/>
        <v>0.20858446828665406</v>
      </c>
      <c r="G13" s="13">
        <f t="shared" si="7"/>
        <v>0.17816647187855345</v>
      </c>
      <c r="I13" s="13">
        <v>0.2</v>
      </c>
      <c r="J13" s="13">
        <v>0.21</v>
      </c>
      <c r="K13" s="13">
        <v>0.22</v>
      </c>
      <c r="L13" s="13">
        <v>0.22</v>
      </c>
      <c r="M13" s="13">
        <v>0.22</v>
      </c>
      <c r="S13" s="11"/>
    </row>
    <row r="14" spans="1:19" x14ac:dyDescent="0.3">
      <c r="B14" s="4"/>
      <c r="P14" s="11"/>
      <c r="S14" s="84"/>
    </row>
    <row r="15" spans="1:19" s="11" customFormat="1" x14ac:dyDescent="0.3">
      <c r="A15"/>
      <c r="B15" t="s">
        <v>9</v>
      </c>
      <c r="C15" s="3"/>
      <c r="D15" s="11">
        <f>D12*D16</f>
        <v>246.64889633999999</v>
      </c>
      <c r="E15" s="11">
        <f t="shared" ref="E15:G15" si="8">E12*E16</f>
        <v>627.67104063199997</v>
      </c>
      <c r="F15" s="11">
        <f t="shared" si="8"/>
        <v>767.80319604099998</v>
      </c>
      <c r="G15" s="11">
        <f t="shared" si="8"/>
        <v>826.10536162900007</v>
      </c>
      <c r="I15" s="11">
        <f>I16*I12</f>
        <v>980.02885200000014</v>
      </c>
      <c r="J15" s="11">
        <f t="shared" ref="J15:M15" si="9">J16*J12</f>
        <v>1142.223627006</v>
      </c>
      <c r="K15" s="11">
        <f t="shared" si="9"/>
        <v>1340.2090556870403</v>
      </c>
      <c r="L15" s="11">
        <f t="shared" si="9"/>
        <v>1501.0341423694854</v>
      </c>
      <c r="M15" s="11">
        <f t="shared" si="9"/>
        <v>1681.1582394538239</v>
      </c>
    </row>
    <row r="16" spans="1:19" s="13" customFormat="1" x14ac:dyDescent="0.3">
      <c r="A16" s="2"/>
      <c r="B16" s="12" t="s">
        <v>10</v>
      </c>
      <c r="C16" s="2"/>
      <c r="D16" s="89">
        <v>9.4710000000000003E-2</v>
      </c>
      <c r="E16" s="89">
        <v>0.13688800000000001</v>
      </c>
      <c r="F16" s="89">
        <v>0.123949</v>
      </c>
      <c r="G16" s="89">
        <v>0.14665900000000001</v>
      </c>
      <c r="I16" s="13">
        <v>0.15</v>
      </c>
      <c r="J16" s="13">
        <v>0.15</v>
      </c>
      <c r="K16" s="13">
        <v>0.15</v>
      </c>
      <c r="L16" s="13">
        <v>0.15</v>
      </c>
      <c r="M16" s="13">
        <v>0.15</v>
      </c>
    </row>
    <row r="17" spans="1:20" s="11" customFormat="1" x14ac:dyDescent="0.3">
      <c r="A17" t="s">
        <v>17</v>
      </c>
      <c r="B17" s="5" t="s">
        <v>11</v>
      </c>
      <c r="C17" s="5"/>
      <c r="D17" s="15">
        <f>D12-D15</f>
        <v>2357.6051036599997</v>
      </c>
      <c r="E17" s="15">
        <f t="shared" ref="E17:M17" si="10">E12-E15</f>
        <v>3957.6179593679999</v>
      </c>
      <c r="F17" s="15">
        <f t="shared" si="10"/>
        <v>5426.7058039590001</v>
      </c>
      <c r="G17" s="15">
        <f t="shared" si="10"/>
        <v>4806.7256383710001</v>
      </c>
      <c r="H17" s="15"/>
      <c r="I17" s="15">
        <f t="shared" si="10"/>
        <v>5553.4968280000012</v>
      </c>
      <c r="J17" s="15">
        <f t="shared" si="10"/>
        <v>6472.6005530340008</v>
      </c>
      <c r="K17" s="15">
        <f t="shared" si="10"/>
        <v>7594.5179822265618</v>
      </c>
      <c r="L17" s="15">
        <f t="shared" si="10"/>
        <v>8505.8601400937514</v>
      </c>
      <c r="M17" s="15">
        <f t="shared" si="10"/>
        <v>9526.5633569050024</v>
      </c>
    </row>
    <row r="19" spans="1:20" s="11" customFormat="1" x14ac:dyDescent="0.3">
      <c r="A19"/>
      <c r="B19" t="s">
        <v>12</v>
      </c>
      <c r="C19"/>
      <c r="D19" s="11">
        <f>D10-D12</f>
        <v>103.57900000000018</v>
      </c>
      <c r="E19" s="11">
        <f t="shared" ref="E19:G19" si="11">E10-E12</f>
        <v>115.71000000000004</v>
      </c>
      <c r="F19" s="11">
        <f t="shared" si="11"/>
        <v>208.41200000000026</v>
      </c>
      <c r="G19" s="11">
        <f t="shared" si="11"/>
        <v>336.68199999999979</v>
      </c>
      <c r="I19" s="11">
        <f>I10-I12</f>
        <v>653.35256799999934</v>
      </c>
      <c r="J19" s="11">
        <f>J10-J12</f>
        <v>725.22135048000018</v>
      </c>
      <c r="K19" s="11">
        <f t="shared" ref="K19:M19" si="12">K10-K12</f>
        <v>812.2479125375994</v>
      </c>
      <c r="L19" s="11">
        <f t="shared" si="12"/>
        <v>909.71766204211235</v>
      </c>
      <c r="M19" s="11">
        <f t="shared" si="12"/>
        <v>1018.8837814871658</v>
      </c>
    </row>
    <row r="20" spans="1:20" s="11" customFormat="1" x14ac:dyDescent="0.3">
      <c r="A20"/>
      <c r="B20" t="s">
        <v>13</v>
      </c>
      <c r="C20"/>
      <c r="D20" s="88">
        <v>-4917.3</v>
      </c>
      <c r="E20" s="88">
        <v>11.352</v>
      </c>
      <c r="F20" s="88">
        <v>61.722000000000001</v>
      </c>
      <c r="G20" s="88">
        <v>1064.9649999999999</v>
      </c>
      <c r="I20" s="11">
        <f>$T$24*I8</f>
        <v>-1696.5879966748776</v>
      </c>
      <c r="J20" s="11">
        <f t="shared" ref="J20:M20" si="13">$T$24*J8</f>
        <v>-1883.2126763091142</v>
      </c>
      <c r="K20" s="11">
        <f t="shared" si="13"/>
        <v>-2109.1981974662081</v>
      </c>
      <c r="L20" s="11">
        <f t="shared" si="13"/>
        <v>-2362.3019811621534</v>
      </c>
      <c r="M20" s="11">
        <f t="shared" si="13"/>
        <v>-2645.778218901612</v>
      </c>
    </row>
    <row r="21" spans="1:20" s="11" customFormat="1" x14ac:dyDescent="0.3">
      <c r="A21"/>
      <c r="B21" t="s">
        <v>14</v>
      </c>
      <c r="C21"/>
      <c r="D21" s="88">
        <v>-253</v>
      </c>
      <c r="E21" s="88">
        <v>-497.9</v>
      </c>
      <c r="F21" s="88">
        <v>-524.6</v>
      </c>
      <c r="G21" s="88">
        <v>-407.7</v>
      </c>
      <c r="I21" s="11">
        <f>I22*I8</f>
        <v>-514.76907859048276</v>
      </c>
      <c r="J21" s="11">
        <f t="shared" ref="J21:M21" si="14">J22*J8</f>
        <v>-571.39367723543592</v>
      </c>
      <c r="K21" s="11">
        <f t="shared" si="14"/>
        <v>-639.96091850368828</v>
      </c>
      <c r="L21" s="11">
        <f t="shared" si="14"/>
        <v>-716.75622872413101</v>
      </c>
      <c r="M21" s="11">
        <f t="shared" si="14"/>
        <v>-802.76697617102684</v>
      </c>
    </row>
    <row r="22" spans="1:20" s="14" customFormat="1" x14ac:dyDescent="0.3">
      <c r="A22" s="2"/>
      <c r="B22" s="12" t="s">
        <v>15</v>
      </c>
      <c r="C22" s="2"/>
      <c r="D22" s="14">
        <f>D21/D8</f>
        <v>-1.2551815307529149E-2</v>
      </c>
      <c r="E22" s="14">
        <f t="shared" ref="E22:G22" si="15">E21/E8</f>
        <v>-1.991914244391195E-2</v>
      </c>
      <c r="F22" s="14">
        <f t="shared" si="15"/>
        <v>-1.7664581981102736E-2</v>
      </c>
      <c r="G22" s="14">
        <f t="shared" si="15"/>
        <v>-1.2895552979467382E-2</v>
      </c>
      <c r="I22" s="14">
        <f>AVERAGE($D$22:$G$22)</f>
        <v>-1.5757773178002806E-2</v>
      </c>
      <c r="J22" s="14">
        <f t="shared" ref="J22:M22" si="16">AVERAGE($D$22:$G$22)</f>
        <v>-1.5757773178002806E-2</v>
      </c>
      <c r="K22" s="14">
        <f t="shared" si="16"/>
        <v>-1.5757773178002806E-2</v>
      </c>
      <c r="L22" s="14">
        <f t="shared" si="16"/>
        <v>-1.5757773178002806E-2</v>
      </c>
      <c r="M22" s="14">
        <f t="shared" si="16"/>
        <v>-1.5757773178002806E-2</v>
      </c>
      <c r="O22" s="14">
        <v>-3.2000000000000001E-2</v>
      </c>
    </row>
    <row r="23" spans="1:20" x14ac:dyDescent="0.3">
      <c r="O23" s="17" t="s">
        <v>72</v>
      </c>
      <c r="P23" s="17"/>
      <c r="Q23" s="17"/>
      <c r="R23" s="17"/>
      <c r="S23" s="17"/>
      <c r="T23" s="17"/>
    </row>
    <row r="24" spans="1:20" s="11" customFormat="1" x14ac:dyDescent="0.3">
      <c r="A24"/>
      <c r="B24" s="5" t="s">
        <v>16</v>
      </c>
      <c r="C24" s="5"/>
      <c r="D24" s="22">
        <f>D17+D19-D20+D21</f>
        <v>7125.4841036600001</v>
      </c>
      <c r="E24" s="22">
        <f t="shared" ref="E24:F24" si="17">E17+E19-E20+E21</f>
        <v>3564.075959368</v>
      </c>
      <c r="F24" s="22">
        <f t="shared" si="17"/>
        <v>5048.7958039590003</v>
      </c>
      <c r="G24" s="22">
        <f>G17+G19-G20+G21</f>
        <v>3670.7426383709999</v>
      </c>
      <c r="H24" s="22"/>
      <c r="I24" s="22">
        <f>I17+I19-I20+I21</f>
        <v>7388.6683140843952</v>
      </c>
      <c r="J24" s="22">
        <f t="shared" ref="J24:M24" si="18">J17+J19-J20+J21</f>
        <v>8509.6409025876801</v>
      </c>
      <c r="K24" s="22">
        <f t="shared" si="18"/>
        <v>9876.0031737266818</v>
      </c>
      <c r="L24" s="22">
        <f>L17+L19-L20+L21</f>
        <v>11061.123554573885</v>
      </c>
      <c r="M24" s="22">
        <f t="shared" si="18"/>
        <v>12388.458381122753</v>
      </c>
      <c r="O24" s="10">
        <f>D20/D8</f>
        <v>-0.24395668542179086</v>
      </c>
      <c r="P24" s="10">
        <f>E20/E8</f>
        <v>4.5415164696382504E-4</v>
      </c>
      <c r="Q24" s="10">
        <f t="shared" ref="Q24:R24" si="19">F20/F8</f>
        <v>2.0783326897400364E-3</v>
      </c>
      <c r="R24" s="10">
        <f t="shared" si="19"/>
        <v>3.3684848120624188E-2</v>
      </c>
      <c r="S24" s="10"/>
      <c r="T24" s="70">
        <f>AVERAGE(O24:R24)</f>
        <v>-5.1934838241115701E-2</v>
      </c>
    </row>
    <row r="25" spans="1:20" s="15" customFormat="1" x14ac:dyDescent="0.3">
      <c r="A25" s="5" t="s">
        <v>17</v>
      </c>
      <c r="B25" s="5" t="s">
        <v>33</v>
      </c>
      <c r="C25" s="5"/>
      <c r="I25" s="73">
        <f>I24/(1+$C$85)^D28</f>
        <v>7112.085038506264</v>
      </c>
      <c r="J25" s="73">
        <f>J24/(1+$C$85)^E28</f>
        <v>7589.3318496845905</v>
      </c>
      <c r="K25" s="73">
        <f>K24/(1+$C$85)^F28</f>
        <v>8160.8438817780634</v>
      </c>
      <c r="L25" s="73">
        <f>L24/(1+$C$85)^G28</f>
        <v>8468.6587311612093</v>
      </c>
      <c r="M25" s="73">
        <f>M24/(1+$C$85)^H28</f>
        <v>8788.0838971823632</v>
      </c>
    </row>
    <row r="26" spans="1:20" s="11" customFormat="1" x14ac:dyDescent="0.3">
      <c r="A26"/>
      <c r="B26"/>
      <c r="C26"/>
    </row>
    <row r="27" spans="1:20" s="11" customFormat="1" x14ac:dyDescent="0.3">
      <c r="A27"/>
      <c r="B27"/>
      <c r="C27"/>
      <c r="J27"/>
    </row>
    <row r="28" spans="1:20" s="11" customFormat="1" x14ac:dyDescent="0.3">
      <c r="A28"/>
      <c r="B28" t="s">
        <v>34</v>
      </c>
      <c r="C28" s="6"/>
      <c r="D28" s="11">
        <v>0.5</v>
      </c>
      <c r="E28" s="11">
        <v>1.5</v>
      </c>
      <c r="F28" s="11">
        <v>2.5</v>
      </c>
      <c r="G28" s="11">
        <v>3.5</v>
      </c>
      <c r="H28" s="11">
        <v>4.5</v>
      </c>
    </row>
    <row r="31" spans="1:20" x14ac:dyDescent="0.3">
      <c r="B31" s="16" t="s">
        <v>35</v>
      </c>
      <c r="C31" s="16"/>
      <c r="E31" s="16" t="s">
        <v>36</v>
      </c>
      <c r="F31" s="17"/>
      <c r="G31" s="17"/>
      <c r="H31" s="17"/>
      <c r="I31" s="17"/>
    </row>
    <row r="32" spans="1:20" x14ac:dyDescent="0.3">
      <c r="B32" t="s">
        <v>37</v>
      </c>
      <c r="C32" s="80">
        <v>0.02</v>
      </c>
      <c r="E32" t="s">
        <v>38</v>
      </c>
      <c r="I32" s="33">
        <f>M10</f>
        <v>12226.605377845992</v>
      </c>
    </row>
    <row r="33" spans="1:17" x14ac:dyDescent="0.3">
      <c r="B33" s="34" t="s">
        <v>73</v>
      </c>
      <c r="C33" s="33">
        <f>M24*(1+C32)</f>
        <v>12636.227548745208</v>
      </c>
      <c r="E33" t="s">
        <v>39</v>
      </c>
      <c r="I33" s="81">
        <v>20.29</v>
      </c>
      <c r="J33" t="s">
        <v>80</v>
      </c>
      <c r="O33">
        <f>19.73</f>
        <v>19.73</v>
      </c>
    </row>
    <row r="34" spans="1:17" x14ac:dyDescent="0.3">
      <c r="B34" t="s">
        <v>75</v>
      </c>
      <c r="C34" s="33">
        <f>C33/(C85-C32)</f>
        <v>213123.03649771938</v>
      </c>
      <c r="E34" t="s">
        <v>43</v>
      </c>
      <c r="I34" s="33">
        <f>I32*I33</f>
        <v>248077.82311649516</v>
      </c>
      <c r="O34">
        <f>8.34</f>
        <v>8.34</v>
      </c>
    </row>
    <row r="35" spans="1:17" x14ac:dyDescent="0.3">
      <c r="B35" t="s">
        <v>40</v>
      </c>
      <c r="C35" s="33">
        <f>C34/(1+C85)^H28</f>
        <v>151184.51929565056</v>
      </c>
      <c r="E35" t="s">
        <v>40</v>
      </c>
      <c r="I35" s="33">
        <f>I34/(1+C85)^H29</f>
        <v>248077.82311649516</v>
      </c>
      <c r="P35" s="71"/>
      <c r="Q35" s="71"/>
    </row>
    <row r="36" spans="1:17" x14ac:dyDescent="0.3">
      <c r="B36" t="s">
        <v>41</v>
      </c>
      <c r="C36" s="3">
        <f>SUM(I25:M25)</f>
        <v>40119.003398312489</v>
      </c>
      <c r="E36" t="s">
        <v>41</v>
      </c>
      <c r="I36" s="33">
        <f>C36</f>
        <v>40119.003398312489</v>
      </c>
      <c r="P36" s="71"/>
    </row>
    <row r="37" spans="1:17" x14ac:dyDescent="0.3">
      <c r="A37" t="s">
        <v>17</v>
      </c>
      <c r="B37" s="5" t="s">
        <v>42</v>
      </c>
      <c r="C37" s="35">
        <f>SUM(C35:C36)</f>
        <v>191303.52269396305</v>
      </c>
      <c r="D37" s="36"/>
      <c r="E37" s="5" t="s">
        <v>42</v>
      </c>
      <c r="I37" s="35">
        <f>SUM(I35:I36)</f>
        <v>288196.82651480765</v>
      </c>
    </row>
    <row r="39" spans="1:17" x14ac:dyDescent="0.3">
      <c r="B39" s="16" t="s">
        <v>47</v>
      </c>
      <c r="C39" s="17"/>
      <c r="E39" s="16" t="s">
        <v>49</v>
      </c>
      <c r="F39" s="17"/>
      <c r="G39" s="16"/>
      <c r="H39" s="17"/>
      <c r="I39" s="17"/>
    </row>
    <row r="40" spans="1:17" x14ac:dyDescent="0.3">
      <c r="B40" s="43"/>
      <c r="C40" s="44"/>
      <c r="G40" s="49"/>
      <c r="H40" s="50"/>
      <c r="I40" s="50" t="s">
        <v>57</v>
      </c>
    </row>
    <row r="41" spans="1:17" x14ac:dyDescent="0.3">
      <c r="B41" s="52" t="s">
        <v>51</v>
      </c>
      <c r="C41" s="45"/>
      <c r="E41" t="s">
        <v>58</v>
      </c>
      <c r="G41" s="42"/>
      <c r="H41" s="42"/>
      <c r="I41" s="55">
        <v>445.3</v>
      </c>
    </row>
    <row r="42" spans="1:17" x14ac:dyDescent="0.3">
      <c r="B42" s="4" t="s">
        <v>52</v>
      </c>
      <c r="C42" s="53">
        <v>16931</v>
      </c>
      <c r="E42" s="43" t="s">
        <v>59</v>
      </c>
      <c r="G42" s="42"/>
      <c r="H42" s="42"/>
      <c r="I42" s="55">
        <v>0</v>
      </c>
    </row>
    <row r="43" spans="1:17" x14ac:dyDescent="0.3">
      <c r="B43" s="4" t="s">
        <v>53</v>
      </c>
      <c r="C43" s="53">
        <v>0</v>
      </c>
      <c r="E43" s="43" t="s">
        <v>60</v>
      </c>
      <c r="G43" s="42"/>
      <c r="H43" s="42"/>
      <c r="I43" s="56">
        <v>0</v>
      </c>
    </row>
    <row r="44" spans="1:17" x14ac:dyDescent="0.3">
      <c r="B44" s="4" t="s">
        <v>54</v>
      </c>
      <c r="C44" s="53">
        <v>0</v>
      </c>
      <c r="E44" t="s">
        <v>53</v>
      </c>
      <c r="G44" s="42"/>
      <c r="H44" s="42"/>
      <c r="I44" s="56">
        <v>0</v>
      </c>
    </row>
    <row r="45" spans="1:17" x14ac:dyDescent="0.3">
      <c r="B45" s="46" t="s">
        <v>55</v>
      </c>
      <c r="C45" s="53">
        <v>0</v>
      </c>
      <c r="E45" t="s">
        <v>61</v>
      </c>
      <c r="G45" s="42"/>
      <c r="H45" s="42"/>
      <c r="I45" s="56">
        <v>0</v>
      </c>
    </row>
    <row r="46" spans="1:17" x14ac:dyDescent="0.3">
      <c r="B46" s="52" t="s">
        <v>56</v>
      </c>
      <c r="C46" s="54"/>
      <c r="E46" s="51" t="s">
        <v>62</v>
      </c>
      <c r="I46" s="57">
        <f>SUM(I41:I45)</f>
        <v>445.3</v>
      </c>
    </row>
    <row r="47" spans="1:17" x14ac:dyDescent="0.3">
      <c r="B47" s="47" t="s">
        <v>74</v>
      </c>
      <c r="C47" s="53">
        <v>6058</v>
      </c>
    </row>
    <row r="48" spans="1:17" x14ac:dyDescent="0.3">
      <c r="B48" s="47"/>
      <c r="C48" s="53"/>
    </row>
    <row r="50" spans="1:12" x14ac:dyDescent="0.3">
      <c r="A50" t="s">
        <v>17</v>
      </c>
      <c r="B50" s="48" t="s">
        <v>47</v>
      </c>
      <c r="C50" s="22">
        <f>C42-C47</f>
        <v>10873</v>
      </c>
    </row>
    <row r="52" spans="1:12" x14ac:dyDescent="0.3">
      <c r="A52" t="s">
        <v>17</v>
      </c>
      <c r="B52" s="16" t="s">
        <v>44</v>
      </c>
      <c r="C52" s="17"/>
      <c r="D52" s="17"/>
    </row>
    <row r="53" spans="1:12" ht="16.2" x14ac:dyDescent="0.45">
      <c r="C53" s="37" t="s">
        <v>45</v>
      </c>
      <c r="D53" s="37" t="s">
        <v>6</v>
      </c>
    </row>
    <row r="54" spans="1:12" x14ac:dyDescent="0.3">
      <c r="B54" t="s">
        <v>46</v>
      </c>
      <c r="C54" s="38">
        <f>C37</f>
        <v>191303.52269396305</v>
      </c>
      <c r="D54" s="38">
        <f>I37</f>
        <v>288196.82651480765</v>
      </c>
    </row>
    <row r="55" spans="1:12" x14ac:dyDescent="0.3">
      <c r="B55" t="s">
        <v>47</v>
      </c>
      <c r="C55" s="39">
        <f>$C$50</f>
        <v>10873</v>
      </c>
      <c r="D55" s="39">
        <f>C55</f>
        <v>10873</v>
      </c>
    </row>
    <row r="56" spans="1:12" x14ac:dyDescent="0.3">
      <c r="B56" t="s">
        <v>48</v>
      </c>
      <c r="C56" s="40">
        <f>C54-C55</f>
        <v>180430.52269396305</v>
      </c>
      <c r="D56" s="40">
        <f>D54-D55</f>
        <v>277323.82651480765</v>
      </c>
    </row>
    <row r="57" spans="1:12" x14ac:dyDescent="0.3">
      <c r="B57" t="s">
        <v>49</v>
      </c>
      <c r="C57" s="40">
        <f>I46</f>
        <v>445.3</v>
      </c>
      <c r="D57" s="40">
        <f>C57</f>
        <v>445.3</v>
      </c>
    </row>
    <row r="58" spans="1:12" x14ac:dyDescent="0.3">
      <c r="B58" s="58" t="s">
        <v>50</v>
      </c>
      <c r="C58" s="74">
        <f>C56/C57</f>
        <v>405.18868783733001</v>
      </c>
      <c r="D58" s="75">
        <f t="shared" ref="D58" si="20">D56/D57</f>
        <v>622.77975862296796</v>
      </c>
      <c r="F58" s="69"/>
      <c r="G58" s="69"/>
    </row>
    <row r="61" spans="1:12" x14ac:dyDescent="0.3">
      <c r="L61" s="11"/>
    </row>
    <row r="62" spans="1:12" x14ac:dyDescent="0.3">
      <c r="B62" s="5"/>
      <c r="C62" s="41"/>
      <c r="D62" s="41"/>
    </row>
    <row r="63" spans="1:12" x14ac:dyDescent="0.3">
      <c r="B63" s="5"/>
      <c r="C63" s="41"/>
      <c r="D63" s="41"/>
      <c r="L63" s="11"/>
    </row>
    <row r="64" spans="1:12" x14ac:dyDescent="0.3">
      <c r="B64" s="5"/>
      <c r="C64" s="41"/>
      <c r="D64" s="41"/>
    </row>
    <row r="65" spans="1:22" x14ac:dyDescent="0.3">
      <c r="B65" s="5"/>
      <c r="C65" s="41"/>
      <c r="D65" s="41"/>
    </row>
    <row r="66" spans="1:22" ht="25.8" x14ac:dyDescent="0.5">
      <c r="B66" s="18" t="s">
        <v>18</v>
      </c>
      <c r="C66" s="17"/>
    </row>
    <row r="68" spans="1:22" x14ac:dyDescent="0.3">
      <c r="A68" t="s">
        <v>17</v>
      </c>
      <c r="B68" s="72" t="s">
        <v>19</v>
      </c>
      <c r="C68" s="21"/>
    </row>
    <row r="69" spans="1:22" x14ac:dyDescent="0.3">
      <c r="B69" t="s">
        <v>20</v>
      </c>
      <c r="C69" s="24">
        <v>0.04</v>
      </c>
    </row>
    <row r="70" spans="1:22" x14ac:dyDescent="0.3">
      <c r="B70" t="s">
        <v>10</v>
      </c>
      <c r="C70" s="25">
        <v>0.15</v>
      </c>
      <c r="G70">
        <v>698</v>
      </c>
      <c r="I70">
        <v>14353</v>
      </c>
      <c r="J70">
        <f>G70/I70</f>
        <v>4.8630948233818715E-2</v>
      </c>
    </row>
    <row r="71" spans="1:22" x14ac:dyDescent="0.3">
      <c r="B71" t="s">
        <v>21</v>
      </c>
      <c r="C71" s="24">
        <f>C69*(1-C70)</f>
        <v>3.4000000000000002E-2</v>
      </c>
      <c r="I71">
        <v>16931</v>
      </c>
      <c r="J71">
        <f>G70/I71</f>
        <v>4.1226153210088004E-2</v>
      </c>
      <c r="K71" t="s">
        <v>79</v>
      </c>
      <c r="R71" s="32" t="s">
        <v>25</v>
      </c>
      <c r="S71" s="31"/>
      <c r="T71" s="31"/>
      <c r="U71" s="31"/>
      <c r="V71" s="31"/>
    </row>
    <row r="72" spans="1:22" x14ac:dyDescent="0.3">
      <c r="C72" s="24"/>
      <c r="Q72" s="29">
        <f>C85</f>
        <v>7.9290763478214746E-2</v>
      </c>
      <c r="R72" s="77">
        <f>S72-0.005</f>
        <v>0.106</v>
      </c>
      <c r="S72" s="77">
        <f>T72-0.005</f>
        <v>0.111</v>
      </c>
      <c r="T72" s="77">
        <v>0.11600000000000001</v>
      </c>
      <c r="U72" s="77">
        <f>T72+0.005</f>
        <v>0.12100000000000001</v>
      </c>
      <c r="V72" s="77">
        <f>U72+0.005</f>
        <v>0.126</v>
      </c>
    </row>
    <row r="73" spans="1:22" x14ac:dyDescent="0.3">
      <c r="B73" t="s">
        <v>22</v>
      </c>
      <c r="C73" s="24">
        <v>0.04</v>
      </c>
      <c r="Q73" s="78">
        <f>Q74-0.005</f>
        <v>2.4E-2</v>
      </c>
      <c r="R73" s="10">
        <v>6.918056697340158E-2</v>
      </c>
      <c r="S73" s="10">
        <v>7.1935479593730936E-2</v>
      </c>
      <c r="T73" s="10">
        <v>7.4690392214060305E-2</v>
      </c>
      <c r="U73" s="10">
        <v>7.7445304834389675E-2</v>
      </c>
      <c r="V73" s="10">
        <v>8.0200217454719044E-2</v>
      </c>
    </row>
    <row r="74" spans="1:22" x14ac:dyDescent="0.3">
      <c r="B74" t="s">
        <v>23</v>
      </c>
      <c r="C74" s="26">
        <v>1.27</v>
      </c>
      <c r="P74" s="5" t="s">
        <v>76</v>
      </c>
      <c r="Q74" s="78">
        <f>Q75-0.005</f>
        <v>2.9000000000000001E-2</v>
      </c>
      <c r="R74" s="10">
        <v>7.1425654353072215E-2</v>
      </c>
      <c r="S74" s="10">
        <v>7.4180566973401571E-2</v>
      </c>
      <c r="T74" s="10">
        <v>7.693547959373094E-2</v>
      </c>
      <c r="U74" s="10">
        <v>7.969039221406031E-2</v>
      </c>
      <c r="V74" s="10">
        <v>8.2445304834389679E-2</v>
      </c>
    </row>
    <row r="75" spans="1:22" x14ac:dyDescent="0.3">
      <c r="B75" t="s">
        <v>24</v>
      </c>
      <c r="C75" s="25">
        <v>0.06</v>
      </c>
      <c r="O75" s="5"/>
      <c r="P75" s="5" t="s">
        <v>77</v>
      </c>
      <c r="Q75" s="78">
        <v>3.4000000000000002E-2</v>
      </c>
      <c r="R75" s="10">
        <v>7.367074173274285E-2</v>
      </c>
      <c r="S75" s="10">
        <v>7.642565435307222E-2</v>
      </c>
      <c r="T75" s="83">
        <v>7.9180566973401575E-2</v>
      </c>
      <c r="U75" s="10">
        <v>8.1935479593730945E-2</v>
      </c>
      <c r="V75" s="10">
        <v>8.4690392214060314E-2</v>
      </c>
    </row>
    <row r="76" spans="1:22" x14ac:dyDescent="0.3">
      <c r="B76" t="s">
        <v>25</v>
      </c>
      <c r="C76" s="24">
        <f>C73+C74*C75</f>
        <v>0.1162</v>
      </c>
      <c r="Q76" s="78">
        <f>Q75+0.005</f>
        <v>3.9E-2</v>
      </c>
      <c r="R76" s="10">
        <v>7.5915829112413485E-2</v>
      </c>
      <c r="S76" s="10">
        <v>7.8670741732742855E-2</v>
      </c>
      <c r="T76" s="10">
        <v>8.142565435307221E-2</v>
      </c>
      <c r="U76" s="10">
        <v>8.418056697340158E-2</v>
      </c>
      <c r="V76" s="10">
        <v>8.6935479593730949E-2</v>
      </c>
    </row>
    <row r="77" spans="1:22" x14ac:dyDescent="0.3">
      <c r="Q77" s="78">
        <f>Q76+0.005</f>
        <v>4.3999999999999997E-2</v>
      </c>
      <c r="R77" s="10">
        <v>7.816091649208412E-2</v>
      </c>
      <c r="S77" s="10">
        <v>8.0915829112413476E-2</v>
      </c>
      <c r="T77" s="10">
        <v>8.3670741732742845E-2</v>
      </c>
      <c r="U77" s="10">
        <v>8.6425654353072215E-2</v>
      </c>
      <c r="V77" s="10">
        <v>8.9180566973401584E-2</v>
      </c>
    </row>
    <row r="78" spans="1:22" x14ac:dyDescent="0.3">
      <c r="A78" t="s">
        <v>17</v>
      </c>
      <c r="B78" s="72" t="s">
        <v>27</v>
      </c>
      <c r="C78" s="27"/>
    </row>
    <row r="79" spans="1:22" x14ac:dyDescent="0.3">
      <c r="B79" t="s">
        <v>31</v>
      </c>
      <c r="C79" s="11">
        <v>16932</v>
      </c>
    </row>
    <row r="80" spans="1:22" x14ac:dyDescent="0.3">
      <c r="B80" t="s">
        <v>32</v>
      </c>
      <c r="C80" s="11">
        <v>20777</v>
      </c>
    </row>
    <row r="81" spans="1:22" x14ac:dyDescent="0.3">
      <c r="B81" t="s">
        <v>30</v>
      </c>
      <c r="C81" s="11">
        <v>37709</v>
      </c>
    </row>
    <row r="82" spans="1:22" x14ac:dyDescent="0.3">
      <c r="B82" t="s">
        <v>28</v>
      </c>
      <c r="C82" s="28">
        <f>C79/$C$81</f>
        <v>0.44901747593412711</v>
      </c>
    </row>
    <row r="83" spans="1:22" x14ac:dyDescent="0.3">
      <c r="B83" t="s">
        <v>29</v>
      </c>
      <c r="C83" s="28">
        <f>C80/$C$81</f>
        <v>0.55098252406587289</v>
      </c>
      <c r="Q83" s="21" t="s">
        <v>50</v>
      </c>
      <c r="R83" s="21"/>
      <c r="S83" s="21"/>
      <c r="T83" s="21"/>
      <c r="U83" s="21"/>
      <c r="V83" s="21"/>
    </row>
    <row r="84" spans="1:22" x14ac:dyDescent="0.3">
      <c r="R84" s="30" t="s">
        <v>63</v>
      </c>
      <c r="S84" s="30"/>
      <c r="T84" s="30"/>
      <c r="U84" s="30"/>
      <c r="V84" s="30"/>
    </row>
    <row r="85" spans="1:22" x14ac:dyDescent="0.3">
      <c r="A85" t="s">
        <v>17</v>
      </c>
      <c r="B85" s="58" t="s">
        <v>26</v>
      </c>
      <c r="C85" s="76">
        <f>(C82*C71)+(C83*C76)</f>
        <v>7.9290763478214746E-2</v>
      </c>
      <c r="D85" s="23"/>
      <c r="Q85" s="59">
        <f>C58</f>
        <v>405.18868783733001</v>
      </c>
      <c r="R85" s="78">
        <f>S85-0.005</f>
        <v>9.9999999999999985E-3</v>
      </c>
      <c r="S85" s="78">
        <f>T85-0.005</f>
        <v>1.4999999999999999E-2</v>
      </c>
      <c r="T85" s="78">
        <v>0.02</v>
      </c>
      <c r="U85" s="78">
        <f>T85+0.005</f>
        <v>2.5000000000000001E-2</v>
      </c>
      <c r="V85" s="78">
        <f>U85+0.005</f>
        <v>3.0000000000000002E-2</v>
      </c>
    </row>
    <row r="86" spans="1:22" x14ac:dyDescent="0.3">
      <c r="Q86" s="78">
        <f>Q87+0.005</f>
        <v>8.900000000000001E-2</v>
      </c>
      <c r="R86" s="61">
        <v>237.35233932055854</v>
      </c>
      <c r="S86" s="61">
        <v>251.22399226790543</v>
      </c>
      <c r="T86" s="61">
        <v>267.10602970037513</v>
      </c>
      <c r="U86" s="61">
        <v>285.46963548166815</v>
      </c>
      <c r="V86" s="61">
        <v>306.94571681911253</v>
      </c>
    </row>
    <row r="87" spans="1:22" x14ac:dyDescent="0.3">
      <c r="Q87" s="78">
        <f>Q88+0.005</f>
        <v>8.4000000000000005E-2</v>
      </c>
      <c r="R87" s="61">
        <v>255.31763276329977</v>
      </c>
      <c r="S87" s="61">
        <v>271.45755012359319</v>
      </c>
      <c r="T87" s="61">
        <v>290.1193295714325</v>
      </c>
      <c r="U87" s="61">
        <v>311.9441224850072</v>
      </c>
      <c r="V87" s="61">
        <v>337.81054371591057</v>
      </c>
    </row>
    <row r="88" spans="1:22" x14ac:dyDescent="0.3">
      <c r="P88" s="60" t="s">
        <v>18</v>
      </c>
      <c r="Q88" s="78">
        <v>7.9000000000000001E-2</v>
      </c>
      <c r="R88" s="61">
        <v>275.89821500919192</v>
      </c>
      <c r="S88" s="61">
        <v>294.86442190333383</v>
      </c>
      <c r="T88" s="62">
        <v>317.04524013546597</v>
      </c>
      <c r="U88" s="61">
        <v>343.33361729947421</v>
      </c>
      <c r="V88" s="61">
        <v>374.98696939491293</v>
      </c>
    </row>
    <row r="89" spans="1:22" x14ac:dyDescent="0.3">
      <c r="C89" s="85" t="s">
        <v>71</v>
      </c>
      <c r="D89" s="85" t="s">
        <v>68</v>
      </c>
      <c r="E89" s="85" t="s">
        <v>69</v>
      </c>
      <c r="P89" s="60"/>
      <c r="Q89" s="78">
        <f>Q88-0.005</f>
        <v>7.3999999999999996E-2</v>
      </c>
      <c r="R89" s="61">
        <v>299.70734287637083</v>
      </c>
      <c r="S89" s="61">
        <v>322.25168853007756</v>
      </c>
      <c r="T89" s="61">
        <v>348.97091300854481</v>
      </c>
      <c r="U89" s="61">
        <v>381.14304044180125</v>
      </c>
      <c r="V89" s="61">
        <v>420.62701501897971</v>
      </c>
    </row>
    <row r="90" spans="1:22" x14ac:dyDescent="0.3">
      <c r="B90" t="s">
        <v>70</v>
      </c>
      <c r="C90" s="63">
        <v>25.2</v>
      </c>
      <c r="D90" s="61">
        <v>347</v>
      </c>
      <c r="E90" s="2"/>
      <c r="Q90" s="78">
        <f>Q89-0.005</f>
        <v>6.8999999999999992E-2</v>
      </c>
      <c r="R90" s="61">
        <v>327.56616602688842</v>
      </c>
      <c r="S90" s="61">
        <v>354.72535927009523</v>
      </c>
      <c r="T90" s="61">
        <v>387.42724501191555</v>
      </c>
      <c r="U90" s="61">
        <v>427.56137751324036</v>
      </c>
      <c r="V90" s="61">
        <v>477.98631322003331</v>
      </c>
    </row>
    <row r="91" spans="1:22" x14ac:dyDescent="0.3">
      <c r="C91" s="63"/>
      <c r="D91" s="61"/>
      <c r="E91" s="2"/>
    </row>
    <row r="92" spans="1:22" x14ac:dyDescent="0.3">
      <c r="B92" s="86" t="s">
        <v>66</v>
      </c>
      <c r="C92" s="63">
        <f>C93+2</f>
        <v>23.2</v>
      </c>
      <c r="D92" s="87">
        <f>(C92*$I$10)/$I$46</f>
        <v>374.43425859779927</v>
      </c>
      <c r="E92" s="13">
        <f>(D92-$D$90)/$D$90</f>
        <v>7.9061263970603091E-2</v>
      </c>
    </row>
    <row r="93" spans="1:22" x14ac:dyDescent="0.3">
      <c r="B93" s="86" t="s">
        <v>65</v>
      </c>
      <c r="C93" s="63">
        <v>21.2</v>
      </c>
      <c r="D93" s="87">
        <f>(C93*$I$10)/$I$46</f>
        <v>342.15544320143727</v>
      </c>
      <c r="E93" s="13">
        <f t="shared" ref="E93:E94" si="21">(D93-$D$90)/$D$90</f>
        <v>-1.3961258785483386E-2</v>
      </c>
      <c r="Q93" s="21" t="s">
        <v>50</v>
      </c>
      <c r="R93" s="21"/>
      <c r="S93" s="21"/>
      <c r="T93" s="21"/>
      <c r="U93" s="21"/>
      <c r="V93" s="21"/>
    </row>
    <row r="94" spans="1:22" x14ac:dyDescent="0.3">
      <c r="B94" s="86" t="s">
        <v>67</v>
      </c>
      <c r="C94" s="63">
        <f>C93-2</f>
        <v>19.2</v>
      </c>
      <c r="D94" s="87">
        <f t="shared" ref="D94" si="22">(C94*$I$10)/$I$46</f>
        <v>309.87662780507526</v>
      </c>
      <c r="E94" s="13">
        <f t="shared" si="21"/>
        <v>-0.10698378154156986</v>
      </c>
      <c r="R94" s="30" t="s">
        <v>64</v>
      </c>
      <c r="S94" s="30"/>
      <c r="T94" s="30"/>
      <c r="U94" s="30"/>
      <c r="V94" s="30"/>
    </row>
    <row r="95" spans="1:22" x14ac:dyDescent="0.3">
      <c r="Q95" s="59">
        <f>D58</f>
        <v>622.77975862296796</v>
      </c>
      <c r="R95" s="79">
        <f>S95-0.5</f>
        <v>19.3</v>
      </c>
      <c r="S95" s="79">
        <f>T95-0.5</f>
        <v>19.8</v>
      </c>
      <c r="T95" s="79">
        <v>20.3</v>
      </c>
      <c r="U95" s="79">
        <f>T95+0.5</f>
        <v>20.8</v>
      </c>
      <c r="V95" s="79">
        <f>U95+0.5</f>
        <v>21.3</v>
      </c>
    </row>
    <row r="96" spans="1:22" x14ac:dyDescent="0.3">
      <c r="Q96" s="78">
        <f>Q97+0.005</f>
        <v>8.900000000000001E-2</v>
      </c>
      <c r="R96" s="61">
        <v>450.30048116657349</v>
      </c>
      <c r="S96" s="61">
        <v>460.75010207483774</v>
      </c>
      <c r="T96" s="61">
        <v>471.19972298310205</v>
      </c>
      <c r="U96" s="61">
        <v>481.6493438913663</v>
      </c>
      <c r="V96" s="61">
        <v>492.09896479963061</v>
      </c>
    </row>
    <row r="97" spans="4:28" x14ac:dyDescent="0.3">
      <c r="Q97" s="78">
        <f>Q98+0.005</f>
        <v>8.4000000000000005E-2</v>
      </c>
      <c r="R97" s="61">
        <v>451.14701442767915</v>
      </c>
      <c r="S97" s="61">
        <v>461.5966353359434</v>
      </c>
      <c r="T97" s="61">
        <v>472.04625624420771</v>
      </c>
      <c r="U97" s="61">
        <v>482.49587715247196</v>
      </c>
      <c r="V97" s="61">
        <v>492.94549806073627</v>
      </c>
    </row>
    <row r="98" spans="4:28" x14ac:dyDescent="0.3">
      <c r="P98" s="60" t="s">
        <v>18</v>
      </c>
      <c r="Q98" s="78">
        <v>7.9000000000000001E-2</v>
      </c>
      <c r="R98" s="61">
        <v>452.01065090279286</v>
      </c>
      <c r="S98" s="61">
        <v>462.46027181105711</v>
      </c>
      <c r="T98" s="62">
        <v>472.90989271932142</v>
      </c>
      <c r="U98" s="61">
        <v>483.35951362758567</v>
      </c>
      <c r="V98" s="61">
        <v>493.80913453584998</v>
      </c>
    </row>
    <row r="99" spans="4:28" x14ac:dyDescent="0.3">
      <c r="P99" s="60"/>
      <c r="Q99" s="78">
        <f>Q98-0.005</f>
        <v>7.3999999999999996E-2</v>
      </c>
      <c r="R99" s="61">
        <v>452.89184261611967</v>
      </c>
      <c r="S99" s="61">
        <v>463.34146352438393</v>
      </c>
      <c r="T99" s="61">
        <v>473.79108443264829</v>
      </c>
      <c r="U99" s="61">
        <v>484.24070534091254</v>
      </c>
      <c r="V99" s="61">
        <v>494.69032624917679</v>
      </c>
    </row>
    <row r="100" spans="4:28" x14ac:dyDescent="0.3">
      <c r="Q100" s="78">
        <f>Q99-0.005</f>
        <v>6.8999999999999992E-2</v>
      </c>
      <c r="R100" s="61">
        <v>453.79105610095161</v>
      </c>
      <c r="S100" s="61">
        <v>464.24067700921586</v>
      </c>
      <c r="T100" s="61">
        <v>474.69029791748017</v>
      </c>
      <c r="U100" s="61">
        <v>485.13991882574442</v>
      </c>
      <c r="V100" s="61">
        <v>495.58953973400872</v>
      </c>
    </row>
    <row r="101" spans="4:28" x14ac:dyDescent="0.3">
      <c r="D101" t="s">
        <v>82</v>
      </c>
    </row>
    <row r="105" spans="4:28" x14ac:dyDescent="0.3">
      <c r="Z105" s="68" t="s">
        <v>71</v>
      </c>
      <c r="AA105" s="68" t="s">
        <v>68</v>
      </c>
      <c r="AB105" s="17" t="s">
        <v>69</v>
      </c>
    </row>
    <row r="106" spans="4:28" x14ac:dyDescent="0.3">
      <c r="Y106" t="s">
        <v>70</v>
      </c>
      <c r="Z106" s="64">
        <v>11.33</v>
      </c>
      <c r="AA106" s="65">
        <v>140</v>
      </c>
      <c r="AB106" s="66"/>
    </row>
    <row r="107" spans="4:28" x14ac:dyDescent="0.3">
      <c r="Z107" s="64"/>
      <c r="AA107" s="65"/>
      <c r="AB107" s="66"/>
    </row>
    <row r="108" spans="4:28" x14ac:dyDescent="0.3">
      <c r="Y108" t="s">
        <v>66</v>
      </c>
      <c r="Z108" s="64">
        <v>12.5</v>
      </c>
      <c r="AA108" s="65">
        <f>(Z108*$I$10)/$I$46</f>
        <v>201.74259622726254</v>
      </c>
      <c r="AB108" s="67">
        <f>(AA108-$D$90)/$D$90</f>
        <v>-0.41860923277445955</v>
      </c>
    </row>
    <row r="109" spans="4:28" x14ac:dyDescent="0.3">
      <c r="Y109" t="s">
        <v>65</v>
      </c>
      <c r="Z109" s="64">
        <v>11.5</v>
      </c>
      <c r="AA109" s="65">
        <f t="shared" ref="AA109:AA110" si="23">(Z109*$I$10)/$I$46</f>
        <v>185.60318852908154</v>
      </c>
      <c r="AB109" s="67">
        <f t="shared" ref="AB109:AB110" si="24">(AA109-$D$90)/$D$90</f>
        <v>-0.46512049415250278</v>
      </c>
    </row>
    <row r="110" spans="4:28" x14ac:dyDescent="0.3">
      <c r="Y110" t="s">
        <v>67</v>
      </c>
      <c r="Z110" s="64">
        <v>10.5</v>
      </c>
      <c r="AA110" s="65">
        <f t="shared" si="23"/>
        <v>169.46378083090053</v>
      </c>
      <c r="AB110" s="67">
        <f t="shared" si="24"/>
        <v>-0.51163175553054596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FBB0-2E12-4848-AB04-3C04F74AA4D9}">
  <dimension ref="A2:AB110"/>
  <sheetViews>
    <sheetView topLeftCell="A65" zoomScale="83" zoomScaleNormal="83" workbookViewId="0">
      <selection activeCell="G108" sqref="G108"/>
    </sheetView>
  </sheetViews>
  <sheetFormatPr defaultRowHeight="14.4" x14ac:dyDescent="0.3"/>
  <cols>
    <col min="1" max="1" width="1.88671875" customWidth="1"/>
    <col min="2" max="2" width="42.33203125" bestFit="1" customWidth="1"/>
    <col min="3" max="3" width="16.5546875" bestFit="1" customWidth="1"/>
    <col min="4" max="4" width="11.5546875" bestFit="1" customWidth="1"/>
    <col min="9" max="9" width="10.5546875" bestFit="1" customWidth="1"/>
    <col min="15" max="15" width="9" bestFit="1" customWidth="1"/>
    <col min="16" max="16" width="13.21875" bestFit="1" customWidth="1"/>
    <col min="17" max="17" width="12.21875" bestFit="1" customWidth="1"/>
    <col min="18" max="18" width="9" bestFit="1" customWidth="1"/>
    <col min="19" max="19" width="12" bestFit="1" customWidth="1"/>
    <col min="22" max="22" width="10.44140625" customWidth="1"/>
    <col min="25" max="25" width="19.33203125" bestFit="1" customWidth="1"/>
    <col min="26" max="26" width="16.5546875" bestFit="1" customWidth="1"/>
    <col min="27" max="27" width="11.5546875" bestFit="1" customWidth="1"/>
  </cols>
  <sheetData>
    <row r="2" spans="1:19" ht="25.8" x14ac:dyDescent="0.5">
      <c r="B2" s="18" t="s">
        <v>78</v>
      </c>
      <c r="C2" s="17" t="s">
        <v>81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x14ac:dyDescent="0.3">
      <c r="P3" s="15"/>
    </row>
    <row r="4" spans="1:19" x14ac:dyDescent="0.3">
      <c r="A4" t="s">
        <v>17</v>
      </c>
      <c r="B4" s="5" t="s">
        <v>0</v>
      </c>
      <c r="D4" s="7"/>
      <c r="E4" s="7"/>
      <c r="F4" s="7"/>
      <c r="G4" s="7"/>
      <c r="H4" s="7"/>
      <c r="I4" s="13"/>
      <c r="J4" s="2"/>
      <c r="K4" s="2"/>
      <c r="L4" s="2"/>
      <c r="M4" s="2"/>
    </row>
    <row r="5" spans="1:19" ht="16.2" x14ac:dyDescent="0.45">
      <c r="B5" s="11"/>
      <c r="C5" s="1"/>
      <c r="D5" s="21" t="s">
        <v>1</v>
      </c>
      <c r="E5" s="21"/>
      <c r="F5" s="21"/>
      <c r="G5" s="21"/>
      <c r="H5" s="7"/>
      <c r="I5" s="20" t="s">
        <v>2</v>
      </c>
      <c r="J5" s="21"/>
      <c r="K5" s="21"/>
      <c r="L5" s="21"/>
      <c r="M5" s="21"/>
    </row>
    <row r="6" spans="1:19" s="2" customFormat="1" x14ac:dyDescent="0.3">
      <c r="B6" s="2" t="s">
        <v>3</v>
      </c>
      <c r="C6" s="8"/>
      <c r="D6" s="9">
        <v>2019</v>
      </c>
      <c r="E6" s="9">
        <f>D6+1</f>
        <v>2020</v>
      </c>
      <c r="F6" s="9">
        <f t="shared" ref="F6:G6" si="0">E6+1</f>
        <v>2021</v>
      </c>
      <c r="G6" s="9">
        <f t="shared" si="0"/>
        <v>2022</v>
      </c>
      <c r="I6" s="19">
        <f>2023</f>
        <v>2023</v>
      </c>
      <c r="J6" s="19">
        <f>I6+1</f>
        <v>2024</v>
      </c>
      <c r="K6" s="19">
        <f t="shared" ref="K6:M6" si="1">J6+1</f>
        <v>2025</v>
      </c>
      <c r="L6" s="19">
        <f t="shared" si="1"/>
        <v>2026</v>
      </c>
      <c r="M6" s="19">
        <f t="shared" si="1"/>
        <v>2027</v>
      </c>
      <c r="P6" s="90"/>
    </row>
    <row r="7" spans="1:19" x14ac:dyDescent="0.3">
      <c r="B7" s="2"/>
    </row>
    <row r="8" spans="1:19" s="11" customFormat="1" x14ac:dyDescent="0.3">
      <c r="A8"/>
      <c r="B8" t="s">
        <v>4</v>
      </c>
      <c r="C8" s="3"/>
      <c r="D8" s="88">
        <v>20156.447</v>
      </c>
      <c r="E8" s="88">
        <v>24996.056</v>
      </c>
      <c r="F8" s="88">
        <v>29697.844000000001</v>
      </c>
      <c r="G8" s="88">
        <v>31615.55</v>
      </c>
      <c r="I8" s="11">
        <f>F8*(1+I9)</f>
        <v>31182.736200000003</v>
      </c>
      <c r="J8" s="11">
        <f>I8*(1+J9)</f>
        <v>32897.786691000001</v>
      </c>
      <c r="K8" s="11">
        <f t="shared" ref="K8:M8" si="2">J8*(1+K9)</f>
        <v>34871.653892460003</v>
      </c>
      <c r="L8" s="11">
        <f t="shared" si="2"/>
        <v>36963.953126007604</v>
      </c>
      <c r="M8" s="11">
        <f t="shared" si="2"/>
        <v>39181.790313568061</v>
      </c>
      <c r="P8" s="88"/>
      <c r="Q8" s="88"/>
      <c r="R8" s="88"/>
      <c r="S8" s="88"/>
    </row>
    <row r="9" spans="1:19" s="14" customFormat="1" x14ac:dyDescent="0.3">
      <c r="A9" s="2"/>
      <c r="B9" s="12" t="s">
        <v>5</v>
      </c>
      <c r="C9" s="2"/>
      <c r="D9" s="2"/>
      <c r="E9" s="14">
        <f>(E8-D8)/D8</f>
        <v>0.24010228588401519</v>
      </c>
      <c r="F9" s="14">
        <f t="shared" ref="F9:G9" si="3">(F8-E8)/E8</f>
        <v>0.18810119484449869</v>
      </c>
      <c r="G9" s="14">
        <f t="shared" si="3"/>
        <v>6.45739131769969E-2</v>
      </c>
      <c r="I9" s="82">
        <v>0.05</v>
      </c>
      <c r="J9" s="82">
        <v>5.5E-2</v>
      </c>
      <c r="K9" s="82">
        <v>0.06</v>
      </c>
      <c r="L9" s="82">
        <v>0.06</v>
      </c>
      <c r="M9" s="82">
        <v>0.06</v>
      </c>
    </row>
    <row r="10" spans="1:19" s="11" customFormat="1" x14ac:dyDescent="0.3">
      <c r="A10"/>
      <c r="B10" t="s">
        <v>6</v>
      </c>
      <c r="C10" s="3"/>
      <c r="D10" s="88">
        <v>2707.8330000000001</v>
      </c>
      <c r="E10" s="88">
        <v>4700.9989999999998</v>
      </c>
      <c r="F10" s="88">
        <v>6402.9210000000003</v>
      </c>
      <c r="G10" s="88">
        <v>5969.5129999999999</v>
      </c>
      <c r="I10" s="11">
        <f>I11*I8</f>
        <v>4365.5830680000008</v>
      </c>
      <c r="J10" s="11">
        <f t="shared" ref="J10:M10" si="4">J11*J8</f>
        <v>4934.6680036500002</v>
      </c>
      <c r="K10" s="11">
        <f t="shared" si="4"/>
        <v>5579.4646227936009</v>
      </c>
      <c r="L10" s="11">
        <f t="shared" si="4"/>
        <v>5914.2325001612171</v>
      </c>
      <c r="M10" s="11">
        <f t="shared" si="4"/>
        <v>6269.0864501708902</v>
      </c>
    </row>
    <row r="11" spans="1:19" s="13" customFormat="1" x14ac:dyDescent="0.3">
      <c r="A11" s="2"/>
      <c r="B11" s="12" t="s">
        <v>7</v>
      </c>
      <c r="C11" s="2"/>
      <c r="D11" s="13">
        <f>D10/D8</f>
        <v>0.13434078932661098</v>
      </c>
      <c r="E11" s="13">
        <f t="shared" ref="E11:G11" si="5">E10/E8</f>
        <v>0.18806962986480746</v>
      </c>
      <c r="F11" s="13">
        <f t="shared" si="5"/>
        <v>0.21560221678045047</v>
      </c>
      <c r="G11" s="13">
        <f t="shared" si="5"/>
        <v>0.18881572517321382</v>
      </c>
      <c r="I11" s="13">
        <v>0.14000000000000001</v>
      </c>
      <c r="J11" s="13">
        <v>0.15</v>
      </c>
      <c r="K11" s="13">
        <v>0.16</v>
      </c>
      <c r="L11" s="13">
        <v>0.16</v>
      </c>
      <c r="M11" s="13">
        <v>0.16</v>
      </c>
    </row>
    <row r="12" spans="1:19" s="11" customFormat="1" x14ac:dyDescent="0.3">
      <c r="A12"/>
      <c r="B12" t="s">
        <v>8</v>
      </c>
      <c r="C12"/>
      <c r="D12" s="88">
        <v>2604.2539999999999</v>
      </c>
      <c r="E12" s="88">
        <v>4585.2889999999998</v>
      </c>
      <c r="F12" s="88">
        <v>6194.509</v>
      </c>
      <c r="G12" s="88">
        <v>5632.8310000000001</v>
      </c>
      <c r="I12" s="11">
        <f>I13*I8</f>
        <v>3741.9283440000004</v>
      </c>
      <c r="J12" s="11">
        <f t="shared" ref="J12:L12" si="6">J13*J8</f>
        <v>4276.71226983</v>
      </c>
      <c r="K12" s="11">
        <f t="shared" si="6"/>
        <v>4882.0315449444006</v>
      </c>
      <c r="L12" s="11">
        <f t="shared" si="6"/>
        <v>5174.9534376410647</v>
      </c>
      <c r="M12" s="11">
        <f>M13*M8</f>
        <v>5485.4506438995286</v>
      </c>
    </row>
    <row r="13" spans="1:19" s="13" customFormat="1" x14ac:dyDescent="0.3">
      <c r="A13" s="2"/>
      <c r="B13" s="12" t="s">
        <v>7</v>
      </c>
      <c r="C13" s="2"/>
      <c r="D13" s="13">
        <f>D12/D8</f>
        <v>0.12920203645017397</v>
      </c>
      <c r="E13" s="13">
        <f t="shared" ref="E13:G13" si="7">E12/E8</f>
        <v>0.18344049957321265</v>
      </c>
      <c r="F13" s="13">
        <f t="shared" si="7"/>
        <v>0.20858446828665406</v>
      </c>
      <c r="G13" s="13">
        <f t="shared" si="7"/>
        <v>0.17816647187855345</v>
      </c>
      <c r="I13" s="13">
        <v>0.12</v>
      </c>
      <c r="J13" s="13">
        <v>0.13</v>
      </c>
      <c r="K13" s="13">
        <v>0.14000000000000001</v>
      </c>
      <c r="L13" s="13">
        <v>0.14000000000000001</v>
      </c>
      <c r="M13" s="13">
        <v>0.14000000000000001</v>
      </c>
      <c r="S13" s="11"/>
    </row>
    <row r="14" spans="1:19" x14ac:dyDescent="0.3">
      <c r="B14" s="4"/>
      <c r="P14" s="11"/>
      <c r="S14" s="84"/>
    </row>
    <row r="15" spans="1:19" s="11" customFormat="1" x14ac:dyDescent="0.3">
      <c r="A15"/>
      <c r="B15" t="s">
        <v>9</v>
      </c>
      <c r="C15" s="3"/>
      <c r="D15" s="11">
        <f>D12*D16</f>
        <v>246.64889633999999</v>
      </c>
      <c r="E15" s="11">
        <f t="shared" ref="E15:G15" si="8">E12*E16</f>
        <v>627.67104063199997</v>
      </c>
      <c r="F15" s="11">
        <f t="shared" si="8"/>
        <v>767.80319604099998</v>
      </c>
      <c r="G15" s="11">
        <f t="shared" si="8"/>
        <v>826.10536162900007</v>
      </c>
      <c r="I15" s="11">
        <f>I16*I12</f>
        <v>561.28925160000006</v>
      </c>
      <c r="J15" s="11">
        <f t="shared" ref="J15:M15" si="9">J16*J12</f>
        <v>641.5068404745</v>
      </c>
      <c r="K15" s="11">
        <f t="shared" si="9"/>
        <v>732.30473174166002</v>
      </c>
      <c r="L15" s="11">
        <f t="shared" si="9"/>
        <v>776.24301564615973</v>
      </c>
      <c r="M15" s="11">
        <f t="shared" si="9"/>
        <v>822.81759658492922</v>
      </c>
    </row>
    <row r="16" spans="1:19" s="13" customFormat="1" x14ac:dyDescent="0.3">
      <c r="A16" s="2"/>
      <c r="B16" s="12" t="s">
        <v>10</v>
      </c>
      <c r="C16" s="2"/>
      <c r="D16" s="89">
        <v>9.4710000000000003E-2</v>
      </c>
      <c r="E16" s="89">
        <v>0.13688800000000001</v>
      </c>
      <c r="F16" s="89">
        <v>0.123949</v>
      </c>
      <c r="G16" s="89">
        <v>0.14665900000000001</v>
      </c>
      <c r="I16" s="13">
        <v>0.15</v>
      </c>
      <c r="J16" s="13">
        <v>0.15</v>
      </c>
      <c r="K16" s="13">
        <v>0.15</v>
      </c>
      <c r="L16" s="13">
        <v>0.15</v>
      </c>
      <c r="M16" s="13">
        <v>0.15</v>
      </c>
    </row>
    <row r="17" spans="1:20" s="11" customFormat="1" x14ac:dyDescent="0.3">
      <c r="A17" t="s">
        <v>17</v>
      </c>
      <c r="B17" s="5" t="s">
        <v>11</v>
      </c>
      <c r="C17" s="5"/>
      <c r="D17" s="15">
        <f>D12-D15</f>
        <v>2357.6051036599997</v>
      </c>
      <c r="E17" s="15">
        <f t="shared" ref="E17:M17" si="10">E12-E15</f>
        <v>3957.6179593679999</v>
      </c>
      <c r="F17" s="15">
        <f t="shared" si="10"/>
        <v>5426.7058039590001</v>
      </c>
      <c r="G17" s="15">
        <f t="shared" si="10"/>
        <v>4806.7256383710001</v>
      </c>
      <c r="H17" s="15"/>
      <c r="I17" s="15">
        <f t="shared" si="10"/>
        <v>3180.6390924000002</v>
      </c>
      <c r="J17" s="15">
        <f t="shared" si="10"/>
        <v>3635.2054293555002</v>
      </c>
      <c r="K17" s="15">
        <f t="shared" si="10"/>
        <v>4149.7268132027402</v>
      </c>
      <c r="L17" s="15">
        <f t="shared" si="10"/>
        <v>4398.7104219949051</v>
      </c>
      <c r="M17" s="15">
        <f t="shared" si="10"/>
        <v>4662.633047314599</v>
      </c>
    </row>
    <row r="19" spans="1:20" s="11" customFormat="1" x14ac:dyDescent="0.3">
      <c r="A19"/>
      <c r="B19" t="s">
        <v>12</v>
      </c>
      <c r="C19"/>
      <c r="D19" s="11">
        <f>D10-D12</f>
        <v>103.57900000000018</v>
      </c>
      <c r="E19" s="11">
        <f t="shared" ref="E19:G19" si="11">E10-E12</f>
        <v>115.71000000000004</v>
      </c>
      <c r="F19" s="11">
        <f t="shared" si="11"/>
        <v>208.41200000000026</v>
      </c>
      <c r="G19" s="11">
        <f t="shared" si="11"/>
        <v>336.68199999999979</v>
      </c>
      <c r="I19" s="11">
        <f>I10-I12</f>
        <v>623.65472400000044</v>
      </c>
      <c r="J19" s="11">
        <f>J10-J12</f>
        <v>657.95573382000021</v>
      </c>
      <c r="K19" s="11">
        <f t="shared" ref="K19:M19" si="12">K10-K12</f>
        <v>697.43307784920034</v>
      </c>
      <c r="L19" s="11">
        <f t="shared" si="12"/>
        <v>739.27906252015237</v>
      </c>
      <c r="M19" s="11">
        <f t="shared" si="12"/>
        <v>783.63580627136162</v>
      </c>
    </row>
    <row r="20" spans="1:20" s="11" customFormat="1" x14ac:dyDescent="0.3">
      <c r="A20"/>
      <c r="B20" t="s">
        <v>13</v>
      </c>
      <c r="C20"/>
      <c r="D20" s="88">
        <v>-4917.3</v>
      </c>
      <c r="E20" s="88">
        <v>11.352</v>
      </c>
      <c r="F20" s="88">
        <v>61.722000000000001</v>
      </c>
      <c r="G20" s="88">
        <v>1064.9649999999999</v>
      </c>
      <c r="I20" s="11">
        <f>$T$24*I8</f>
        <v>-1619.470360462383</v>
      </c>
      <c r="J20" s="11">
        <f t="shared" ref="J20:M20" si="13">$T$24*J8</f>
        <v>-1708.541230287814</v>
      </c>
      <c r="K20" s="11">
        <f t="shared" si="13"/>
        <v>-1811.0537041050829</v>
      </c>
      <c r="L20" s="11">
        <f t="shared" si="13"/>
        <v>-1919.7169263513879</v>
      </c>
      <c r="M20" s="11">
        <f t="shared" si="13"/>
        <v>-2034.8999419324712</v>
      </c>
    </row>
    <row r="21" spans="1:20" s="11" customFormat="1" x14ac:dyDescent="0.3">
      <c r="A21"/>
      <c r="B21" t="s">
        <v>14</v>
      </c>
      <c r="C21"/>
      <c r="D21" s="88">
        <v>-253</v>
      </c>
      <c r="E21" s="88">
        <v>-497.9</v>
      </c>
      <c r="F21" s="88">
        <v>-524.6</v>
      </c>
      <c r="G21" s="88">
        <v>-407.7</v>
      </c>
      <c r="I21" s="11">
        <f>I22*I8</f>
        <v>-491.37048410909722</v>
      </c>
      <c r="J21" s="11">
        <f t="shared" ref="J21:M21" si="14">J22*J8</f>
        <v>-518.39586073509747</v>
      </c>
      <c r="K21" s="11">
        <f t="shared" si="14"/>
        <v>-549.49961237920343</v>
      </c>
      <c r="L21" s="11">
        <f t="shared" si="14"/>
        <v>-582.46958912195555</v>
      </c>
      <c r="M21" s="11">
        <f t="shared" si="14"/>
        <v>-617.41776446927292</v>
      </c>
    </row>
    <row r="22" spans="1:20" s="14" customFormat="1" x14ac:dyDescent="0.3">
      <c r="A22" s="2"/>
      <c r="B22" s="12" t="s">
        <v>15</v>
      </c>
      <c r="C22" s="2"/>
      <c r="D22" s="14">
        <f>D21/D8</f>
        <v>-1.2551815307529149E-2</v>
      </c>
      <c r="E22" s="14">
        <f t="shared" ref="E22:G22" si="15">E21/E8</f>
        <v>-1.991914244391195E-2</v>
      </c>
      <c r="F22" s="14">
        <f t="shared" si="15"/>
        <v>-1.7664581981102736E-2</v>
      </c>
      <c r="G22" s="14">
        <f t="shared" si="15"/>
        <v>-1.2895552979467382E-2</v>
      </c>
      <c r="I22" s="14">
        <f>AVERAGE($D$22:$G$22)</f>
        <v>-1.5757773178002806E-2</v>
      </c>
      <c r="J22" s="14">
        <f t="shared" ref="J22:M22" si="16">AVERAGE($D$22:$G$22)</f>
        <v>-1.5757773178002806E-2</v>
      </c>
      <c r="K22" s="14">
        <f t="shared" si="16"/>
        <v>-1.5757773178002806E-2</v>
      </c>
      <c r="L22" s="14">
        <f t="shared" si="16"/>
        <v>-1.5757773178002806E-2</v>
      </c>
      <c r="M22" s="14">
        <f t="shared" si="16"/>
        <v>-1.5757773178002806E-2</v>
      </c>
      <c r="O22" s="14">
        <v>-3.2000000000000001E-2</v>
      </c>
    </row>
    <row r="23" spans="1:20" x14ac:dyDescent="0.3">
      <c r="O23" s="17" t="s">
        <v>72</v>
      </c>
      <c r="P23" s="17"/>
      <c r="Q23" s="17"/>
      <c r="R23" s="17"/>
      <c r="S23" s="17"/>
      <c r="T23" s="17"/>
    </row>
    <row r="24" spans="1:20" s="11" customFormat="1" x14ac:dyDescent="0.3">
      <c r="A24"/>
      <c r="B24" s="5" t="s">
        <v>16</v>
      </c>
      <c r="C24" s="5"/>
      <c r="D24" s="22">
        <f>D17+D19-D20+D21</f>
        <v>7125.4841036600001</v>
      </c>
      <c r="E24" s="22">
        <f t="shared" ref="E24:F24" si="17">E17+E19-E20+E21</f>
        <v>3564.075959368</v>
      </c>
      <c r="F24" s="22">
        <f t="shared" si="17"/>
        <v>5048.7958039590003</v>
      </c>
      <c r="G24" s="22">
        <f>G17+G19-G20+G21</f>
        <v>3670.7426383709999</v>
      </c>
      <c r="H24" s="22"/>
      <c r="I24" s="22">
        <f>I17+I19-I20+I21</f>
        <v>4932.3936927532859</v>
      </c>
      <c r="J24" s="22">
        <f t="shared" ref="J24:M24" si="18">J17+J19-J20+J21</f>
        <v>5483.3065327282166</v>
      </c>
      <c r="K24" s="22">
        <f t="shared" si="18"/>
        <v>6108.7139827778201</v>
      </c>
      <c r="L24" s="22">
        <f>L17+L19-L20+L21</f>
        <v>6475.23682174449</v>
      </c>
      <c r="M24" s="22">
        <f t="shared" si="18"/>
        <v>6863.7510310491589</v>
      </c>
      <c r="O24" s="10">
        <f>D20/D8</f>
        <v>-0.24395668542179086</v>
      </c>
      <c r="P24" s="10">
        <f>E20/E8</f>
        <v>4.5415164696382504E-4</v>
      </c>
      <c r="Q24" s="10">
        <f t="shared" ref="Q24:R24" si="19">F20/F8</f>
        <v>2.0783326897400364E-3</v>
      </c>
      <c r="R24" s="10">
        <f t="shared" si="19"/>
        <v>3.3684848120624188E-2</v>
      </c>
      <c r="S24" s="10"/>
      <c r="T24" s="70">
        <f>AVERAGE(O24:R24)</f>
        <v>-5.1934838241115701E-2</v>
      </c>
    </row>
    <row r="25" spans="1:20" s="15" customFormat="1" x14ac:dyDescent="0.3">
      <c r="A25" s="5" t="s">
        <v>17</v>
      </c>
      <c r="B25" s="5" t="s">
        <v>33</v>
      </c>
      <c r="C25" s="5"/>
      <c r="I25" s="73">
        <f>I24/(1+$C$85)^D28</f>
        <v>4747.7572270207365</v>
      </c>
      <c r="J25" s="73">
        <f>J24/(1+$C$85)^E28</f>
        <v>4890.2924796466232</v>
      </c>
      <c r="K25" s="73">
        <f>K24/(1+$C$85)^F28</f>
        <v>5047.8174474981324</v>
      </c>
      <c r="L25" s="73">
        <f>L24/(1+$C$85)^G28</f>
        <v>4957.595001651307</v>
      </c>
      <c r="M25" s="73">
        <f>M24/(1+$C$85)^H28</f>
        <v>4868.9851517074139</v>
      </c>
    </row>
    <row r="26" spans="1:20" s="11" customFormat="1" x14ac:dyDescent="0.3">
      <c r="A26"/>
      <c r="B26"/>
      <c r="C26"/>
    </row>
    <row r="27" spans="1:20" s="11" customFormat="1" x14ac:dyDescent="0.3">
      <c r="A27"/>
      <c r="B27"/>
      <c r="C27"/>
      <c r="J27"/>
    </row>
    <row r="28" spans="1:20" s="11" customFormat="1" x14ac:dyDescent="0.3">
      <c r="A28"/>
      <c r="B28" t="s">
        <v>34</v>
      </c>
      <c r="C28" s="6"/>
      <c r="D28" s="11">
        <v>0.5</v>
      </c>
      <c r="E28" s="11">
        <v>1.5</v>
      </c>
      <c r="F28" s="11">
        <v>2.5</v>
      </c>
      <c r="G28" s="11">
        <v>3.5</v>
      </c>
      <c r="H28" s="11">
        <v>4.5</v>
      </c>
    </row>
    <row r="31" spans="1:20" x14ac:dyDescent="0.3">
      <c r="B31" s="16" t="s">
        <v>35</v>
      </c>
      <c r="C31" s="16"/>
      <c r="E31" s="16" t="s">
        <v>36</v>
      </c>
      <c r="F31" s="17"/>
      <c r="G31" s="17"/>
      <c r="H31" s="17"/>
      <c r="I31" s="17"/>
    </row>
    <row r="32" spans="1:20" x14ac:dyDescent="0.3">
      <c r="B32" t="s">
        <v>37</v>
      </c>
      <c r="C32" s="80">
        <v>0.02</v>
      </c>
      <c r="E32" t="s">
        <v>38</v>
      </c>
      <c r="I32" s="33">
        <f>M10</f>
        <v>6269.0864501708902</v>
      </c>
    </row>
    <row r="33" spans="1:17" x14ac:dyDescent="0.3">
      <c r="B33" s="34" t="s">
        <v>73</v>
      </c>
      <c r="C33" s="33">
        <f>M24*(1+C32)</f>
        <v>7001.0260516701419</v>
      </c>
      <c r="E33" t="s">
        <v>39</v>
      </c>
      <c r="I33" s="81">
        <v>20.29</v>
      </c>
      <c r="J33" t="s">
        <v>80</v>
      </c>
    </row>
    <row r="34" spans="1:17" x14ac:dyDescent="0.3">
      <c r="B34" t="s">
        <v>75</v>
      </c>
      <c r="C34" s="33">
        <f>C33/(C85-C32)</f>
        <v>118079.53956002835</v>
      </c>
      <c r="E34" t="s">
        <v>43</v>
      </c>
      <c r="I34" s="33">
        <f>I32*I33</f>
        <v>127199.76407396735</v>
      </c>
    </row>
    <row r="35" spans="1:17" x14ac:dyDescent="0.3">
      <c r="B35" t="s">
        <v>40</v>
      </c>
      <c r="C35" s="33">
        <f>C34/(1+C85)^H28</f>
        <v>83762.875756632115</v>
      </c>
      <c r="E35" t="s">
        <v>40</v>
      </c>
      <c r="I35" s="33">
        <f>I34/(1+C85)^H29</f>
        <v>127199.76407396735</v>
      </c>
      <c r="P35" s="71"/>
      <c r="Q35" s="71"/>
    </row>
    <row r="36" spans="1:17" x14ac:dyDescent="0.3">
      <c r="B36" t="s">
        <v>41</v>
      </c>
      <c r="C36" s="3">
        <f>SUM(I25:M25)</f>
        <v>24512.447307524213</v>
      </c>
      <c r="E36" t="s">
        <v>41</v>
      </c>
      <c r="I36" s="33">
        <f>C36</f>
        <v>24512.447307524213</v>
      </c>
      <c r="P36" s="71"/>
    </row>
    <row r="37" spans="1:17" x14ac:dyDescent="0.3">
      <c r="A37" t="s">
        <v>17</v>
      </c>
      <c r="B37" s="5" t="s">
        <v>42</v>
      </c>
      <c r="C37" s="35">
        <f>SUM(C35:C36)</f>
        <v>108275.32306415633</v>
      </c>
      <c r="D37" s="36"/>
      <c r="E37" s="5" t="s">
        <v>42</v>
      </c>
      <c r="I37" s="35">
        <f>SUM(I35:I36)</f>
        <v>151712.21138149156</v>
      </c>
    </row>
    <row r="39" spans="1:17" x14ac:dyDescent="0.3">
      <c r="B39" s="16" t="s">
        <v>47</v>
      </c>
      <c r="C39" s="17"/>
      <c r="E39" s="16" t="s">
        <v>49</v>
      </c>
      <c r="F39" s="17"/>
      <c r="G39" s="16"/>
      <c r="H39" s="17"/>
      <c r="I39" s="17"/>
    </row>
    <row r="40" spans="1:17" x14ac:dyDescent="0.3">
      <c r="B40" s="43"/>
      <c r="C40" s="44"/>
      <c r="G40" s="49"/>
      <c r="H40" s="50"/>
      <c r="I40" s="50" t="s">
        <v>57</v>
      </c>
    </row>
    <row r="41" spans="1:17" x14ac:dyDescent="0.3">
      <c r="B41" s="52" t="s">
        <v>51</v>
      </c>
      <c r="C41" s="45"/>
      <c r="E41" t="s">
        <v>58</v>
      </c>
      <c r="G41" s="42"/>
      <c r="H41" s="42"/>
      <c r="I41" s="55">
        <v>445.3</v>
      </c>
    </row>
    <row r="42" spans="1:17" x14ac:dyDescent="0.3">
      <c r="B42" s="4" t="s">
        <v>52</v>
      </c>
      <c r="C42" s="53">
        <v>16931</v>
      </c>
      <c r="E42" s="43" t="s">
        <v>59</v>
      </c>
      <c r="G42" s="42"/>
      <c r="H42" s="42"/>
      <c r="I42" s="55">
        <v>0</v>
      </c>
    </row>
    <row r="43" spans="1:17" x14ac:dyDescent="0.3">
      <c r="B43" s="4" t="s">
        <v>53</v>
      </c>
      <c r="C43" s="53">
        <v>0</v>
      </c>
      <c r="E43" s="43" t="s">
        <v>60</v>
      </c>
      <c r="G43" s="42"/>
      <c r="H43" s="42"/>
      <c r="I43" s="56">
        <v>0</v>
      </c>
    </row>
    <row r="44" spans="1:17" x14ac:dyDescent="0.3">
      <c r="B44" s="4" t="s">
        <v>54</v>
      </c>
      <c r="C44" s="53">
        <v>0</v>
      </c>
      <c r="E44" t="s">
        <v>53</v>
      </c>
      <c r="G44" s="42"/>
      <c r="H44" s="42"/>
      <c r="I44" s="56">
        <v>0</v>
      </c>
    </row>
    <row r="45" spans="1:17" x14ac:dyDescent="0.3">
      <c r="B45" s="46" t="s">
        <v>55</v>
      </c>
      <c r="C45" s="53">
        <v>0</v>
      </c>
      <c r="E45" t="s">
        <v>61</v>
      </c>
      <c r="G45" s="42"/>
      <c r="H45" s="42"/>
      <c r="I45" s="56">
        <v>0</v>
      </c>
    </row>
    <row r="46" spans="1:17" x14ac:dyDescent="0.3">
      <c r="B46" s="52" t="s">
        <v>56</v>
      </c>
      <c r="C46" s="54"/>
      <c r="E46" s="51" t="s">
        <v>62</v>
      </c>
      <c r="I46" s="57">
        <f>SUM(I41:I45)</f>
        <v>445.3</v>
      </c>
    </row>
    <row r="47" spans="1:17" x14ac:dyDescent="0.3">
      <c r="B47" s="47" t="s">
        <v>74</v>
      </c>
      <c r="C47" s="53">
        <v>6058</v>
      </c>
    </row>
    <row r="48" spans="1:17" x14ac:dyDescent="0.3">
      <c r="B48" s="47"/>
      <c r="C48" s="53"/>
    </row>
    <row r="50" spans="1:12" x14ac:dyDescent="0.3">
      <c r="A50" t="s">
        <v>17</v>
      </c>
      <c r="B50" s="48" t="s">
        <v>47</v>
      </c>
      <c r="C50" s="22">
        <f>C42-C47</f>
        <v>10873</v>
      </c>
    </row>
    <row r="52" spans="1:12" x14ac:dyDescent="0.3">
      <c r="A52" t="s">
        <v>17</v>
      </c>
      <c r="B52" s="16" t="s">
        <v>44</v>
      </c>
      <c r="C52" s="17"/>
      <c r="D52" s="17"/>
    </row>
    <row r="53" spans="1:12" ht="16.2" x14ac:dyDescent="0.45">
      <c r="C53" s="37" t="s">
        <v>45</v>
      </c>
      <c r="D53" s="37" t="s">
        <v>6</v>
      </c>
    </row>
    <row r="54" spans="1:12" x14ac:dyDescent="0.3">
      <c r="B54" t="s">
        <v>46</v>
      </c>
      <c r="C54" s="38">
        <f>C37</f>
        <v>108275.32306415633</v>
      </c>
      <c r="D54" s="38">
        <f>I37</f>
        <v>151712.21138149156</v>
      </c>
    </row>
    <row r="55" spans="1:12" x14ac:dyDescent="0.3">
      <c r="B55" t="s">
        <v>47</v>
      </c>
      <c r="C55" s="39">
        <f>$C$50</f>
        <v>10873</v>
      </c>
      <c r="D55" s="39">
        <f>C55</f>
        <v>10873</v>
      </c>
    </row>
    <row r="56" spans="1:12" x14ac:dyDescent="0.3">
      <c r="B56" t="s">
        <v>48</v>
      </c>
      <c r="C56" s="40">
        <f>C54-C55</f>
        <v>97402.323064156328</v>
      </c>
      <c r="D56" s="40">
        <f>D54-D55</f>
        <v>140839.21138149156</v>
      </c>
    </row>
    <row r="57" spans="1:12" x14ac:dyDescent="0.3">
      <c r="B57" t="s">
        <v>49</v>
      </c>
      <c r="C57" s="40">
        <f>I46</f>
        <v>445.3</v>
      </c>
      <c r="D57" s="40">
        <f>C57</f>
        <v>445.3</v>
      </c>
    </row>
    <row r="58" spans="1:12" x14ac:dyDescent="0.3">
      <c r="B58" s="58" t="s">
        <v>50</v>
      </c>
      <c r="C58" s="74">
        <f>C56/C57</f>
        <v>218.73416362936521</v>
      </c>
      <c r="D58" s="75">
        <f t="shared" ref="D58" si="20">D56/D57</f>
        <v>316.27938778686632</v>
      </c>
      <c r="F58" s="69"/>
      <c r="G58" s="69"/>
    </row>
    <row r="61" spans="1:12" x14ac:dyDescent="0.3">
      <c r="L61" s="11"/>
    </row>
    <row r="62" spans="1:12" x14ac:dyDescent="0.3">
      <c r="B62" s="5"/>
      <c r="C62" s="41"/>
      <c r="D62" s="41"/>
    </row>
    <row r="63" spans="1:12" x14ac:dyDescent="0.3">
      <c r="B63" s="5"/>
      <c r="C63" s="41"/>
      <c r="D63" s="41"/>
      <c r="L63" s="11"/>
    </row>
    <row r="64" spans="1:12" x14ac:dyDescent="0.3">
      <c r="B64" s="5"/>
      <c r="C64" s="41"/>
      <c r="D64" s="41"/>
    </row>
    <row r="65" spans="1:22" x14ac:dyDescent="0.3">
      <c r="B65" s="5"/>
      <c r="C65" s="41"/>
      <c r="D65" s="41"/>
    </row>
    <row r="66" spans="1:22" ht="25.8" x14ac:dyDescent="0.5">
      <c r="B66" s="18" t="s">
        <v>18</v>
      </c>
      <c r="C66" s="17"/>
    </row>
    <row r="68" spans="1:22" x14ac:dyDescent="0.3">
      <c r="A68" t="s">
        <v>17</v>
      </c>
      <c r="B68" s="72" t="s">
        <v>19</v>
      </c>
      <c r="C68" s="21"/>
    </row>
    <row r="69" spans="1:22" x14ac:dyDescent="0.3">
      <c r="B69" t="s">
        <v>20</v>
      </c>
      <c r="C69" s="24">
        <v>0.04</v>
      </c>
    </row>
    <row r="70" spans="1:22" x14ac:dyDescent="0.3">
      <c r="B70" t="s">
        <v>10</v>
      </c>
      <c r="C70" s="25">
        <v>0.15</v>
      </c>
      <c r="G70">
        <v>698</v>
      </c>
      <c r="I70">
        <v>14353</v>
      </c>
      <c r="J70">
        <f>G70/I70</f>
        <v>4.8630948233818715E-2</v>
      </c>
    </row>
    <row r="71" spans="1:22" x14ac:dyDescent="0.3">
      <c r="B71" t="s">
        <v>21</v>
      </c>
      <c r="C71" s="24">
        <f>C69*(1-C70)</f>
        <v>3.4000000000000002E-2</v>
      </c>
      <c r="I71">
        <v>16931</v>
      </c>
      <c r="J71">
        <f>G70/I71</f>
        <v>4.1226153210088004E-2</v>
      </c>
      <c r="K71" t="s">
        <v>79</v>
      </c>
      <c r="R71" s="32" t="s">
        <v>25</v>
      </c>
      <c r="S71" s="31"/>
      <c r="T71" s="31"/>
      <c r="U71" s="31"/>
      <c r="V71" s="31"/>
    </row>
    <row r="72" spans="1:22" x14ac:dyDescent="0.3">
      <c r="C72" s="24"/>
      <c r="Q72" s="29">
        <f>C85</f>
        <v>7.9290763478214746E-2</v>
      </c>
      <c r="R72" s="77">
        <f>S72-0.005</f>
        <v>0.106</v>
      </c>
      <c r="S72" s="77">
        <f>T72-0.005</f>
        <v>0.111</v>
      </c>
      <c r="T72" s="77">
        <v>0.11600000000000001</v>
      </c>
      <c r="U72" s="77">
        <f>T72+0.005</f>
        <v>0.12100000000000001</v>
      </c>
      <c r="V72" s="77">
        <f>U72+0.005</f>
        <v>0.126</v>
      </c>
    </row>
    <row r="73" spans="1:22" x14ac:dyDescent="0.3">
      <c r="B73" t="s">
        <v>22</v>
      </c>
      <c r="C73" s="24">
        <v>0.04</v>
      </c>
      <c r="Q73" s="78">
        <f>Q74-0.005</f>
        <v>2.4E-2</v>
      </c>
      <c r="R73" s="10">
        <v>6.918056697340158E-2</v>
      </c>
      <c r="S73" s="10">
        <v>7.1935479593730936E-2</v>
      </c>
      <c r="T73" s="10">
        <v>7.4690392214060305E-2</v>
      </c>
      <c r="U73" s="10">
        <v>7.7445304834389675E-2</v>
      </c>
      <c r="V73" s="10">
        <v>8.0200217454719044E-2</v>
      </c>
    </row>
    <row r="74" spans="1:22" x14ac:dyDescent="0.3">
      <c r="B74" t="s">
        <v>23</v>
      </c>
      <c r="C74" s="26">
        <v>1.27</v>
      </c>
      <c r="P74" s="5" t="s">
        <v>76</v>
      </c>
      <c r="Q74" s="78">
        <f>Q75-0.005</f>
        <v>2.9000000000000001E-2</v>
      </c>
      <c r="R74" s="10">
        <v>7.1425654353072215E-2</v>
      </c>
      <c r="S74" s="10">
        <v>7.4180566973401571E-2</v>
      </c>
      <c r="T74" s="10">
        <v>7.693547959373094E-2</v>
      </c>
      <c r="U74" s="10">
        <v>7.969039221406031E-2</v>
      </c>
      <c r="V74" s="10">
        <v>8.2445304834389679E-2</v>
      </c>
    </row>
    <row r="75" spans="1:22" x14ac:dyDescent="0.3">
      <c r="B75" t="s">
        <v>24</v>
      </c>
      <c r="C75" s="25">
        <v>0.06</v>
      </c>
      <c r="O75" s="5"/>
      <c r="P75" s="5" t="s">
        <v>77</v>
      </c>
      <c r="Q75" s="78">
        <v>3.4000000000000002E-2</v>
      </c>
      <c r="R75" s="10">
        <v>7.367074173274285E-2</v>
      </c>
      <c r="S75" s="10">
        <v>7.642565435307222E-2</v>
      </c>
      <c r="T75" s="83">
        <v>7.9180566973401575E-2</v>
      </c>
      <c r="U75" s="10">
        <v>8.1935479593730945E-2</v>
      </c>
      <c r="V75" s="10">
        <v>8.4690392214060314E-2</v>
      </c>
    </row>
    <row r="76" spans="1:22" x14ac:dyDescent="0.3">
      <c r="B76" t="s">
        <v>25</v>
      </c>
      <c r="C76" s="24">
        <f>C73+C74*C75</f>
        <v>0.1162</v>
      </c>
      <c r="Q76" s="78">
        <f>Q75+0.005</f>
        <v>3.9E-2</v>
      </c>
      <c r="R76" s="10">
        <v>7.5915829112413485E-2</v>
      </c>
      <c r="S76" s="10">
        <v>7.8670741732742855E-2</v>
      </c>
      <c r="T76" s="10">
        <v>8.142565435307221E-2</v>
      </c>
      <c r="U76" s="10">
        <v>8.418056697340158E-2</v>
      </c>
      <c r="V76" s="10">
        <v>8.6935479593730949E-2</v>
      </c>
    </row>
    <row r="77" spans="1:22" x14ac:dyDescent="0.3">
      <c r="Q77" s="78">
        <f>Q76+0.005</f>
        <v>4.3999999999999997E-2</v>
      </c>
      <c r="R77" s="10">
        <v>7.816091649208412E-2</v>
      </c>
      <c r="S77" s="10">
        <v>8.0915829112413476E-2</v>
      </c>
      <c r="T77" s="10">
        <v>8.3670741732742845E-2</v>
      </c>
      <c r="U77" s="10">
        <v>8.6425654353072215E-2</v>
      </c>
      <c r="V77" s="10">
        <v>8.9180566973401584E-2</v>
      </c>
    </row>
    <row r="78" spans="1:22" x14ac:dyDescent="0.3">
      <c r="A78" t="s">
        <v>17</v>
      </c>
      <c r="B78" s="72" t="s">
        <v>27</v>
      </c>
      <c r="C78" s="27"/>
    </row>
    <row r="79" spans="1:22" x14ac:dyDescent="0.3">
      <c r="B79" t="s">
        <v>31</v>
      </c>
      <c r="C79" s="11">
        <v>16932</v>
      </c>
    </row>
    <row r="80" spans="1:22" x14ac:dyDescent="0.3">
      <c r="B80" t="s">
        <v>32</v>
      </c>
      <c r="C80" s="11">
        <v>20777</v>
      </c>
    </row>
    <row r="81" spans="1:22" x14ac:dyDescent="0.3">
      <c r="B81" t="s">
        <v>30</v>
      </c>
      <c r="C81" s="11">
        <v>37709</v>
      </c>
    </row>
    <row r="82" spans="1:22" x14ac:dyDescent="0.3">
      <c r="B82" t="s">
        <v>28</v>
      </c>
      <c r="C82" s="28">
        <f>C79/$C$81</f>
        <v>0.44901747593412711</v>
      </c>
    </row>
    <row r="83" spans="1:22" x14ac:dyDescent="0.3">
      <c r="B83" t="s">
        <v>29</v>
      </c>
      <c r="C83" s="28">
        <f>C80/$C$81</f>
        <v>0.55098252406587289</v>
      </c>
      <c r="Q83" s="21" t="s">
        <v>50</v>
      </c>
      <c r="R83" s="21"/>
      <c r="S83" s="21"/>
      <c r="T83" s="21"/>
      <c r="U83" s="21"/>
      <c r="V83" s="21"/>
    </row>
    <row r="84" spans="1:22" x14ac:dyDescent="0.3">
      <c r="R84" s="30" t="s">
        <v>63</v>
      </c>
      <c r="S84" s="30"/>
      <c r="T84" s="30"/>
      <c r="U84" s="30"/>
      <c r="V84" s="30"/>
    </row>
    <row r="85" spans="1:22" x14ac:dyDescent="0.3">
      <c r="A85" t="s">
        <v>17</v>
      </c>
      <c r="B85" s="58" t="s">
        <v>26</v>
      </c>
      <c r="C85" s="76">
        <f>(C82*C71)+(C83*C76)</f>
        <v>7.9290763478214746E-2</v>
      </c>
      <c r="D85" s="23"/>
      <c r="Q85" s="59">
        <f>C58</f>
        <v>218.73416362936521</v>
      </c>
      <c r="R85" s="78">
        <f>S85-0.005</f>
        <v>9.9999999999999985E-3</v>
      </c>
      <c r="S85" s="78">
        <f>T85-0.005</f>
        <v>1.4999999999999999E-2</v>
      </c>
      <c r="T85" s="78">
        <v>0.02</v>
      </c>
      <c r="U85" s="78">
        <f>T85+0.005</f>
        <v>2.5000000000000001E-2</v>
      </c>
      <c r="V85" s="78">
        <f>U85+0.005</f>
        <v>3.0000000000000002E-2</v>
      </c>
    </row>
    <row r="86" spans="1:22" x14ac:dyDescent="0.3">
      <c r="Q86" s="78">
        <f>Q87+0.005</f>
        <v>8.900000000000001E-2</v>
      </c>
      <c r="R86" s="61">
        <v>237.35233932055854</v>
      </c>
      <c r="S86" s="61">
        <v>251.22399226790543</v>
      </c>
      <c r="T86" s="61">
        <v>267.10602970037513</v>
      </c>
      <c r="U86" s="61">
        <v>285.46963548166815</v>
      </c>
      <c r="V86" s="61">
        <v>306.94571681911253</v>
      </c>
    </row>
    <row r="87" spans="1:22" x14ac:dyDescent="0.3">
      <c r="Q87" s="78">
        <f>Q88+0.005</f>
        <v>8.4000000000000005E-2</v>
      </c>
      <c r="R87" s="61">
        <v>255.31763276329977</v>
      </c>
      <c r="S87" s="61">
        <v>271.45755012359319</v>
      </c>
      <c r="T87" s="61">
        <v>290.1193295714325</v>
      </c>
      <c r="U87" s="61">
        <v>311.9441224850072</v>
      </c>
      <c r="V87" s="61">
        <v>337.81054371591057</v>
      </c>
    </row>
    <row r="88" spans="1:22" x14ac:dyDescent="0.3">
      <c r="P88" s="60" t="s">
        <v>18</v>
      </c>
      <c r="Q88" s="78">
        <v>7.9000000000000001E-2</v>
      </c>
      <c r="R88" s="61">
        <v>275.89821500919192</v>
      </c>
      <c r="S88" s="61">
        <v>294.86442190333383</v>
      </c>
      <c r="T88" s="62">
        <v>317.04524013546597</v>
      </c>
      <c r="U88" s="61">
        <v>343.33361729947421</v>
      </c>
      <c r="V88" s="61">
        <v>374.98696939491293</v>
      </c>
    </row>
    <row r="89" spans="1:22" x14ac:dyDescent="0.3">
      <c r="C89" s="85" t="s">
        <v>71</v>
      </c>
      <c r="D89" s="85" t="s">
        <v>68</v>
      </c>
      <c r="E89" s="85" t="s">
        <v>69</v>
      </c>
      <c r="P89" s="60"/>
      <c r="Q89" s="78">
        <f>Q88-0.005</f>
        <v>7.3999999999999996E-2</v>
      </c>
      <c r="R89" s="61">
        <v>299.70734287637083</v>
      </c>
      <c r="S89" s="61">
        <v>322.25168853007756</v>
      </c>
      <c r="T89" s="61">
        <v>348.97091300854481</v>
      </c>
      <c r="U89" s="61">
        <v>381.14304044180125</v>
      </c>
      <c r="V89" s="61">
        <v>420.62701501897971</v>
      </c>
    </row>
    <row r="90" spans="1:22" x14ac:dyDescent="0.3">
      <c r="B90" t="s">
        <v>70</v>
      </c>
      <c r="C90" s="63">
        <v>25.2</v>
      </c>
      <c r="D90" s="61">
        <v>347</v>
      </c>
      <c r="E90" s="2"/>
      <c r="Q90" s="78">
        <f>Q89-0.005</f>
        <v>6.8999999999999992E-2</v>
      </c>
      <c r="R90" s="61">
        <v>327.56616602688842</v>
      </c>
      <c r="S90" s="61">
        <v>354.72535927009523</v>
      </c>
      <c r="T90" s="61">
        <v>387.42724501191555</v>
      </c>
      <c r="U90" s="61">
        <v>427.56137751324036</v>
      </c>
      <c r="V90" s="61">
        <v>477.98631322003331</v>
      </c>
    </row>
    <row r="91" spans="1:22" x14ac:dyDescent="0.3">
      <c r="C91" s="63"/>
      <c r="D91" s="61"/>
      <c r="E91" s="2"/>
    </row>
    <row r="92" spans="1:22" x14ac:dyDescent="0.3">
      <c r="B92" s="86" t="s">
        <v>66</v>
      </c>
      <c r="C92" s="63">
        <f>C93+2</f>
        <v>23.2</v>
      </c>
      <c r="D92" s="87">
        <f>(C92*$I$10)/$I$46</f>
        <v>227.44560336312603</v>
      </c>
      <c r="E92" s="13">
        <f>(D92-$D$90)/$D$90</f>
        <v>-0.34453716610050139</v>
      </c>
    </row>
    <row r="93" spans="1:22" x14ac:dyDescent="0.3">
      <c r="B93" s="86" t="s">
        <v>65</v>
      </c>
      <c r="C93" s="63">
        <v>21.2</v>
      </c>
      <c r="D93" s="87">
        <f>(C93*$I$10)/$I$46</f>
        <v>207.83822376285653</v>
      </c>
      <c r="E93" s="13">
        <f t="shared" ref="E93:E94" si="21">(D93-$D$90)/$D$90</f>
        <v>-0.40104258281597543</v>
      </c>
      <c r="Q93" s="21" t="s">
        <v>50</v>
      </c>
      <c r="R93" s="21"/>
      <c r="S93" s="21"/>
      <c r="T93" s="21"/>
      <c r="U93" s="21"/>
      <c r="V93" s="21"/>
    </row>
    <row r="94" spans="1:22" x14ac:dyDescent="0.3">
      <c r="B94" s="86" t="s">
        <v>67</v>
      </c>
      <c r="C94" s="63">
        <f>C93-2</f>
        <v>19.2</v>
      </c>
      <c r="D94" s="87">
        <f t="shared" ref="D94" si="22">(C94*$I$10)/$I$46</f>
        <v>188.23084416258706</v>
      </c>
      <c r="E94" s="13">
        <f t="shared" si="21"/>
        <v>-0.45754799953144937</v>
      </c>
      <c r="R94" s="30" t="s">
        <v>64</v>
      </c>
      <c r="S94" s="30"/>
      <c r="T94" s="30"/>
      <c r="U94" s="30"/>
      <c r="V94" s="30"/>
    </row>
    <row r="95" spans="1:22" x14ac:dyDescent="0.3">
      <c r="Q95" s="59">
        <f>D58</f>
        <v>316.27938778686632</v>
      </c>
      <c r="R95" s="79">
        <f>S95-0.5</f>
        <v>19.3</v>
      </c>
      <c r="S95" s="79">
        <f>T95-0.5</f>
        <v>19.8</v>
      </c>
      <c r="T95" s="79">
        <v>20.3</v>
      </c>
      <c r="U95" s="79">
        <f>T95+0.5</f>
        <v>20.8</v>
      </c>
      <c r="V95" s="79">
        <f>U95+0.5</f>
        <v>21.3</v>
      </c>
    </row>
    <row r="96" spans="1:22" x14ac:dyDescent="0.3">
      <c r="Q96" s="78">
        <f>Q97+0.005</f>
        <v>8.900000000000001E-2</v>
      </c>
      <c r="R96" s="61">
        <v>450.30048116657349</v>
      </c>
      <c r="S96" s="61">
        <v>460.75010207483774</v>
      </c>
      <c r="T96" s="61">
        <v>471.19972298310205</v>
      </c>
      <c r="U96" s="61">
        <v>481.6493438913663</v>
      </c>
      <c r="V96" s="61">
        <v>492.09896479963061</v>
      </c>
    </row>
    <row r="97" spans="4:28" x14ac:dyDescent="0.3">
      <c r="Q97" s="78">
        <f>Q98+0.005</f>
        <v>8.4000000000000005E-2</v>
      </c>
      <c r="R97" s="61">
        <v>451.14701442767915</v>
      </c>
      <c r="S97" s="61">
        <v>461.5966353359434</v>
      </c>
      <c r="T97" s="61">
        <v>472.04625624420771</v>
      </c>
      <c r="U97" s="61">
        <v>482.49587715247196</v>
      </c>
      <c r="V97" s="61">
        <v>492.94549806073627</v>
      </c>
    </row>
    <row r="98" spans="4:28" x14ac:dyDescent="0.3">
      <c r="P98" s="60" t="s">
        <v>18</v>
      </c>
      <c r="Q98" s="78">
        <v>7.9000000000000001E-2</v>
      </c>
      <c r="R98" s="61">
        <v>452.01065090279286</v>
      </c>
      <c r="S98" s="61">
        <v>462.46027181105711</v>
      </c>
      <c r="T98" s="62">
        <v>472.90989271932142</v>
      </c>
      <c r="U98" s="61">
        <v>483.35951362758567</v>
      </c>
      <c r="V98" s="61">
        <v>493.80913453584998</v>
      </c>
    </row>
    <row r="99" spans="4:28" x14ac:dyDescent="0.3">
      <c r="P99" s="60"/>
      <c r="Q99" s="78">
        <f>Q98-0.005</f>
        <v>7.3999999999999996E-2</v>
      </c>
      <c r="R99" s="61">
        <v>452.89184261611967</v>
      </c>
      <c r="S99" s="61">
        <v>463.34146352438393</v>
      </c>
      <c r="T99" s="61">
        <v>473.79108443264829</v>
      </c>
      <c r="U99" s="61">
        <v>484.24070534091254</v>
      </c>
      <c r="V99" s="61">
        <v>494.69032624917679</v>
      </c>
    </row>
    <row r="100" spans="4:28" x14ac:dyDescent="0.3">
      <c r="Q100" s="78">
        <f>Q99-0.005</f>
        <v>6.8999999999999992E-2</v>
      </c>
      <c r="R100" s="61">
        <v>453.79105610095161</v>
      </c>
      <c r="S100" s="61">
        <v>464.24067700921586</v>
      </c>
      <c r="T100" s="61">
        <v>474.69029791748017</v>
      </c>
      <c r="U100" s="61">
        <v>485.13991882574442</v>
      </c>
      <c r="V100" s="61">
        <v>495.58953973400872</v>
      </c>
    </row>
    <row r="102" spans="4:28" x14ac:dyDescent="0.3">
      <c r="D102" t="s">
        <v>82</v>
      </c>
    </row>
    <row r="105" spans="4:28" x14ac:dyDescent="0.3">
      <c r="Z105" s="68" t="s">
        <v>71</v>
      </c>
      <c r="AA105" s="68" t="s">
        <v>68</v>
      </c>
      <c r="AB105" s="17" t="s">
        <v>69</v>
      </c>
    </row>
    <row r="106" spans="4:28" x14ac:dyDescent="0.3">
      <c r="Y106" t="s">
        <v>70</v>
      </c>
      <c r="Z106" s="64">
        <v>11.33</v>
      </c>
      <c r="AA106" s="65">
        <v>140</v>
      </c>
      <c r="AB106" s="66"/>
    </row>
    <row r="107" spans="4:28" x14ac:dyDescent="0.3">
      <c r="Z107" s="64"/>
      <c r="AA107" s="65"/>
      <c r="AB107" s="66"/>
    </row>
    <row r="108" spans="4:28" x14ac:dyDescent="0.3">
      <c r="Y108" t="s">
        <v>66</v>
      </c>
      <c r="Z108" s="64">
        <v>12.5</v>
      </c>
      <c r="AA108" s="65">
        <f>(Z108*$I$10)/$I$46</f>
        <v>122.54612250168428</v>
      </c>
      <c r="AB108" s="67">
        <f>(AA108-$D$90)/$D$90</f>
        <v>-0.64684114552828731</v>
      </c>
    </row>
    <row r="109" spans="4:28" x14ac:dyDescent="0.3">
      <c r="Y109" t="s">
        <v>65</v>
      </c>
      <c r="Z109" s="64">
        <v>11.5</v>
      </c>
      <c r="AA109" s="65">
        <f t="shared" ref="AA109:AA110" si="23">(Z109*$I$10)/$I$46</f>
        <v>112.74243270154953</v>
      </c>
      <c r="AB109" s="67">
        <f t="shared" ref="AB109:AB110" si="24">(AA109-$D$90)/$D$90</f>
        <v>-0.67509385388602439</v>
      </c>
    </row>
    <row r="110" spans="4:28" x14ac:dyDescent="0.3">
      <c r="Y110" t="s">
        <v>67</v>
      </c>
      <c r="Z110" s="64">
        <v>10.5</v>
      </c>
      <c r="AA110" s="65">
        <f t="shared" si="23"/>
        <v>102.9387429014148</v>
      </c>
      <c r="AB110" s="67">
        <f t="shared" si="24"/>
        <v>-0.70334656224376135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Bull</vt:lpstr>
      <vt:lpstr>Bear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Marks</dc:creator>
  <cp:lastModifiedBy>Debanik Chakraborty</cp:lastModifiedBy>
  <dcterms:created xsi:type="dcterms:W3CDTF">2023-02-23T20:15:19Z</dcterms:created>
  <dcterms:modified xsi:type="dcterms:W3CDTF">2023-04-06T14:38:10Z</dcterms:modified>
</cp:coreProperties>
</file>